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Madhavi 2017\"/>
    </mc:Choice>
  </mc:AlternateContent>
  <xr:revisionPtr revIDLastSave="0" documentId="13_ncr:1_{97EC554A-F6BD-4321-BA5A-4B6BDDEF06EB}" xr6:coauthVersionLast="47" xr6:coauthVersionMax="47" xr10:uidLastSave="{00000000-0000-0000-0000-000000000000}"/>
  <bookViews>
    <workbookView xWindow="-108" yWindow="-108" windowWidth="23256" windowHeight="12576" firstSheet="39" activeTab="44" xr2:uid="{00000000-000D-0000-FFFF-FFFF00000000}"/>
  </bookViews>
  <sheets>
    <sheet name="JULY 2020" sheetId="22" r:id="rId1"/>
    <sheet name="AUGUST 2020" sheetId="24" r:id="rId2"/>
    <sheet name="SEP 2020" sheetId="25" r:id="rId3"/>
    <sheet name="OCT 2020" sheetId="26" r:id="rId4"/>
    <sheet name="NOV 2020" sheetId="27" r:id="rId5"/>
    <sheet name="DEC 2020" sheetId="28" r:id="rId6"/>
    <sheet name="JAN 2021" sheetId="29" r:id="rId7"/>
    <sheet name="FEB 2021" sheetId="30" r:id="rId8"/>
    <sheet name="MARCH 2021" sheetId="31" r:id="rId9"/>
    <sheet name="APRIL 2021" sheetId="32" r:id="rId10"/>
    <sheet name="MAY 2021" sheetId="33" r:id="rId11"/>
    <sheet name="JUNE 2021" sheetId="34" r:id="rId12"/>
    <sheet name="JULY 2021" sheetId="35" r:id="rId13"/>
    <sheet name="AUGUST 2021" sheetId="36" r:id="rId14"/>
    <sheet name="SEP 2021" sheetId="37" r:id="rId15"/>
    <sheet name="OCT 2021" sheetId="38" r:id="rId16"/>
    <sheet name="NOV 2021" sheetId="39" r:id="rId17"/>
    <sheet name="DEC 2021" sheetId="40" r:id="rId18"/>
    <sheet name="JAN 2022" sheetId="41" r:id="rId19"/>
    <sheet name="FEB 2022" sheetId="42" r:id="rId20"/>
    <sheet name="MAR 2022" sheetId="43" r:id="rId21"/>
    <sheet name="APRIL 2022" sheetId="44" r:id="rId22"/>
    <sheet name="MAY 2022" sheetId="45" r:id="rId23"/>
    <sheet name="JUNE 2022" sheetId="46" r:id="rId24"/>
    <sheet name="JULY 2022" sheetId="47" r:id="rId25"/>
    <sheet name="AUGUST 2022" sheetId="48" r:id="rId26"/>
    <sheet name="SEP 2022" sheetId="49" r:id="rId27"/>
    <sheet name="OCTOBER 2022" sheetId="50" r:id="rId28"/>
    <sheet name="NOV 2022" sheetId="51" r:id="rId29"/>
    <sheet name="DEC 2022" sheetId="52" r:id="rId30"/>
    <sheet name="JAN 2023" sheetId="53" r:id="rId31"/>
    <sheet name="FEB 2023" sheetId="54" r:id="rId32"/>
    <sheet name="MARCH 2023" sheetId="55" r:id="rId33"/>
    <sheet name="APRIL 2023" sheetId="56" r:id="rId34"/>
    <sheet name="MAY 2023" sheetId="57" r:id="rId35"/>
    <sheet name="JUN 2023" sheetId="58" r:id="rId36"/>
    <sheet name="JULY 2023" sheetId="59" r:id="rId37"/>
    <sheet name="AUGUST 2023" sheetId="60" r:id="rId38"/>
    <sheet name="SEP 2023" sheetId="61" r:id="rId39"/>
    <sheet name="OCT 2023" sheetId="62" r:id="rId40"/>
    <sheet name="NOV-2023" sheetId="63" r:id="rId41"/>
    <sheet name="DEC 2023" sheetId="64" r:id="rId42"/>
    <sheet name="JAN 2024" sheetId="65" r:id="rId43"/>
    <sheet name="FEB 2024" sheetId="66" r:id="rId44"/>
    <sheet name="MARCH 2024" sheetId="67" r:id="rId45"/>
    <sheet name="MASTER" sheetId="2" r:id="rId46"/>
  </sheets>
  <definedNames>
    <definedName name="_xlnm.Print_Area" localSheetId="9">'APRIL 2021'!$A$1:$K$57,'APRIL 2021'!#REF!,'APRIL 2021'!#REF!,'APRIL 2021'!$M$2:$R$10</definedName>
    <definedName name="_xlnm.Print_Area" localSheetId="21">'APRIL 2022'!$A$1:$K$60,'APRIL 2022'!#REF!,'APRIL 2022'!#REF!,'APRIL 2022'!$M$2:$R$10</definedName>
    <definedName name="_xlnm.Print_Area" localSheetId="33">'APRIL 2023'!$A$1:$K$60,'APRIL 2023'!#REF!,'APRIL 2023'!#REF!,'APRIL 2023'!$M$2:$R$10</definedName>
    <definedName name="_xlnm.Print_Area" localSheetId="1">'AUGUST 2020'!$A$1:$K$56,'AUGUST 2020'!#REF!,'AUGUST 2020'!#REF!,'AUGUST 2020'!$M$2:$R$10</definedName>
    <definedName name="_xlnm.Print_Area" localSheetId="13">'AUGUST 2021'!$A$1:$K$60,'AUGUST 2021'!#REF!,'AUGUST 2021'!#REF!,'AUGUST 2021'!$M$2:$R$10</definedName>
    <definedName name="_xlnm.Print_Area" localSheetId="25">'AUGUST 2022'!$A$1:$K$60,'AUGUST 2022'!#REF!,'AUGUST 2022'!#REF!,'AUGUST 2022'!$M$2:$R$10</definedName>
    <definedName name="_xlnm.Print_Area" localSheetId="37">'AUGUST 2023'!$A$1:$K$60,'AUGUST 2023'!#REF!,'AUGUST 2023'!#REF!,'AUGUST 2023'!$M$2:$R$10</definedName>
    <definedName name="_xlnm.Print_Area" localSheetId="5">'DEC 2020'!$A$1:$K$83,'DEC 2020'!#REF!,'DEC 2020'!#REF!,'DEC 2020'!$M$2:$R$8</definedName>
    <definedName name="_xlnm.Print_Area" localSheetId="17">'DEC 2021'!$A$1:$K$60,'DEC 2021'!#REF!,'DEC 2021'!#REF!,'DEC 2021'!$M$2:$R$10</definedName>
    <definedName name="_xlnm.Print_Area" localSheetId="29">'DEC 2022'!$A$1:$K$60,'DEC 2022'!#REF!,'DEC 2022'!#REF!,'DEC 2022'!$M$2:$R$10</definedName>
    <definedName name="_xlnm.Print_Area" localSheetId="41">'DEC 2023'!$A$1:$K$62,'DEC 2023'!#REF!,'DEC 2023'!#REF!,'DEC 2023'!$M$2:$R$10</definedName>
    <definedName name="_xlnm.Print_Area" localSheetId="7">'FEB 2021'!$A$1:$K$90,'FEB 2021'!#REF!,'FEB 2021'!#REF!,'FEB 2021'!$M$2:$R$10</definedName>
    <definedName name="_xlnm.Print_Area" localSheetId="19">'FEB 2022'!$A$1:$K$60,'FEB 2022'!#REF!,'FEB 2022'!#REF!,'FEB 2022'!$M$2:$R$10</definedName>
    <definedName name="_xlnm.Print_Area" localSheetId="31">'FEB 2023'!$A$1:$K$60,'FEB 2023'!#REF!,'FEB 2023'!#REF!,'FEB 2023'!$M$2:$R$10</definedName>
    <definedName name="_xlnm.Print_Area" localSheetId="43">'FEB 2024'!$A$1:$K$62,'FEB 2024'!#REF!,'FEB 2024'!#REF!,'FEB 2024'!$M$2:$R$10</definedName>
    <definedName name="_xlnm.Print_Area" localSheetId="6">'JAN 2021'!$A$1:$K$85,'JAN 2021'!#REF!,'JAN 2021'!#REF!,'JAN 2021'!$M$2:$R$10</definedName>
    <definedName name="_xlnm.Print_Area" localSheetId="18">'JAN 2022'!$A$1:$K$60,'JAN 2022'!#REF!,'JAN 2022'!#REF!,'JAN 2022'!$M$2:$R$10</definedName>
    <definedName name="_xlnm.Print_Area" localSheetId="30">'JAN 2023'!$A$1:$K$60,'JAN 2023'!#REF!,'JAN 2023'!#REF!,'JAN 2023'!$M$2:$R$10</definedName>
    <definedName name="_xlnm.Print_Area" localSheetId="42">'JAN 2024'!$A$1:$K$62,'JAN 2024'!#REF!,'JAN 2024'!#REF!,'JAN 2024'!$M$2:$R$10</definedName>
    <definedName name="_xlnm.Print_Area" localSheetId="0">'JULY 2020'!$A$1:$K$34,'JULY 2020'!#REF!,'JULY 2020'!#REF!,'JULY 2020'!$M$2:$R$10</definedName>
    <definedName name="_xlnm.Print_Area" localSheetId="12">'JULY 2021'!$A$1:$K$60,'JULY 2021'!#REF!,'JULY 2021'!#REF!,'JULY 2021'!$M$2:$R$10</definedName>
    <definedName name="_xlnm.Print_Area" localSheetId="24">'JULY 2022'!$A$1:$K$60,'JULY 2022'!#REF!,'JULY 2022'!#REF!,'JULY 2022'!$M$2:$R$10</definedName>
    <definedName name="_xlnm.Print_Area" localSheetId="36">'JULY 2023'!$A$1:$K$60,'JULY 2023'!#REF!,'JULY 2023'!#REF!,'JULY 2023'!$M$2:$R$10</definedName>
    <definedName name="_xlnm.Print_Area" localSheetId="35">'JUN 2023'!$A$1:$K$60,'JUN 2023'!#REF!,'JUN 2023'!#REF!,'JUN 2023'!$M$2:$R$10</definedName>
    <definedName name="_xlnm.Print_Area" localSheetId="11">'JUNE 2021'!$A$1:$K$60,'JUNE 2021'!#REF!,'JUNE 2021'!#REF!,'JUNE 2021'!$M$2:$R$10</definedName>
    <definedName name="_xlnm.Print_Area" localSheetId="23">'JUNE 2022'!$A$1:$K$60,'JUNE 2022'!#REF!,'JUNE 2022'!#REF!,'JUNE 2022'!$M$2:$R$10</definedName>
    <definedName name="_xlnm.Print_Area" localSheetId="20">'MAR 2022'!$A$1:$K$60,'MAR 2022'!#REF!,'MAR 2022'!#REF!,'MAR 2022'!$M$2:$R$10</definedName>
    <definedName name="_xlnm.Print_Area" localSheetId="8">'MARCH 2021'!$A$1:$K$95,'MARCH 2021'!#REF!,'MARCH 2021'!#REF!,'MARCH 2021'!$M$2:$R$10</definedName>
    <definedName name="_xlnm.Print_Area" localSheetId="32">'MARCH 2023'!$A$1:$K$60,'MARCH 2023'!#REF!,'MARCH 2023'!#REF!,'MARCH 2023'!$M$2:$R$10</definedName>
    <definedName name="_xlnm.Print_Area" localSheetId="44">'MARCH 2024'!$A$1:$K$62,'MARCH 2024'!#REF!,'MARCH 2024'!#REF!,'MARCH 2024'!$M$2:$R$10</definedName>
    <definedName name="_xlnm.Print_Area" localSheetId="10">'MAY 2021'!$A$1:$K$58,'MAY 2021'!#REF!,'MAY 2021'!#REF!,'MAY 2021'!$M$2:$R$10</definedName>
    <definedName name="_xlnm.Print_Area" localSheetId="22">'MAY 2022'!$A$1:$K$60,'MAY 2022'!#REF!,'MAY 2022'!#REF!,'MAY 2022'!$M$2:$R$10</definedName>
    <definedName name="_xlnm.Print_Area" localSheetId="34">'MAY 2023'!$A$1:$K$60,'MAY 2023'!#REF!,'MAY 2023'!#REF!,'MAY 2023'!$M$2:$R$10</definedName>
    <definedName name="_xlnm.Print_Area" localSheetId="4">'NOV 2020'!$A$1:$K$83,'NOV 2020'!#REF!,'NOV 2020'!#REF!,'NOV 2020'!$M$2:$R$8</definedName>
    <definedName name="_xlnm.Print_Area" localSheetId="16">'NOV 2021'!$A$1:$K$60,'NOV 2021'!#REF!,'NOV 2021'!#REF!,'NOV 2021'!$M$2:$R$10</definedName>
    <definedName name="_xlnm.Print_Area" localSheetId="28">'NOV 2022'!$A$1:$K$60,'NOV 2022'!#REF!,'NOV 2022'!#REF!,'NOV 2022'!$M$2:$R$10</definedName>
    <definedName name="_xlnm.Print_Area" localSheetId="40">'NOV-2023'!$A$1:$K$60,'NOV-2023'!#REF!,'NOV-2023'!#REF!,'NOV-2023'!$M$2:$R$10</definedName>
    <definedName name="_xlnm.Print_Area" localSheetId="3">'OCT 2020'!$A$1:$K$83,'OCT 2020'!#REF!,'OCT 2020'!#REF!,'OCT 2020'!$M$2:$R$8</definedName>
    <definedName name="_xlnm.Print_Area" localSheetId="15">'OCT 2021'!$A$1:$K$60,'OCT 2021'!#REF!,'OCT 2021'!#REF!,'OCT 2021'!$M$2:$R$10</definedName>
    <definedName name="_xlnm.Print_Area" localSheetId="39">'OCT 2023'!$A$1:$K$60,'OCT 2023'!#REF!,'OCT 2023'!#REF!,'OCT 2023'!$M$2:$R$10</definedName>
    <definedName name="_xlnm.Print_Area" localSheetId="27">'OCTOBER 2022'!$A$1:$K$60,'OCTOBER 2022'!#REF!,'OCTOBER 2022'!#REF!,'OCTOBER 2022'!$M$2:$R$10</definedName>
    <definedName name="_xlnm.Print_Area" localSheetId="2">'SEP 2020'!$A$1:$K$71,'SEP 2020'!#REF!,'SEP 2020'!#REF!,'SEP 2020'!$M$2:$R$8</definedName>
    <definedName name="_xlnm.Print_Area" localSheetId="14">'SEP 2021'!$A$1:$K$60,'SEP 2021'!#REF!,'SEP 2021'!#REF!,'SEP 2021'!$M$2:$R$10</definedName>
    <definedName name="_xlnm.Print_Area" localSheetId="26">'SEP 2022'!$A$1:$K$60,'SEP 2022'!#REF!,'SEP 2022'!#REF!,'SEP 2022'!$M$2:$R$10</definedName>
    <definedName name="_xlnm.Print_Area" localSheetId="38">'SEP 2023'!$A$1:$K$60,'SEP 2023'!#REF!,'SEP 2023'!#REF!,'SEP 2023'!$M$2:$R$10</definedName>
  </definedNames>
  <calcPr calcId="181029"/>
</workbook>
</file>

<file path=xl/calcChain.xml><?xml version="1.0" encoding="utf-8"?>
<calcChain xmlns="http://schemas.openxmlformats.org/spreadsheetml/2006/main">
  <c r="H160" i="67" l="1"/>
  <c r="J160" i="67" s="1"/>
  <c r="V160" i="67" s="1"/>
  <c r="H38" i="67"/>
  <c r="H37" i="67"/>
  <c r="J37" i="67" s="1"/>
  <c r="W37" i="67" s="1"/>
  <c r="H156" i="67"/>
  <c r="J156" i="67" s="1"/>
  <c r="V156" i="67" s="1"/>
  <c r="H31" i="67"/>
  <c r="J31" i="67" s="1"/>
  <c r="V31" i="67" s="1"/>
  <c r="J155" i="67"/>
  <c r="H153" i="67"/>
  <c r="H151" i="67"/>
  <c r="J151" i="67" s="1"/>
  <c r="H27" i="67"/>
  <c r="J27" i="67" s="1"/>
  <c r="H26" i="67"/>
  <c r="J25" i="67"/>
  <c r="W25" i="67" s="1"/>
  <c r="H22" i="67"/>
  <c r="H138" i="67"/>
  <c r="J138" i="67" s="1"/>
  <c r="H13" i="67"/>
  <c r="J13" i="67" s="1"/>
  <c r="W13" i="67" s="1"/>
  <c r="H12" i="67"/>
  <c r="H7" i="67"/>
  <c r="W178" i="67"/>
  <c r="V178" i="67"/>
  <c r="J178" i="67"/>
  <c r="W177" i="67"/>
  <c r="V177" i="67"/>
  <c r="J177" i="67"/>
  <c r="W176" i="67"/>
  <c r="V176" i="67"/>
  <c r="J176" i="67"/>
  <c r="W175" i="67"/>
  <c r="V175" i="67"/>
  <c r="J175" i="67"/>
  <c r="W174" i="67"/>
  <c r="V174" i="67"/>
  <c r="J174" i="67"/>
  <c r="W173" i="67"/>
  <c r="V173" i="67"/>
  <c r="J173" i="67"/>
  <c r="J172" i="67"/>
  <c r="W172" i="67" s="1"/>
  <c r="J171" i="67"/>
  <c r="V171" i="67" s="1"/>
  <c r="J170" i="67"/>
  <c r="V170" i="67" s="1"/>
  <c r="J169" i="67"/>
  <c r="J168" i="67"/>
  <c r="J167" i="67"/>
  <c r="J166" i="67"/>
  <c r="W166" i="67" s="1"/>
  <c r="J165" i="67"/>
  <c r="V165" i="67" s="1"/>
  <c r="J164" i="67"/>
  <c r="V164" i="67" s="1"/>
  <c r="J163" i="67"/>
  <c r="V163" i="67" s="1"/>
  <c r="J162" i="67"/>
  <c r="V162" i="67" s="1"/>
  <c r="W161" i="67"/>
  <c r="J161" i="67"/>
  <c r="V161" i="67" s="1"/>
  <c r="W159" i="67"/>
  <c r="J159" i="67"/>
  <c r="V159" i="67" s="1"/>
  <c r="J158" i="67"/>
  <c r="V158" i="67" s="1"/>
  <c r="J157" i="67"/>
  <c r="V157" i="67" s="1"/>
  <c r="J154" i="67"/>
  <c r="J153" i="67"/>
  <c r="J152" i="67"/>
  <c r="J150" i="67"/>
  <c r="J149" i="67"/>
  <c r="J148" i="67"/>
  <c r="J147" i="67"/>
  <c r="J146" i="67"/>
  <c r="J145" i="67"/>
  <c r="W145" i="67" s="1"/>
  <c r="J144" i="67"/>
  <c r="W144" i="67" s="1"/>
  <c r="J143" i="67"/>
  <c r="V143" i="67" s="1"/>
  <c r="J142" i="67"/>
  <c r="V142" i="67" s="1"/>
  <c r="J141" i="67"/>
  <c r="W141" i="67" s="1"/>
  <c r="J140" i="67"/>
  <c r="W140" i="67" s="1"/>
  <c r="W139" i="67"/>
  <c r="J139" i="67"/>
  <c r="V139" i="67" s="1"/>
  <c r="J137" i="67"/>
  <c r="J136" i="67"/>
  <c r="J135" i="67"/>
  <c r="J134" i="67"/>
  <c r="W134" i="67" s="1"/>
  <c r="J133" i="67"/>
  <c r="V133" i="67" s="1"/>
  <c r="J132" i="67"/>
  <c r="V132" i="67" s="1"/>
  <c r="B132" i="67"/>
  <c r="B133" i="67" s="1"/>
  <c r="B134" i="67" s="1"/>
  <c r="B135" i="67" s="1"/>
  <c r="B136" i="67" s="1"/>
  <c r="B137" i="67" s="1"/>
  <c r="B138" i="67" s="1"/>
  <c r="B139" i="67" s="1"/>
  <c r="B140" i="67" s="1"/>
  <c r="B141" i="67" s="1"/>
  <c r="B142" i="67" s="1"/>
  <c r="B143" i="67" s="1"/>
  <c r="B144" i="67" s="1"/>
  <c r="B145" i="67" s="1"/>
  <c r="B146" i="67" s="1"/>
  <c r="B147" i="67" s="1"/>
  <c r="B148" i="67" s="1"/>
  <c r="B149" i="67" s="1"/>
  <c r="B150" i="67" s="1"/>
  <c r="B151" i="67" s="1"/>
  <c r="B152" i="67" s="1"/>
  <c r="B153" i="67" s="1"/>
  <c r="B154" i="67" s="1"/>
  <c r="B155" i="67" s="1"/>
  <c r="B156" i="67" s="1"/>
  <c r="B157" i="67" s="1"/>
  <c r="B158" i="67" s="1"/>
  <c r="B159" i="67" s="1"/>
  <c r="B160" i="67" s="1"/>
  <c r="B161" i="67" s="1"/>
  <c r="B162" i="67" s="1"/>
  <c r="B163" i="67" s="1"/>
  <c r="B164" i="67" s="1"/>
  <c r="B165" i="67" s="1"/>
  <c r="B166" i="67" s="1"/>
  <c r="B167" i="67" s="1"/>
  <c r="B168" i="67" s="1"/>
  <c r="B169" i="67" s="1"/>
  <c r="B170" i="67" s="1"/>
  <c r="B171" i="67" s="1"/>
  <c r="B172" i="67" s="1"/>
  <c r="B173" i="67" s="1"/>
  <c r="B174" i="67" s="1"/>
  <c r="B175" i="67" s="1"/>
  <c r="B176" i="67" s="1"/>
  <c r="B177" i="67" s="1"/>
  <c r="B178" i="67" s="1"/>
  <c r="J131" i="67"/>
  <c r="V131" i="67" s="1"/>
  <c r="J122" i="67"/>
  <c r="J121" i="67"/>
  <c r="J120" i="67"/>
  <c r="J119" i="67"/>
  <c r="J118" i="67"/>
  <c r="J117" i="67"/>
  <c r="J116" i="67"/>
  <c r="J115" i="67"/>
  <c r="J114" i="67"/>
  <c r="B114" i="67"/>
  <c r="B115" i="67" s="1"/>
  <c r="B116" i="67" s="1"/>
  <c r="B117" i="67" s="1"/>
  <c r="B118" i="67" s="1"/>
  <c r="B119" i="67" s="1"/>
  <c r="B120" i="67" s="1"/>
  <c r="B121" i="67" s="1"/>
  <c r="B122" i="67" s="1"/>
  <c r="J113" i="67"/>
  <c r="J112" i="67"/>
  <c r="W112" i="67" s="1"/>
  <c r="J111" i="67"/>
  <c r="J110" i="67"/>
  <c r="J109" i="67"/>
  <c r="J108" i="67"/>
  <c r="J107" i="67"/>
  <c r="J106" i="67"/>
  <c r="J105" i="67"/>
  <c r="J104" i="67"/>
  <c r="W103" i="67"/>
  <c r="J103" i="67"/>
  <c r="V103" i="67" s="1"/>
  <c r="V102" i="67"/>
  <c r="J102" i="67"/>
  <c r="W102" i="67" s="1"/>
  <c r="V101" i="67"/>
  <c r="J101" i="67"/>
  <c r="W101" i="67" s="1"/>
  <c r="W100" i="67"/>
  <c r="V100" i="67"/>
  <c r="J100" i="67"/>
  <c r="W99" i="67"/>
  <c r="V99" i="67"/>
  <c r="J99" i="67"/>
  <c r="W98" i="67"/>
  <c r="V98" i="67"/>
  <c r="J98" i="67"/>
  <c r="W97" i="67"/>
  <c r="V97" i="67"/>
  <c r="J97" i="67"/>
  <c r="V96" i="67"/>
  <c r="J96" i="67"/>
  <c r="W96" i="67" s="1"/>
  <c r="V95" i="67"/>
  <c r="J95" i="67"/>
  <c r="W95" i="67" s="1"/>
  <c r="V94" i="67"/>
  <c r="J94" i="67"/>
  <c r="W94" i="67" s="1"/>
  <c r="W93" i="67"/>
  <c r="V93" i="67"/>
  <c r="J93" i="67"/>
  <c r="W92" i="67"/>
  <c r="V92" i="67"/>
  <c r="J92" i="67"/>
  <c r="V91" i="67"/>
  <c r="J91" i="67"/>
  <c r="W91" i="67" s="1"/>
  <c r="V90" i="67"/>
  <c r="J90" i="67"/>
  <c r="W90" i="67" s="1"/>
  <c r="V89" i="67"/>
  <c r="J89" i="67"/>
  <c r="W89" i="67" s="1"/>
  <c r="V88" i="67"/>
  <c r="J88" i="67"/>
  <c r="W88" i="67" s="1"/>
  <c r="V87" i="67"/>
  <c r="J87" i="67"/>
  <c r="W87" i="67" s="1"/>
  <c r="V86" i="67"/>
  <c r="J86" i="67"/>
  <c r="W86" i="67" s="1"/>
  <c r="V85" i="67"/>
  <c r="J85" i="67"/>
  <c r="W85" i="67" s="1"/>
  <c r="V84" i="67"/>
  <c r="J84" i="67"/>
  <c r="W84" i="67" s="1"/>
  <c r="V83" i="67"/>
  <c r="J83" i="67"/>
  <c r="W83" i="67" s="1"/>
  <c r="V82" i="67"/>
  <c r="J82" i="67"/>
  <c r="W82" i="67" s="1"/>
  <c r="V81" i="67"/>
  <c r="J81" i="67"/>
  <c r="W81" i="67" s="1"/>
  <c r="V80" i="67"/>
  <c r="J80" i="67"/>
  <c r="W80" i="67" s="1"/>
  <c r="V79" i="67"/>
  <c r="J79" i="67"/>
  <c r="W79" i="67" s="1"/>
  <c r="V78" i="67"/>
  <c r="J78" i="67"/>
  <c r="W78" i="67" s="1"/>
  <c r="V77" i="67"/>
  <c r="J77" i="67"/>
  <c r="W77" i="67" s="1"/>
  <c r="V76" i="67"/>
  <c r="J76" i="67"/>
  <c r="W76" i="67" s="1"/>
  <c r="V75" i="67"/>
  <c r="J75" i="67"/>
  <c r="W75" i="67" s="1"/>
  <c r="V74" i="67"/>
  <c r="J74" i="67"/>
  <c r="W74" i="67" s="1"/>
  <c r="V73" i="67"/>
  <c r="J73" i="67"/>
  <c r="W73" i="67" s="1"/>
  <c r="V72" i="67"/>
  <c r="J72" i="67"/>
  <c r="W72" i="67" s="1"/>
  <c r="W71" i="67"/>
  <c r="V71" i="67"/>
  <c r="J71" i="67"/>
  <c r="W70" i="67"/>
  <c r="V70" i="67"/>
  <c r="J70" i="67"/>
  <c r="B70" i="67"/>
  <c r="B71" i="67" s="1"/>
  <c r="B72" i="67" s="1"/>
  <c r="B73" i="67" s="1"/>
  <c r="B74" i="67" s="1"/>
  <c r="B75" i="67" s="1"/>
  <c r="B76" i="67" s="1"/>
  <c r="B77" i="67" s="1"/>
  <c r="B78" i="67" s="1"/>
  <c r="B79" i="67" s="1"/>
  <c r="B80" i="67" s="1"/>
  <c r="B81" i="67" s="1"/>
  <c r="B82" i="67" s="1"/>
  <c r="B83" i="67" s="1"/>
  <c r="B84" i="67" s="1"/>
  <c r="B85" i="67" s="1"/>
  <c r="B86" i="67" s="1"/>
  <c r="B87" i="67" s="1"/>
  <c r="B88" i="67" s="1"/>
  <c r="B89" i="67" s="1"/>
  <c r="B90" i="67" s="1"/>
  <c r="B91" i="67" s="1"/>
  <c r="B92" i="67" s="1"/>
  <c r="B93" i="67" s="1"/>
  <c r="B94" i="67" s="1"/>
  <c r="B95" i="67" s="1"/>
  <c r="B96" i="67" s="1"/>
  <c r="B97" i="67" s="1"/>
  <c r="B98" i="67" s="1"/>
  <c r="B99" i="67" s="1"/>
  <c r="B100" i="67" s="1"/>
  <c r="B101" i="67" s="1"/>
  <c r="B102" i="67" s="1"/>
  <c r="W69" i="67"/>
  <c r="V69" i="67"/>
  <c r="J69" i="67"/>
  <c r="J60" i="67"/>
  <c r="W60" i="67" s="1"/>
  <c r="W59" i="67"/>
  <c r="V59" i="67"/>
  <c r="J59" i="67"/>
  <c r="W58" i="67"/>
  <c r="V58" i="67"/>
  <c r="J58" i="67"/>
  <c r="J57" i="67"/>
  <c r="J56" i="67"/>
  <c r="W56" i="67" s="1"/>
  <c r="W55" i="67"/>
  <c r="V55" i="67"/>
  <c r="J55" i="67"/>
  <c r="W54" i="67"/>
  <c r="V54" i="67"/>
  <c r="J54" i="67"/>
  <c r="J53" i="67"/>
  <c r="J52" i="67"/>
  <c r="W52" i="67" s="1"/>
  <c r="W51" i="67"/>
  <c r="J51" i="67"/>
  <c r="V51" i="67" s="1"/>
  <c r="W50" i="67"/>
  <c r="V50" i="67"/>
  <c r="J50" i="67"/>
  <c r="J49" i="67"/>
  <c r="J48" i="67"/>
  <c r="J47" i="67"/>
  <c r="J46" i="67"/>
  <c r="W46" i="67" s="1"/>
  <c r="J45" i="67"/>
  <c r="V45" i="67" s="1"/>
  <c r="J44" i="67"/>
  <c r="V44" i="67" s="1"/>
  <c r="J43" i="67"/>
  <c r="J42" i="67"/>
  <c r="W42" i="67" s="1"/>
  <c r="J41" i="67"/>
  <c r="V41" i="67" s="1"/>
  <c r="J40" i="67"/>
  <c r="W40" i="67" s="1"/>
  <c r="J39" i="67"/>
  <c r="W39" i="67" s="1"/>
  <c r="J38" i="67"/>
  <c r="W38" i="67" s="1"/>
  <c r="J36" i="67"/>
  <c r="V36" i="67" s="1"/>
  <c r="J35" i="67"/>
  <c r="V35" i="67" s="1"/>
  <c r="J34" i="67"/>
  <c r="V34" i="67" s="1"/>
  <c r="J33" i="67"/>
  <c r="W33" i="67" s="1"/>
  <c r="J32" i="67"/>
  <c r="J30" i="67"/>
  <c r="W30" i="67" s="1"/>
  <c r="J29" i="67"/>
  <c r="W29" i="67" s="1"/>
  <c r="J28" i="67"/>
  <c r="V28" i="67" s="1"/>
  <c r="J26" i="67"/>
  <c r="W26" i="67" s="1"/>
  <c r="J24" i="67"/>
  <c r="V24" i="67" s="1"/>
  <c r="J23" i="67"/>
  <c r="W23" i="67" s="1"/>
  <c r="J22" i="67"/>
  <c r="W22" i="67" s="1"/>
  <c r="J21" i="67"/>
  <c r="W21" i="67" s="1"/>
  <c r="J20" i="67"/>
  <c r="V20" i="67" s="1"/>
  <c r="J19" i="67"/>
  <c r="W19" i="67" s="1"/>
  <c r="J18" i="67"/>
  <c r="W18" i="67" s="1"/>
  <c r="J17" i="67"/>
  <c r="J16" i="67"/>
  <c r="W16" i="67" s="1"/>
  <c r="J15" i="67"/>
  <c r="V15" i="67" s="1"/>
  <c r="J14" i="67"/>
  <c r="J12" i="67"/>
  <c r="W12" i="67" s="1"/>
  <c r="J11" i="67"/>
  <c r="W11" i="67" s="1"/>
  <c r="J10" i="67"/>
  <c r="J9" i="67"/>
  <c r="W9" i="67" s="1"/>
  <c r="N8" i="67"/>
  <c r="J8" i="67"/>
  <c r="V8" i="67" s="1"/>
  <c r="J7" i="67"/>
  <c r="W7" i="67" s="1"/>
  <c r="N6" i="67"/>
  <c r="J6" i="67"/>
  <c r="N4" i="67"/>
  <c r="H48" i="66"/>
  <c r="H172" i="66"/>
  <c r="W171" i="67" l="1"/>
  <c r="W45" i="67"/>
  <c r="W165" i="67"/>
  <c r="W163" i="67"/>
  <c r="V38" i="67"/>
  <c r="W36" i="67"/>
  <c r="W35" i="67"/>
  <c r="W157" i="67"/>
  <c r="W28" i="67"/>
  <c r="W27" i="67"/>
  <c r="V27" i="67"/>
  <c r="W24" i="67"/>
  <c r="V144" i="67"/>
  <c r="W142" i="67"/>
  <c r="W133" i="67"/>
  <c r="W8" i="67"/>
  <c r="W132" i="67"/>
  <c r="V134" i="67"/>
  <c r="V141" i="67"/>
  <c r="W131" i="67"/>
  <c r="V140" i="67"/>
  <c r="W143" i="67"/>
  <c r="V145" i="67"/>
  <c r="W156" i="67"/>
  <c r="W158" i="67"/>
  <c r="W160" i="67"/>
  <c r="W162" i="67"/>
  <c r="W164" i="67"/>
  <c r="W170" i="67"/>
  <c r="V30" i="67"/>
  <c r="W34" i="67"/>
  <c r="V37" i="67"/>
  <c r="V39" i="67"/>
  <c r="W44" i="67"/>
  <c r="V13" i="67"/>
  <c r="W15" i="67"/>
  <c r="W20" i="67"/>
  <c r="V23" i="67"/>
  <c r="W31" i="67"/>
  <c r="W41" i="67"/>
  <c r="N10" i="67"/>
  <c r="V9" i="67"/>
  <c r="V19" i="67"/>
  <c r="V12" i="67"/>
  <c r="W10" i="67"/>
  <c r="V10" i="67"/>
  <c r="V14" i="67"/>
  <c r="W14" i="67"/>
  <c r="W17" i="67"/>
  <c r="V17" i="67"/>
  <c r="W6" i="67"/>
  <c r="V6" i="67"/>
  <c r="J61" i="67"/>
  <c r="W117" i="67"/>
  <c r="V117" i="67"/>
  <c r="W138" i="67"/>
  <c r="V138" i="67"/>
  <c r="W150" i="67"/>
  <c r="V150" i="67"/>
  <c r="W168" i="67"/>
  <c r="V168" i="67"/>
  <c r="V7" i="67"/>
  <c r="V11" i="67"/>
  <c r="V18" i="67"/>
  <c r="V22" i="67"/>
  <c r="V26" i="67"/>
  <c r="W32" i="67"/>
  <c r="V32" i="67"/>
  <c r="V40" i="67"/>
  <c r="W43" i="67"/>
  <c r="V43" i="67"/>
  <c r="W48" i="67"/>
  <c r="V48" i="67"/>
  <c r="W53" i="67"/>
  <c r="V53" i="67"/>
  <c r="W57" i="67"/>
  <c r="V57" i="67"/>
  <c r="W114" i="67"/>
  <c r="V114" i="67"/>
  <c r="V123" i="67" s="1"/>
  <c r="O6" i="67" s="1"/>
  <c r="R6" i="67" s="1"/>
  <c r="W118" i="67"/>
  <c r="V118" i="67"/>
  <c r="W122" i="67"/>
  <c r="V122" i="67"/>
  <c r="W135" i="67"/>
  <c r="V135" i="67"/>
  <c r="W147" i="67"/>
  <c r="V147" i="67"/>
  <c r="W151" i="67"/>
  <c r="V151" i="67"/>
  <c r="W155" i="67"/>
  <c r="V155" i="67"/>
  <c r="V166" i="67"/>
  <c r="W169" i="67"/>
  <c r="V169" i="67"/>
  <c r="V172" i="67"/>
  <c r="W154" i="67"/>
  <c r="V154" i="67"/>
  <c r="V16" i="67"/>
  <c r="V21" i="67"/>
  <c r="V25" i="67"/>
  <c r="V29" i="67"/>
  <c r="W49" i="67"/>
  <c r="V49" i="67"/>
  <c r="J123" i="67"/>
  <c r="W115" i="67"/>
  <c r="V115" i="67"/>
  <c r="W119" i="67"/>
  <c r="V119" i="67"/>
  <c r="W136" i="67"/>
  <c r="V136" i="67"/>
  <c r="W148" i="67"/>
  <c r="V148" i="67"/>
  <c r="W152" i="67"/>
  <c r="V152" i="67"/>
  <c r="W47" i="67"/>
  <c r="V47" i="67"/>
  <c r="W121" i="67"/>
  <c r="V121" i="67"/>
  <c r="W146" i="67"/>
  <c r="V146" i="67"/>
  <c r="V33" i="67"/>
  <c r="W113" i="67"/>
  <c r="W123" i="67" s="1"/>
  <c r="P6" i="67" s="1"/>
  <c r="V113" i="67"/>
  <c r="W116" i="67"/>
  <c r="V116" i="67"/>
  <c r="W120" i="67"/>
  <c r="V120" i="67"/>
  <c r="W137" i="67"/>
  <c r="V137" i="67"/>
  <c r="W149" i="67"/>
  <c r="V149" i="67"/>
  <c r="W153" i="67"/>
  <c r="V153" i="67"/>
  <c r="W167" i="67"/>
  <c r="V167" i="67"/>
  <c r="V42" i="67"/>
  <c r="V46" i="67"/>
  <c r="V52" i="67"/>
  <c r="V56" i="67"/>
  <c r="V60" i="67"/>
  <c r="V112" i="67"/>
  <c r="J179" i="67"/>
  <c r="H47" i="66"/>
  <c r="H170" i="66"/>
  <c r="H169" i="66"/>
  <c r="H167" i="66"/>
  <c r="H166" i="66"/>
  <c r="H40" i="66"/>
  <c r="H39" i="66"/>
  <c r="H38" i="66"/>
  <c r="H37" i="66"/>
  <c r="H36" i="66"/>
  <c r="H35" i="66"/>
  <c r="H156" i="66"/>
  <c r="H155" i="66"/>
  <c r="H146" i="66"/>
  <c r="H144" i="66"/>
  <c r="H142" i="66"/>
  <c r="H17" i="66"/>
  <c r="V179" i="67" l="1"/>
  <c r="O8" i="67" s="1"/>
  <c r="R8" i="67" s="1"/>
  <c r="W179" i="67"/>
  <c r="P8" i="67" s="1"/>
  <c r="V61" i="67"/>
  <c r="O4" i="67" s="1"/>
  <c r="W61" i="67"/>
  <c r="P4" i="67" s="1"/>
  <c r="H138" i="66"/>
  <c r="H135" i="66"/>
  <c r="H134" i="66"/>
  <c r="J135" i="66" s="1"/>
  <c r="H14" i="66"/>
  <c r="J14" i="66" s="1"/>
  <c r="W14" i="66" s="1"/>
  <c r="H11" i="66"/>
  <c r="H10" i="66"/>
  <c r="J10" i="66" s="1"/>
  <c r="W10" i="66" s="1"/>
  <c r="H9" i="66"/>
  <c r="J9" i="66" s="1"/>
  <c r="W9" i="66" s="1"/>
  <c r="H6" i="66"/>
  <c r="J6" i="66" s="1"/>
  <c r="J178" i="66"/>
  <c r="V178" i="66" s="1"/>
  <c r="J177" i="66"/>
  <c r="V177" i="66" s="1"/>
  <c r="J176" i="66"/>
  <c r="V176" i="66" s="1"/>
  <c r="J175" i="66"/>
  <c r="V175" i="66" s="1"/>
  <c r="J174" i="66"/>
  <c r="V174" i="66" s="1"/>
  <c r="J173" i="66"/>
  <c r="V173" i="66" s="1"/>
  <c r="J172" i="66"/>
  <c r="V172" i="66" s="1"/>
  <c r="J171" i="66"/>
  <c r="J170" i="66"/>
  <c r="J169" i="66"/>
  <c r="J168" i="66"/>
  <c r="J167" i="66"/>
  <c r="W167" i="66" s="1"/>
  <c r="J166" i="66"/>
  <c r="W166" i="66" s="1"/>
  <c r="J165" i="66"/>
  <c r="W165" i="66" s="1"/>
  <c r="J164" i="66"/>
  <c r="V164" i="66" s="1"/>
  <c r="J163" i="66"/>
  <c r="V163" i="66" s="1"/>
  <c r="J162" i="66"/>
  <c r="V162" i="66" s="1"/>
  <c r="J161" i="66"/>
  <c r="V161" i="66" s="1"/>
  <c r="J160" i="66"/>
  <c r="V160" i="66" s="1"/>
  <c r="J159" i="66"/>
  <c r="V159" i="66" s="1"/>
  <c r="J158" i="66"/>
  <c r="V158" i="66" s="1"/>
  <c r="J157" i="66"/>
  <c r="W157" i="66" s="1"/>
  <c r="J156" i="66"/>
  <c r="W156" i="66" s="1"/>
  <c r="J155" i="66"/>
  <c r="V155" i="66" s="1"/>
  <c r="J154" i="66"/>
  <c r="W154" i="66" s="1"/>
  <c r="J153" i="66"/>
  <c r="W153" i="66" s="1"/>
  <c r="J152" i="66"/>
  <c r="W152" i="66" s="1"/>
  <c r="J151" i="66"/>
  <c r="V151" i="66" s="1"/>
  <c r="J150" i="66"/>
  <c r="W150" i="66" s="1"/>
  <c r="J149" i="66"/>
  <c r="J148" i="66"/>
  <c r="J147" i="66"/>
  <c r="J146" i="66"/>
  <c r="W146" i="66" s="1"/>
  <c r="J145" i="66"/>
  <c r="W145" i="66" s="1"/>
  <c r="J144" i="66"/>
  <c r="W144" i="66" s="1"/>
  <c r="V143" i="66"/>
  <c r="J143" i="66"/>
  <c r="W143" i="66" s="1"/>
  <c r="J142" i="66"/>
  <c r="W142" i="66" s="1"/>
  <c r="J141" i="66"/>
  <c r="W141" i="66" s="1"/>
  <c r="J140" i="66"/>
  <c r="V140" i="66" s="1"/>
  <c r="J139" i="66"/>
  <c r="W139" i="66" s="1"/>
  <c r="J138" i="66"/>
  <c r="W138" i="66" s="1"/>
  <c r="J137" i="66"/>
  <c r="W137" i="66" s="1"/>
  <c r="J136" i="66"/>
  <c r="J133" i="66"/>
  <c r="W133" i="66" s="1"/>
  <c r="J132" i="66"/>
  <c r="W132" i="66" s="1"/>
  <c r="B132" i="66"/>
  <c r="B133" i="66" s="1"/>
  <c r="B134" i="66" s="1"/>
  <c r="B135" i="66" s="1"/>
  <c r="B136" i="66" s="1"/>
  <c r="B137" i="66" s="1"/>
  <c r="B138" i="66" s="1"/>
  <c r="B139" i="66" s="1"/>
  <c r="B140" i="66" s="1"/>
  <c r="B141" i="66" s="1"/>
  <c r="B142" i="66" s="1"/>
  <c r="B143" i="66" s="1"/>
  <c r="B144" i="66" s="1"/>
  <c r="B145" i="66" s="1"/>
  <c r="B146" i="66" s="1"/>
  <c r="B147" i="66" s="1"/>
  <c r="B148" i="66" s="1"/>
  <c r="B149" i="66" s="1"/>
  <c r="B150" i="66" s="1"/>
  <c r="B151" i="66" s="1"/>
  <c r="B152" i="66" s="1"/>
  <c r="B153" i="66" s="1"/>
  <c r="B154" i="66" s="1"/>
  <c r="B155" i="66" s="1"/>
  <c r="B156" i="66" s="1"/>
  <c r="B157" i="66" s="1"/>
  <c r="B158" i="66" s="1"/>
  <c r="B159" i="66" s="1"/>
  <c r="B160" i="66" s="1"/>
  <c r="B161" i="66" s="1"/>
  <c r="B162" i="66" s="1"/>
  <c r="B163" i="66" s="1"/>
  <c r="B164" i="66" s="1"/>
  <c r="B165" i="66" s="1"/>
  <c r="B166" i="66" s="1"/>
  <c r="B167" i="66" s="1"/>
  <c r="B168" i="66" s="1"/>
  <c r="B169" i="66" s="1"/>
  <c r="B170" i="66" s="1"/>
  <c r="B171" i="66" s="1"/>
  <c r="B172" i="66" s="1"/>
  <c r="B173" i="66" s="1"/>
  <c r="B174" i="66" s="1"/>
  <c r="B175" i="66" s="1"/>
  <c r="B176" i="66" s="1"/>
  <c r="B177" i="66" s="1"/>
  <c r="B178" i="66" s="1"/>
  <c r="J131" i="66"/>
  <c r="V131" i="66" s="1"/>
  <c r="J122" i="66"/>
  <c r="W122" i="66" s="1"/>
  <c r="J121" i="66"/>
  <c r="W121" i="66" s="1"/>
  <c r="J120" i="66"/>
  <c r="W120" i="66" s="1"/>
  <c r="J119" i="66"/>
  <c r="V119" i="66" s="1"/>
  <c r="J118" i="66"/>
  <c r="W118" i="66" s="1"/>
  <c r="J117" i="66"/>
  <c r="W117" i="66" s="1"/>
  <c r="J116" i="66"/>
  <c r="W116" i="66" s="1"/>
  <c r="W115" i="66"/>
  <c r="J115" i="66"/>
  <c r="V115" i="66" s="1"/>
  <c r="V114" i="66"/>
  <c r="J114" i="66"/>
  <c r="W114" i="66" s="1"/>
  <c r="B114" i="66"/>
  <c r="B115" i="66" s="1"/>
  <c r="B116" i="66" s="1"/>
  <c r="B117" i="66" s="1"/>
  <c r="B118" i="66" s="1"/>
  <c r="B119" i="66" s="1"/>
  <c r="B120" i="66" s="1"/>
  <c r="B121" i="66" s="1"/>
  <c r="B122" i="66" s="1"/>
  <c r="J113" i="66"/>
  <c r="W113" i="66" s="1"/>
  <c r="J112" i="66"/>
  <c r="W112" i="66" s="1"/>
  <c r="J111" i="66"/>
  <c r="J110" i="66"/>
  <c r="J109" i="66"/>
  <c r="J108" i="66"/>
  <c r="J107" i="66"/>
  <c r="J106" i="66"/>
  <c r="J105" i="66"/>
  <c r="J104" i="66"/>
  <c r="J103" i="66"/>
  <c r="W103" i="66" s="1"/>
  <c r="J102" i="66"/>
  <c r="J101" i="66"/>
  <c r="J100" i="66"/>
  <c r="J99" i="66"/>
  <c r="J98" i="66"/>
  <c r="J97" i="66"/>
  <c r="J96" i="66"/>
  <c r="V96" i="66" s="1"/>
  <c r="J95" i="66"/>
  <c r="V95" i="66" s="1"/>
  <c r="J94" i="66"/>
  <c r="V94" i="66" s="1"/>
  <c r="J93" i="66"/>
  <c r="V93" i="66" s="1"/>
  <c r="J92" i="66"/>
  <c r="V92" i="66" s="1"/>
  <c r="J91" i="66"/>
  <c r="V91" i="66" s="1"/>
  <c r="J90" i="66"/>
  <c r="V90" i="66" s="1"/>
  <c r="J89" i="66"/>
  <c r="V89" i="66" s="1"/>
  <c r="J88" i="66"/>
  <c r="V88" i="66" s="1"/>
  <c r="J87" i="66"/>
  <c r="V87" i="66" s="1"/>
  <c r="J86" i="66"/>
  <c r="V86" i="66" s="1"/>
  <c r="J85" i="66"/>
  <c r="V85" i="66" s="1"/>
  <c r="J84" i="66"/>
  <c r="V84" i="66" s="1"/>
  <c r="J83" i="66"/>
  <c r="V83" i="66" s="1"/>
  <c r="J82" i="66"/>
  <c r="V82" i="66" s="1"/>
  <c r="J81" i="66"/>
  <c r="V81" i="66" s="1"/>
  <c r="J80" i="66"/>
  <c r="V80" i="66" s="1"/>
  <c r="J79" i="66"/>
  <c r="V79" i="66" s="1"/>
  <c r="J78" i="66"/>
  <c r="V78" i="66" s="1"/>
  <c r="J77" i="66"/>
  <c r="V77" i="66" s="1"/>
  <c r="J76" i="66"/>
  <c r="V76" i="66" s="1"/>
  <c r="J75" i="66"/>
  <c r="V75" i="66" s="1"/>
  <c r="J74" i="66"/>
  <c r="V74" i="66" s="1"/>
  <c r="J73" i="66"/>
  <c r="V73" i="66" s="1"/>
  <c r="J72" i="66"/>
  <c r="V72" i="66" s="1"/>
  <c r="J71" i="66"/>
  <c r="V71" i="66" s="1"/>
  <c r="J70" i="66"/>
  <c r="V70" i="66" s="1"/>
  <c r="B70" i="66"/>
  <c r="B71" i="66" s="1"/>
  <c r="B72" i="66" s="1"/>
  <c r="B73" i="66" s="1"/>
  <c r="B74" i="66" s="1"/>
  <c r="B75" i="66" s="1"/>
  <c r="B76" i="66" s="1"/>
  <c r="B77" i="66" s="1"/>
  <c r="B78" i="66" s="1"/>
  <c r="B79" i="66" s="1"/>
  <c r="B80" i="66" s="1"/>
  <c r="B81" i="66" s="1"/>
  <c r="B82" i="66" s="1"/>
  <c r="B83" i="66" s="1"/>
  <c r="B84" i="66" s="1"/>
  <c r="B85" i="66" s="1"/>
  <c r="B86" i="66" s="1"/>
  <c r="B87" i="66" s="1"/>
  <c r="B88" i="66" s="1"/>
  <c r="B89" i="66" s="1"/>
  <c r="B90" i="66" s="1"/>
  <c r="B91" i="66" s="1"/>
  <c r="B92" i="66" s="1"/>
  <c r="B93" i="66" s="1"/>
  <c r="B94" i="66" s="1"/>
  <c r="B95" i="66" s="1"/>
  <c r="B96" i="66" s="1"/>
  <c r="B97" i="66" s="1"/>
  <c r="B98" i="66" s="1"/>
  <c r="B99" i="66" s="1"/>
  <c r="B100" i="66" s="1"/>
  <c r="B101" i="66" s="1"/>
  <c r="B102" i="66" s="1"/>
  <c r="J69" i="66"/>
  <c r="V69" i="66" s="1"/>
  <c r="J60" i="66"/>
  <c r="W60" i="66" s="1"/>
  <c r="J59" i="66"/>
  <c r="W59" i="66" s="1"/>
  <c r="J58" i="66"/>
  <c r="V58" i="66" s="1"/>
  <c r="J57" i="66"/>
  <c r="W57" i="66" s="1"/>
  <c r="W56" i="66"/>
  <c r="J56" i="66"/>
  <c r="V56" i="66" s="1"/>
  <c r="J55" i="66"/>
  <c r="W55" i="66" s="1"/>
  <c r="J54" i="66"/>
  <c r="V54" i="66" s="1"/>
  <c r="W53" i="66"/>
  <c r="J53" i="66"/>
  <c r="V53" i="66" s="1"/>
  <c r="J52" i="66"/>
  <c r="W52" i="66" s="1"/>
  <c r="J51" i="66"/>
  <c r="W51" i="66" s="1"/>
  <c r="J50" i="66"/>
  <c r="V50" i="66" s="1"/>
  <c r="J49" i="66"/>
  <c r="V49" i="66" s="1"/>
  <c r="J48" i="66"/>
  <c r="W48" i="66" s="1"/>
  <c r="J47" i="66"/>
  <c r="W47" i="66" s="1"/>
  <c r="J46" i="66"/>
  <c r="V46" i="66" s="1"/>
  <c r="J45" i="66"/>
  <c r="V45" i="66" s="1"/>
  <c r="J44" i="66"/>
  <c r="W44" i="66" s="1"/>
  <c r="J43" i="66"/>
  <c r="J42" i="66"/>
  <c r="W42" i="66" s="1"/>
  <c r="J41" i="66"/>
  <c r="V41" i="66" s="1"/>
  <c r="J40" i="66"/>
  <c r="W40" i="66" s="1"/>
  <c r="J39" i="66"/>
  <c r="V39" i="66" s="1"/>
  <c r="J38" i="66"/>
  <c r="W38" i="66" s="1"/>
  <c r="J37" i="66"/>
  <c r="W37" i="66" s="1"/>
  <c r="J36" i="66"/>
  <c r="W36" i="66" s="1"/>
  <c r="J35" i="66"/>
  <c r="V35" i="66" s="1"/>
  <c r="J34" i="66"/>
  <c r="W34" i="66" s="1"/>
  <c r="J33" i="66"/>
  <c r="W33" i="66" s="1"/>
  <c r="J32" i="66"/>
  <c r="W32" i="66" s="1"/>
  <c r="J31" i="66"/>
  <c r="W31" i="66" s="1"/>
  <c r="J30" i="66"/>
  <c r="V30" i="66" s="1"/>
  <c r="J29" i="66"/>
  <c r="W29" i="66" s="1"/>
  <c r="J28" i="66"/>
  <c r="W28" i="66" s="1"/>
  <c r="J27" i="66"/>
  <c r="W27" i="66" s="1"/>
  <c r="J26" i="66"/>
  <c r="J25" i="66"/>
  <c r="W25" i="66" s="1"/>
  <c r="J24" i="66"/>
  <c r="W24" i="66" s="1"/>
  <c r="J23" i="66"/>
  <c r="W23" i="66" s="1"/>
  <c r="J22" i="66"/>
  <c r="W22" i="66" s="1"/>
  <c r="J21" i="66"/>
  <c r="W21" i="66" s="1"/>
  <c r="J20" i="66"/>
  <c r="J19" i="66"/>
  <c r="W19" i="66" s="1"/>
  <c r="J18" i="66"/>
  <c r="W18" i="66" s="1"/>
  <c r="J17" i="66"/>
  <c r="W17" i="66" s="1"/>
  <c r="J16" i="66"/>
  <c r="W16" i="66" s="1"/>
  <c r="J15" i="66"/>
  <c r="W15" i="66" s="1"/>
  <c r="J13" i="66"/>
  <c r="W13" i="66" s="1"/>
  <c r="J12" i="66"/>
  <c r="W12" i="66" s="1"/>
  <c r="J11" i="66"/>
  <c r="W11" i="66" s="1"/>
  <c r="N8" i="66"/>
  <c r="J8" i="66"/>
  <c r="W8" i="66" s="1"/>
  <c r="J7" i="66"/>
  <c r="V7" i="66" s="1"/>
  <c r="N6" i="66"/>
  <c r="N4" i="66"/>
  <c r="P10" i="67" l="1"/>
  <c r="R4" i="67"/>
  <c r="O10" i="67"/>
  <c r="R10" i="67" s="1"/>
  <c r="P12" i="67" s="1"/>
  <c r="Q4" i="67"/>
  <c r="Q10" i="67" s="1"/>
  <c r="W74" i="66"/>
  <c r="V113" i="66"/>
  <c r="V118" i="66"/>
  <c r="W92" i="66"/>
  <c r="W119" i="66"/>
  <c r="V122" i="66"/>
  <c r="W76" i="66"/>
  <c r="W83" i="66"/>
  <c r="W90" i="66"/>
  <c r="V51" i="66"/>
  <c r="W49" i="66"/>
  <c r="V48" i="66"/>
  <c r="W46" i="66"/>
  <c r="W158" i="66"/>
  <c r="W155" i="66"/>
  <c r="V29" i="66"/>
  <c r="V23" i="66"/>
  <c r="V150" i="66"/>
  <c r="W35" i="66"/>
  <c r="V55" i="66"/>
  <c r="W58" i="66"/>
  <c r="V60" i="66"/>
  <c r="W70" i="66"/>
  <c r="W72" i="66"/>
  <c r="W79" i="66"/>
  <c r="W86" i="66"/>
  <c r="W88" i="66"/>
  <c r="W95" i="66"/>
  <c r="V112" i="66"/>
  <c r="V117" i="66"/>
  <c r="V121" i="66"/>
  <c r="W161" i="66"/>
  <c r="W163" i="66"/>
  <c r="W173" i="66"/>
  <c r="W175" i="66"/>
  <c r="W177" i="66"/>
  <c r="V16" i="66"/>
  <c r="V19" i="66"/>
  <c r="W39" i="66"/>
  <c r="V42" i="66"/>
  <c r="W45" i="66"/>
  <c r="V47" i="66"/>
  <c r="W50" i="66"/>
  <c r="V52" i="66"/>
  <c r="V57" i="66"/>
  <c r="W75" i="66"/>
  <c r="W82" i="66"/>
  <c r="W84" i="66"/>
  <c r="W91" i="66"/>
  <c r="V116" i="66"/>
  <c r="V120" i="66"/>
  <c r="J134" i="66"/>
  <c r="J179" i="66" s="1"/>
  <c r="W151" i="66"/>
  <c r="V154" i="66"/>
  <c r="W30" i="66"/>
  <c r="W54" i="66"/>
  <c r="V59" i="66"/>
  <c r="W71" i="66"/>
  <c r="W78" i="66"/>
  <c r="W80" i="66"/>
  <c r="W87" i="66"/>
  <c r="W94" i="66"/>
  <c r="W96" i="66"/>
  <c r="V103" i="66"/>
  <c r="W160" i="66"/>
  <c r="W162" i="66"/>
  <c r="W164" i="66"/>
  <c r="W174" i="66"/>
  <c r="W176" i="66"/>
  <c r="W178" i="66"/>
  <c r="V141" i="66"/>
  <c r="W140" i="66"/>
  <c r="V139" i="66"/>
  <c r="V137" i="66"/>
  <c r="V14" i="66"/>
  <c r="V12" i="66"/>
  <c r="V10" i="66"/>
  <c r="N10" i="66"/>
  <c r="V133" i="66"/>
  <c r="V138" i="66"/>
  <c r="V142" i="66"/>
  <c r="V145" i="66"/>
  <c r="V153" i="66"/>
  <c r="V157" i="66"/>
  <c r="V167" i="66"/>
  <c r="V152" i="66"/>
  <c r="V156" i="66"/>
  <c r="W159" i="66"/>
  <c r="V132" i="66"/>
  <c r="V144" i="66"/>
  <c r="V146" i="66"/>
  <c r="V166" i="66"/>
  <c r="W172" i="66"/>
  <c r="W7" i="66"/>
  <c r="V9" i="66"/>
  <c r="V11" i="66"/>
  <c r="V13" i="66"/>
  <c r="V18" i="66"/>
  <c r="V22" i="66"/>
  <c r="V25" i="66"/>
  <c r="V32" i="66"/>
  <c r="V34" i="66"/>
  <c r="V44" i="66"/>
  <c r="V17" i="66"/>
  <c r="V24" i="66"/>
  <c r="V28" i="66"/>
  <c r="V31" i="66"/>
  <c r="V36" i="66"/>
  <c r="V40" i="66"/>
  <c r="J61" i="66"/>
  <c r="V6" i="66"/>
  <c r="W6" i="66"/>
  <c r="W26" i="66"/>
  <c r="V26" i="66"/>
  <c r="W20" i="66"/>
  <c r="V20" i="66"/>
  <c r="W43" i="66"/>
  <c r="V43" i="66"/>
  <c r="V8" i="66"/>
  <c r="V15" i="66"/>
  <c r="V21" i="66"/>
  <c r="V27" i="66"/>
  <c r="V33" i="66"/>
  <c r="V37" i="66"/>
  <c r="V38" i="66"/>
  <c r="W41" i="66"/>
  <c r="W69" i="66"/>
  <c r="W73" i="66"/>
  <c r="W77" i="66"/>
  <c r="W81" i="66"/>
  <c r="W85" i="66"/>
  <c r="W89" i="66"/>
  <c r="W93" i="66"/>
  <c r="W135" i="66"/>
  <c r="V135" i="66"/>
  <c r="W169" i="66"/>
  <c r="V169" i="66"/>
  <c r="W97" i="66"/>
  <c r="V97" i="66"/>
  <c r="W99" i="66"/>
  <c r="V99" i="66"/>
  <c r="W101" i="66"/>
  <c r="V101" i="66"/>
  <c r="W149" i="66"/>
  <c r="V149" i="66"/>
  <c r="W168" i="66"/>
  <c r="V168" i="66"/>
  <c r="W98" i="66"/>
  <c r="V98" i="66"/>
  <c r="W100" i="66"/>
  <c r="V100" i="66"/>
  <c r="W102" i="66"/>
  <c r="V102" i="66"/>
  <c r="W136" i="66"/>
  <c r="V136" i="66"/>
  <c r="W147" i="66"/>
  <c r="V147" i="66"/>
  <c r="V165" i="66"/>
  <c r="W170" i="66"/>
  <c r="V170" i="66"/>
  <c r="J123" i="66"/>
  <c r="W148" i="66"/>
  <c r="V148" i="66"/>
  <c r="W171" i="66"/>
  <c r="V171" i="66"/>
  <c r="W131" i="66"/>
  <c r="H43" i="65"/>
  <c r="H172" i="65"/>
  <c r="H171" i="65"/>
  <c r="H168" i="65"/>
  <c r="V123" i="66" l="1"/>
  <c r="O6" i="66" s="1"/>
  <c r="R6" i="66" s="1"/>
  <c r="V134" i="66"/>
  <c r="V179" i="66" s="1"/>
  <c r="O8" i="66" s="1"/>
  <c r="R8" i="66" s="1"/>
  <c r="W134" i="66"/>
  <c r="W61" i="66"/>
  <c r="P4" i="66" s="1"/>
  <c r="W179" i="66"/>
  <c r="P8" i="66" s="1"/>
  <c r="W123" i="66"/>
  <c r="P6" i="66" s="1"/>
  <c r="V61" i="66"/>
  <c r="O4" i="66" s="1"/>
  <c r="H165" i="65"/>
  <c r="R4" i="66" l="1"/>
  <c r="O10" i="66"/>
  <c r="R10" i="66" s="1"/>
  <c r="P12" i="66" s="1"/>
  <c r="Q4" i="66"/>
  <c r="Q10" i="66" s="1"/>
  <c r="P10" i="66"/>
  <c r="H38" i="65"/>
  <c r="H158" i="65" l="1"/>
  <c r="H31" i="65" l="1"/>
  <c r="H30" i="65"/>
  <c r="H26" i="65"/>
  <c r="H149" i="65" l="1"/>
  <c r="H147" i="65"/>
  <c r="H24" i="65"/>
  <c r="H144" i="65" l="1"/>
  <c r="H141" i="65"/>
  <c r="H20" i="65"/>
  <c r="H18" i="65"/>
  <c r="H136" i="65" l="1"/>
  <c r="H11" i="65"/>
  <c r="J11" i="65" s="1"/>
  <c r="V11" i="65" s="1"/>
  <c r="H134" i="65"/>
  <c r="J135" i="65" s="1"/>
  <c r="W135" i="65" s="1"/>
  <c r="H6" i="65"/>
  <c r="J6" i="65" s="1"/>
  <c r="W6" i="65" s="1"/>
  <c r="J178" i="65"/>
  <c r="J177" i="65"/>
  <c r="V177" i="65" s="1"/>
  <c r="J176" i="65"/>
  <c r="V176" i="65" s="1"/>
  <c r="J175" i="65"/>
  <c r="V175" i="65" s="1"/>
  <c r="J174" i="65"/>
  <c r="J173" i="65"/>
  <c r="J172" i="65"/>
  <c r="V172" i="65" s="1"/>
  <c r="J171" i="65"/>
  <c r="V171" i="65" s="1"/>
  <c r="J170" i="65"/>
  <c r="V170" i="65" s="1"/>
  <c r="J169" i="65"/>
  <c r="J168" i="65"/>
  <c r="V168" i="65" s="1"/>
  <c r="J167" i="65"/>
  <c r="V167" i="65" s="1"/>
  <c r="J166" i="65"/>
  <c r="V166" i="65" s="1"/>
  <c r="J165" i="65"/>
  <c r="W165" i="65" s="1"/>
  <c r="J164" i="65"/>
  <c r="J163" i="65"/>
  <c r="W163" i="65" s="1"/>
  <c r="J162" i="65"/>
  <c r="W162" i="65" s="1"/>
  <c r="J161" i="65"/>
  <c r="W161" i="65" s="1"/>
  <c r="J160" i="65"/>
  <c r="W160" i="65" s="1"/>
  <c r="J159" i="65"/>
  <c r="W159" i="65" s="1"/>
  <c r="J158" i="65"/>
  <c r="W158" i="65" s="1"/>
  <c r="J157" i="65"/>
  <c r="V157" i="65" s="1"/>
  <c r="J156" i="65"/>
  <c r="W156" i="65" s="1"/>
  <c r="J155" i="65"/>
  <c r="W155" i="65" s="1"/>
  <c r="J154" i="65"/>
  <c r="V154" i="65" s="1"/>
  <c r="J153" i="65"/>
  <c r="J152" i="65"/>
  <c r="J151" i="65"/>
  <c r="J150" i="65"/>
  <c r="V150" i="65" s="1"/>
  <c r="J149" i="65"/>
  <c r="W149" i="65" s="1"/>
  <c r="J148" i="65"/>
  <c r="W148" i="65" s="1"/>
  <c r="J147" i="65"/>
  <c r="W147" i="65" s="1"/>
  <c r="J146" i="65"/>
  <c r="V146" i="65" s="1"/>
  <c r="J145" i="65"/>
  <c r="V145" i="65" s="1"/>
  <c r="J144" i="65"/>
  <c r="V144" i="65" s="1"/>
  <c r="J143" i="65"/>
  <c r="J142" i="65"/>
  <c r="J141" i="65"/>
  <c r="W141" i="65" s="1"/>
  <c r="J140" i="65"/>
  <c r="W140" i="65" s="1"/>
  <c r="J139" i="65"/>
  <c r="W139" i="65" s="1"/>
  <c r="J138" i="65"/>
  <c r="W138" i="65" s="1"/>
  <c r="J137" i="65"/>
  <c r="J136" i="65"/>
  <c r="V136" i="65" s="1"/>
  <c r="J134" i="65"/>
  <c r="J133" i="65"/>
  <c r="V133" i="65" s="1"/>
  <c r="J132" i="65"/>
  <c r="V132" i="65" s="1"/>
  <c r="B132" i="65"/>
  <c r="B133" i="65" s="1"/>
  <c r="B134" i="65" s="1"/>
  <c r="B135" i="65" s="1"/>
  <c r="B136" i="65" s="1"/>
  <c r="B137" i="65" s="1"/>
  <c r="B138" i="65" s="1"/>
  <c r="B139" i="65" s="1"/>
  <c r="B140" i="65" s="1"/>
  <c r="B141" i="65" s="1"/>
  <c r="B142" i="65" s="1"/>
  <c r="B143" i="65" s="1"/>
  <c r="B144" i="65" s="1"/>
  <c r="B145" i="65" s="1"/>
  <c r="B146" i="65" s="1"/>
  <c r="B147" i="65" s="1"/>
  <c r="B148" i="65" s="1"/>
  <c r="B149" i="65" s="1"/>
  <c r="B150" i="65" s="1"/>
  <c r="B151" i="65" s="1"/>
  <c r="B152" i="65" s="1"/>
  <c r="B153" i="65" s="1"/>
  <c r="B154" i="65" s="1"/>
  <c r="B155" i="65" s="1"/>
  <c r="B156" i="65" s="1"/>
  <c r="B157" i="65" s="1"/>
  <c r="B158" i="65" s="1"/>
  <c r="B159" i="65" s="1"/>
  <c r="B160" i="65" s="1"/>
  <c r="B161" i="65" s="1"/>
  <c r="B162" i="65" s="1"/>
  <c r="B163" i="65" s="1"/>
  <c r="B164" i="65" s="1"/>
  <c r="B165" i="65" s="1"/>
  <c r="B166" i="65" s="1"/>
  <c r="B167" i="65" s="1"/>
  <c r="B168" i="65" s="1"/>
  <c r="B169" i="65" s="1"/>
  <c r="B170" i="65" s="1"/>
  <c r="B171" i="65" s="1"/>
  <c r="B172" i="65" s="1"/>
  <c r="B173" i="65" s="1"/>
  <c r="B174" i="65" s="1"/>
  <c r="B175" i="65" s="1"/>
  <c r="B176" i="65" s="1"/>
  <c r="B177" i="65" s="1"/>
  <c r="B178" i="65" s="1"/>
  <c r="J131" i="65"/>
  <c r="W131" i="65" s="1"/>
  <c r="J122" i="65"/>
  <c r="W122" i="65" s="1"/>
  <c r="J121" i="65"/>
  <c r="W121" i="65" s="1"/>
  <c r="J120" i="65"/>
  <c r="V120" i="65" s="1"/>
  <c r="J119" i="65"/>
  <c r="W119" i="65" s="1"/>
  <c r="J118" i="65"/>
  <c r="V118" i="65" s="1"/>
  <c r="J117" i="65"/>
  <c r="W117" i="65" s="1"/>
  <c r="J116" i="65"/>
  <c r="V116" i="65" s="1"/>
  <c r="J115" i="65"/>
  <c r="W115" i="65" s="1"/>
  <c r="J114" i="65"/>
  <c r="V114" i="65" s="1"/>
  <c r="B114" i="65"/>
  <c r="B115" i="65" s="1"/>
  <c r="B116" i="65" s="1"/>
  <c r="B117" i="65" s="1"/>
  <c r="B118" i="65" s="1"/>
  <c r="B119" i="65" s="1"/>
  <c r="B120" i="65" s="1"/>
  <c r="B121" i="65" s="1"/>
  <c r="B122" i="65" s="1"/>
  <c r="J113" i="65"/>
  <c r="V113" i="65" s="1"/>
  <c r="J112" i="65"/>
  <c r="W112" i="65" s="1"/>
  <c r="J111" i="65"/>
  <c r="J110" i="65"/>
  <c r="J109" i="65"/>
  <c r="J108" i="65"/>
  <c r="J107" i="65"/>
  <c r="J106" i="65"/>
  <c r="J105" i="65"/>
  <c r="J104" i="65"/>
  <c r="J103" i="65"/>
  <c r="J102" i="65"/>
  <c r="V102" i="65" s="1"/>
  <c r="J101" i="65"/>
  <c r="V101" i="65" s="1"/>
  <c r="J100" i="65"/>
  <c r="J99" i="65"/>
  <c r="V99" i="65" s="1"/>
  <c r="J98" i="65"/>
  <c r="V98" i="65" s="1"/>
  <c r="J97" i="65"/>
  <c r="V97" i="65" s="1"/>
  <c r="J96" i="65"/>
  <c r="J95" i="65"/>
  <c r="V95" i="65" s="1"/>
  <c r="J94" i="65"/>
  <c r="V94" i="65" s="1"/>
  <c r="J93" i="65"/>
  <c r="V93" i="65" s="1"/>
  <c r="J92" i="65"/>
  <c r="J91" i="65"/>
  <c r="V91" i="65" s="1"/>
  <c r="J90" i="65"/>
  <c r="V90" i="65" s="1"/>
  <c r="J89" i="65"/>
  <c r="V89" i="65" s="1"/>
  <c r="J88" i="65"/>
  <c r="J87" i="65"/>
  <c r="V87" i="65" s="1"/>
  <c r="J86" i="65"/>
  <c r="V86" i="65" s="1"/>
  <c r="J85" i="65"/>
  <c r="V85" i="65" s="1"/>
  <c r="J84" i="65"/>
  <c r="J83" i="65"/>
  <c r="V83" i="65" s="1"/>
  <c r="J82" i="65"/>
  <c r="V82" i="65" s="1"/>
  <c r="J81" i="65"/>
  <c r="V81" i="65" s="1"/>
  <c r="J80" i="65"/>
  <c r="J79" i="65"/>
  <c r="V79" i="65" s="1"/>
  <c r="J78" i="65"/>
  <c r="V78" i="65" s="1"/>
  <c r="J77" i="65"/>
  <c r="V77" i="65" s="1"/>
  <c r="J76" i="65"/>
  <c r="J75" i="65"/>
  <c r="V75" i="65" s="1"/>
  <c r="J74" i="65"/>
  <c r="V74" i="65" s="1"/>
  <c r="J73" i="65"/>
  <c r="V73" i="65" s="1"/>
  <c r="J72" i="65"/>
  <c r="J71" i="65"/>
  <c r="V71" i="65" s="1"/>
  <c r="J70" i="65"/>
  <c r="V70" i="65" s="1"/>
  <c r="B70" i="65"/>
  <c r="B71" i="65" s="1"/>
  <c r="B72" i="65" s="1"/>
  <c r="B73" i="65" s="1"/>
  <c r="B74" i="65" s="1"/>
  <c r="B75" i="65" s="1"/>
  <c r="B76" i="65" s="1"/>
  <c r="B77" i="65" s="1"/>
  <c r="B78" i="65" s="1"/>
  <c r="B79" i="65" s="1"/>
  <c r="B80" i="65" s="1"/>
  <c r="B81" i="65" s="1"/>
  <c r="B82" i="65" s="1"/>
  <c r="B83" i="65" s="1"/>
  <c r="B84" i="65" s="1"/>
  <c r="B85" i="65" s="1"/>
  <c r="B86" i="65" s="1"/>
  <c r="B87" i="65" s="1"/>
  <c r="B88" i="65" s="1"/>
  <c r="B89" i="65" s="1"/>
  <c r="B90" i="65" s="1"/>
  <c r="B91" i="65" s="1"/>
  <c r="B92" i="65" s="1"/>
  <c r="B93" i="65" s="1"/>
  <c r="B94" i="65" s="1"/>
  <c r="B95" i="65" s="1"/>
  <c r="B96" i="65" s="1"/>
  <c r="B97" i="65" s="1"/>
  <c r="B98" i="65" s="1"/>
  <c r="B99" i="65" s="1"/>
  <c r="B100" i="65" s="1"/>
  <c r="B101" i="65" s="1"/>
  <c r="B102" i="65" s="1"/>
  <c r="J69" i="65"/>
  <c r="V69" i="65" s="1"/>
  <c r="J60" i="65"/>
  <c r="W60" i="65" s="1"/>
  <c r="J59" i="65"/>
  <c r="J58" i="65"/>
  <c r="V58" i="65" s="1"/>
  <c r="W57" i="65"/>
  <c r="J57" i="65"/>
  <c r="V57" i="65" s="1"/>
  <c r="J56" i="65"/>
  <c r="V55" i="65"/>
  <c r="J55" i="65"/>
  <c r="W55" i="65" s="1"/>
  <c r="J54" i="65"/>
  <c r="W53" i="65"/>
  <c r="V53" i="65"/>
  <c r="J53" i="65"/>
  <c r="J52" i="65"/>
  <c r="W52" i="65" s="1"/>
  <c r="J51" i="65"/>
  <c r="J50" i="65"/>
  <c r="V50" i="65" s="1"/>
  <c r="J49" i="65"/>
  <c r="W49" i="65" s="1"/>
  <c r="J48" i="65"/>
  <c r="J47" i="65"/>
  <c r="W47" i="65" s="1"/>
  <c r="J46" i="65"/>
  <c r="W46" i="65" s="1"/>
  <c r="J45" i="65"/>
  <c r="W45" i="65" s="1"/>
  <c r="J44" i="65"/>
  <c r="J43" i="65"/>
  <c r="J42" i="65"/>
  <c r="V42" i="65" s="1"/>
  <c r="W41" i="65"/>
  <c r="J41" i="65"/>
  <c r="V41" i="65" s="1"/>
  <c r="J40" i="65"/>
  <c r="W40" i="65" s="1"/>
  <c r="J39" i="65"/>
  <c r="W39" i="65" s="1"/>
  <c r="J38" i="65"/>
  <c r="W38" i="65" s="1"/>
  <c r="J37" i="65"/>
  <c r="J36" i="65"/>
  <c r="J35" i="65"/>
  <c r="W35" i="65" s="1"/>
  <c r="J34" i="65"/>
  <c r="W34" i="65" s="1"/>
  <c r="J33" i="65"/>
  <c r="W33" i="65" s="1"/>
  <c r="J32" i="65"/>
  <c r="J31" i="65"/>
  <c r="V31" i="65" s="1"/>
  <c r="J30" i="65"/>
  <c r="W30" i="65" s="1"/>
  <c r="J29" i="65"/>
  <c r="W29" i="65" s="1"/>
  <c r="J28" i="65"/>
  <c r="W28" i="65" s="1"/>
  <c r="J27" i="65"/>
  <c r="W27" i="65" s="1"/>
  <c r="J26" i="65"/>
  <c r="J25" i="65"/>
  <c r="W25" i="65" s="1"/>
  <c r="J24" i="65"/>
  <c r="W24" i="65" s="1"/>
  <c r="J23" i="65"/>
  <c r="J22" i="65"/>
  <c r="W22" i="65" s="1"/>
  <c r="J21" i="65"/>
  <c r="W21" i="65" s="1"/>
  <c r="J20" i="65"/>
  <c r="J19" i="65"/>
  <c r="V19" i="65" s="1"/>
  <c r="J18" i="65"/>
  <c r="W18" i="65" s="1"/>
  <c r="J17" i="65"/>
  <c r="W17" i="65" s="1"/>
  <c r="J16" i="65"/>
  <c r="W16" i="65" s="1"/>
  <c r="J15" i="65"/>
  <c r="W15" i="65" s="1"/>
  <c r="J14" i="65"/>
  <c r="V14" i="65" s="1"/>
  <c r="J13" i="65"/>
  <c r="V13" i="65" s="1"/>
  <c r="J12" i="65"/>
  <c r="W12" i="65" s="1"/>
  <c r="J10" i="65"/>
  <c r="W10" i="65" s="1"/>
  <c r="V9" i="65"/>
  <c r="J9" i="65"/>
  <c r="W9" i="65" s="1"/>
  <c r="N8" i="65"/>
  <c r="J8" i="65"/>
  <c r="W8" i="65" s="1"/>
  <c r="W7" i="65"/>
  <c r="J7" i="65"/>
  <c r="V7" i="65" s="1"/>
  <c r="N6" i="65"/>
  <c r="N4" i="65"/>
  <c r="V29" i="65" l="1"/>
  <c r="V47" i="65"/>
  <c r="V52" i="65"/>
  <c r="V60" i="65"/>
  <c r="W79" i="65"/>
  <c r="W82" i="65"/>
  <c r="V162" i="65"/>
  <c r="V46" i="65"/>
  <c r="W50" i="65"/>
  <c r="W58" i="65"/>
  <c r="W70" i="65"/>
  <c r="V115" i="65"/>
  <c r="W99" i="65"/>
  <c r="W102" i="65"/>
  <c r="W175" i="65"/>
  <c r="W171" i="65"/>
  <c r="V40" i="65"/>
  <c r="V165" i="65"/>
  <c r="V160" i="65"/>
  <c r="V35" i="65"/>
  <c r="W157" i="65"/>
  <c r="V156" i="65"/>
  <c r="V27" i="65"/>
  <c r="V149" i="65"/>
  <c r="W146" i="65"/>
  <c r="V25" i="65"/>
  <c r="V22" i="65"/>
  <c r="V140" i="65"/>
  <c r="W19" i="65"/>
  <c r="V18" i="65"/>
  <c r="W13" i="65"/>
  <c r="W11" i="65"/>
  <c r="V10" i="65"/>
  <c r="V135" i="65"/>
  <c r="W120" i="65"/>
  <c r="W74" i="65"/>
  <c r="W87" i="65"/>
  <c r="W94" i="65"/>
  <c r="W116" i="65"/>
  <c r="V119" i="65"/>
  <c r="W98" i="65"/>
  <c r="V122" i="65"/>
  <c r="W71" i="65"/>
  <c r="W73" i="65"/>
  <c r="W75" i="65"/>
  <c r="W78" i="65"/>
  <c r="W83" i="65"/>
  <c r="W86" i="65"/>
  <c r="V112" i="65"/>
  <c r="W113" i="65"/>
  <c r="W114" i="65"/>
  <c r="V117" i="65"/>
  <c r="W118" i="65"/>
  <c r="V121" i="65"/>
  <c r="W90" i="65"/>
  <c r="W95" i="65"/>
  <c r="W89" i="65"/>
  <c r="W91" i="65"/>
  <c r="V6" i="65"/>
  <c r="V12" i="65"/>
  <c r="V16" i="65"/>
  <c r="V28" i="65"/>
  <c r="W31" i="65"/>
  <c r="V34" i="65"/>
  <c r="W14" i="65"/>
  <c r="V30" i="65"/>
  <c r="V39" i="65"/>
  <c r="W42" i="65"/>
  <c r="V148" i="65"/>
  <c r="V155" i="65"/>
  <c r="V159" i="65"/>
  <c r="W145" i="65"/>
  <c r="V147" i="65"/>
  <c r="V158" i="65"/>
  <c r="W167" i="65"/>
  <c r="W132" i="65"/>
  <c r="W136" i="65"/>
  <c r="W150" i="65"/>
  <c r="W152" i="65"/>
  <c r="V152" i="65"/>
  <c r="V143" i="65"/>
  <c r="W143" i="65"/>
  <c r="V20" i="65"/>
  <c r="W20" i="65"/>
  <c r="W23" i="65"/>
  <c r="V23" i="65"/>
  <c r="V54" i="65"/>
  <c r="W54" i="65"/>
  <c r="V80" i="65"/>
  <c r="W80" i="65"/>
  <c r="V173" i="65"/>
  <c r="W173" i="65"/>
  <c r="V21" i="65"/>
  <c r="V24" i="65"/>
  <c r="W36" i="65"/>
  <c r="V36" i="65"/>
  <c r="V38" i="65"/>
  <c r="V45" i="65"/>
  <c r="W51" i="65"/>
  <c r="V51" i="65"/>
  <c r="W77" i="65"/>
  <c r="V84" i="65"/>
  <c r="W84" i="65"/>
  <c r="W93" i="65"/>
  <c r="V100" i="65"/>
  <c r="W100" i="65"/>
  <c r="J123" i="65"/>
  <c r="V139" i="65"/>
  <c r="W164" i="65"/>
  <c r="V164" i="65"/>
  <c r="V174" i="65"/>
  <c r="W174" i="65"/>
  <c r="N10" i="65"/>
  <c r="V17" i="65"/>
  <c r="W26" i="65"/>
  <c r="V26" i="65"/>
  <c r="V33" i="65"/>
  <c r="V49" i="65"/>
  <c r="W69" i="65"/>
  <c r="V72" i="65"/>
  <c r="W72" i="65"/>
  <c r="W81" i="65"/>
  <c r="V88" i="65"/>
  <c r="W88" i="65"/>
  <c r="W97" i="65"/>
  <c r="W103" i="65"/>
  <c r="V103" i="65"/>
  <c r="V138" i="65"/>
  <c r="W154" i="65"/>
  <c r="W166" i="65"/>
  <c r="W170" i="65"/>
  <c r="W32" i="65"/>
  <c r="V32" i="65"/>
  <c r="W48" i="65"/>
  <c r="V48" i="65"/>
  <c r="V96" i="65"/>
  <c r="W96" i="65"/>
  <c r="W137" i="65"/>
  <c r="V137" i="65"/>
  <c r="W151" i="65"/>
  <c r="V151" i="65"/>
  <c r="V153" i="65"/>
  <c r="W153" i="65"/>
  <c r="V169" i="65"/>
  <c r="W169" i="65"/>
  <c r="V8" i="65"/>
  <c r="V15" i="65"/>
  <c r="W43" i="65"/>
  <c r="V43" i="65"/>
  <c r="W59" i="65"/>
  <c r="V59" i="65"/>
  <c r="W37" i="65"/>
  <c r="V37" i="65"/>
  <c r="W44" i="65"/>
  <c r="V44" i="65"/>
  <c r="W56" i="65"/>
  <c r="V56" i="65"/>
  <c r="V76" i="65"/>
  <c r="W76" i="65"/>
  <c r="W85" i="65"/>
  <c r="V92" i="65"/>
  <c r="W92" i="65"/>
  <c r="W101" i="65"/>
  <c r="V131" i="65"/>
  <c r="J179" i="65"/>
  <c r="V134" i="65"/>
  <c r="W134" i="65"/>
  <c r="W142" i="65"/>
  <c r="V142" i="65"/>
  <c r="W144" i="65"/>
  <c r="V161" i="65"/>
  <c r="V178" i="65"/>
  <c r="W178" i="65"/>
  <c r="J61" i="65"/>
  <c r="W177" i="65"/>
  <c r="W133" i="65"/>
  <c r="V141" i="65"/>
  <c r="V163" i="65"/>
  <c r="W168" i="65"/>
  <c r="W172" i="65"/>
  <c r="W176" i="65"/>
  <c r="H166" i="64"/>
  <c r="J166" i="64" s="1"/>
  <c r="V166" i="64" s="1"/>
  <c r="J165" i="64"/>
  <c r="V165" i="64" s="1"/>
  <c r="H161" i="64"/>
  <c r="H44" i="64"/>
  <c r="H42" i="64"/>
  <c r="J42" i="64"/>
  <c r="V42" i="64" s="1"/>
  <c r="J43" i="64"/>
  <c r="V43" i="64" s="1"/>
  <c r="H39" i="64"/>
  <c r="V61" i="65" l="1"/>
  <c r="O4" i="65" s="1"/>
  <c r="R4" i="65" s="1"/>
  <c r="W179" i="65"/>
  <c r="P8" i="65" s="1"/>
  <c r="V123" i="65"/>
  <c r="O6" i="65" s="1"/>
  <c r="R6" i="65" s="1"/>
  <c r="W123" i="65"/>
  <c r="P6" i="65" s="1"/>
  <c r="W61" i="65"/>
  <c r="P4" i="65" s="1"/>
  <c r="Q4" i="65" s="1"/>
  <c r="Q10" i="65" s="1"/>
  <c r="V179" i="65"/>
  <c r="O8" i="65" s="1"/>
  <c r="R8" i="65" s="1"/>
  <c r="W166" i="64"/>
  <c r="W165" i="64"/>
  <c r="W43" i="64"/>
  <c r="W42" i="64"/>
  <c r="H160" i="64"/>
  <c r="H155" i="64"/>
  <c r="H37" i="64"/>
  <c r="H31" i="64"/>
  <c r="P10" i="65" l="1"/>
  <c r="O10" i="65"/>
  <c r="R10" i="65" s="1"/>
  <c r="P12" i="65" s="1"/>
  <c r="H153" i="64"/>
  <c r="H152" i="64"/>
  <c r="H28" i="64"/>
  <c r="H149" i="64" l="1"/>
  <c r="H146" i="64"/>
  <c r="H143" i="64"/>
  <c r="H23" i="64"/>
  <c r="H22" i="64"/>
  <c r="H20" i="64"/>
  <c r="H16" i="64" l="1"/>
  <c r="H12" i="64"/>
  <c r="N8" i="64"/>
  <c r="H139" i="64"/>
  <c r="J139" i="64" s="1"/>
  <c r="W139" i="64" s="1"/>
  <c r="H136" i="64"/>
  <c r="J136" i="64"/>
  <c r="H135" i="64"/>
  <c r="H131" i="64"/>
  <c r="J178" i="64"/>
  <c r="V178" i="64" s="1"/>
  <c r="J177" i="64"/>
  <c r="V177" i="64" s="1"/>
  <c r="J176" i="64"/>
  <c r="V176" i="64" s="1"/>
  <c r="J175" i="64"/>
  <c r="V175" i="64" s="1"/>
  <c r="J174" i="64"/>
  <c r="V174" i="64" s="1"/>
  <c r="J173" i="64"/>
  <c r="V173" i="64" s="1"/>
  <c r="J172" i="64"/>
  <c r="V172" i="64" s="1"/>
  <c r="J171" i="64"/>
  <c r="V171" i="64" s="1"/>
  <c r="J170" i="64"/>
  <c r="V170" i="64" s="1"/>
  <c r="J169" i="64"/>
  <c r="V169" i="64" s="1"/>
  <c r="J168" i="64"/>
  <c r="V168" i="64" s="1"/>
  <c r="J167" i="64"/>
  <c r="V167" i="64" s="1"/>
  <c r="J164" i="64"/>
  <c r="V164" i="64" s="1"/>
  <c r="J163" i="64"/>
  <c r="V163" i="64" s="1"/>
  <c r="J162" i="64"/>
  <c r="V162" i="64" s="1"/>
  <c r="J161" i="64"/>
  <c r="V161" i="64" s="1"/>
  <c r="J160" i="64"/>
  <c r="V160" i="64" s="1"/>
  <c r="J159" i="64"/>
  <c r="V159" i="64" s="1"/>
  <c r="J158" i="64"/>
  <c r="V158" i="64" s="1"/>
  <c r="J157" i="64"/>
  <c r="V157" i="64" s="1"/>
  <c r="J156" i="64"/>
  <c r="W156" i="64" s="1"/>
  <c r="J155" i="64"/>
  <c r="W155" i="64" s="1"/>
  <c r="J154" i="64"/>
  <c r="W154" i="64" s="1"/>
  <c r="J153" i="64"/>
  <c r="W153" i="64" s="1"/>
  <c r="J152" i="64"/>
  <c r="W152" i="64" s="1"/>
  <c r="J151" i="64"/>
  <c r="J150" i="64"/>
  <c r="J149" i="64"/>
  <c r="J148" i="64"/>
  <c r="W148" i="64" s="1"/>
  <c r="J147" i="64"/>
  <c r="V147" i="64" s="1"/>
  <c r="J146" i="64"/>
  <c r="V146" i="64" s="1"/>
  <c r="J145" i="64"/>
  <c r="V145" i="64" s="1"/>
  <c r="J144" i="64"/>
  <c r="V144" i="64" s="1"/>
  <c r="J143" i="64"/>
  <c r="W143" i="64" s="1"/>
  <c r="J142" i="64"/>
  <c r="V142" i="64" s="1"/>
  <c r="J141" i="64"/>
  <c r="W141" i="64" s="1"/>
  <c r="J140" i="64"/>
  <c r="V140" i="64" s="1"/>
  <c r="J138" i="64"/>
  <c r="V138" i="64" s="1"/>
  <c r="J137" i="64"/>
  <c r="V137" i="64" s="1"/>
  <c r="W136" i="64"/>
  <c r="J135" i="64"/>
  <c r="V135" i="64" s="1"/>
  <c r="J134" i="64"/>
  <c r="V134" i="64" s="1"/>
  <c r="J133" i="64"/>
  <c r="V133" i="64" s="1"/>
  <c r="J132" i="64"/>
  <c r="V132" i="64" s="1"/>
  <c r="B132" i="64"/>
  <c r="B133" i="64" s="1"/>
  <c r="B134" i="64" s="1"/>
  <c r="B135" i="64" s="1"/>
  <c r="B136" i="64" s="1"/>
  <c r="B137" i="64" s="1"/>
  <c r="B138" i="64" s="1"/>
  <c r="B139" i="64" s="1"/>
  <c r="B140" i="64" s="1"/>
  <c r="B141" i="64" s="1"/>
  <c r="B142" i="64" s="1"/>
  <c r="B143" i="64" s="1"/>
  <c r="B144" i="64" s="1"/>
  <c r="B145" i="64" s="1"/>
  <c r="B146" i="64" s="1"/>
  <c r="B147" i="64" s="1"/>
  <c r="B148" i="64" s="1"/>
  <c r="B149" i="64" s="1"/>
  <c r="B150" i="64" s="1"/>
  <c r="B151" i="64" s="1"/>
  <c r="B152" i="64" s="1"/>
  <c r="B153" i="64" s="1"/>
  <c r="B154" i="64" s="1"/>
  <c r="B155" i="64" s="1"/>
  <c r="B156" i="64" s="1"/>
  <c r="B157" i="64" s="1"/>
  <c r="B158" i="64" s="1"/>
  <c r="B159" i="64" s="1"/>
  <c r="B160" i="64" s="1"/>
  <c r="B161" i="64" s="1"/>
  <c r="B162" i="64" s="1"/>
  <c r="B163" i="64" s="1"/>
  <c r="B164" i="64" s="1"/>
  <c r="J131" i="64"/>
  <c r="V131" i="64" s="1"/>
  <c r="J122" i="64"/>
  <c r="V122" i="64" s="1"/>
  <c r="J121" i="64"/>
  <c r="V121" i="64" s="1"/>
  <c r="J120" i="64"/>
  <c r="V120" i="64" s="1"/>
  <c r="J119" i="64"/>
  <c r="V119" i="64" s="1"/>
  <c r="J118" i="64"/>
  <c r="V118" i="64" s="1"/>
  <c r="J117" i="64"/>
  <c r="V117" i="64" s="1"/>
  <c r="J116" i="64"/>
  <c r="V116" i="64" s="1"/>
  <c r="J115" i="64"/>
  <c r="V115" i="64" s="1"/>
  <c r="J114" i="64"/>
  <c r="V114" i="64" s="1"/>
  <c r="B114" i="64"/>
  <c r="B115" i="64" s="1"/>
  <c r="B116" i="64" s="1"/>
  <c r="B117" i="64" s="1"/>
  <c r="B118" i="64" s="1"/>
  <c r="B119" i="64" s="1"/>
  <c r="B120" i="64" s="1"/>
  <c r="B121" i="64" s="1"/>
  <c r="B122" i="64" s="1"/>
  <c r="J113" i="64"/>
  <c r="V113" i="64" s="1"/>
  <c r="J112" i="64"/>
  <c r="W112" i="64" s="1"/>
  <c r="J111" i="64"/>
  <c r="J110" i="64"/>
  <c r="J109" i="64"/>
  <c r="J108" i="64"/>
  <c r="J107" i="64"/>
  <c r="J106" i="64"/>
  <c r="J105" i="64"/>
  <c r="J104" i="64"/>
  <c r="J103" i="64"/>
  <c r="V103" i="64" s="1"/>
  <c r="J102" i="64"/>
  <c r="V102" i="64" s="1"/>
  <c r="J101" i="64"/>
  <c r="V101" i="64" s="1"/>
  <c r="J100" i="64"/>
  <c r="W100" i="64" s="1"/>
  <c r="J99" i="64"/>
  <c r="W99" i="64" s="1"/>
  <c r="J98" i="64"/>
  <c r="V98" i="64" s="1"/>
  <c r="J97" i="64"/>
  <c r="W97" i="64" s="1"/>
  <c r="J96" i="64"/>
  <c r="W96" i="64" s="1"/>
  <c r="J95" i="64"/>
  <c r="W95" i="64" s="1"/>
  <c r="J94" i="64"/>
  <c r="V94" i="64" s="1"/>
  <c r="J93" i="64"/>
  <c r="V93" i="64" s="1"/>
  <c r="J92" i="64"/>
  <c r="W92" i="64" s="1"/>
  <c r="J91" i="64"/>
  <c r="W91" i="64" s="1"/>
  <c r="J90" i="64"/>
  <c r="V90" i="64" s="1"/>
  <c r="J89" i="64"/>
  <c r="W89" i="64" s="1"/>
  <c r="J88" i="64"/>
  <c r="W88" i="64" s="1"/>
  <c r="J87" i="64"/>
  <c r="W87" i="64" s="1"/>
  <c r="J86" i="64"/>
  <c r="V86" i="64" s="1"/>
  <c r="J85" i="64"/>
  <c r="W85" i="64" s="1"/>
  <c r="J84" i="64"/>
  <c r="W84" i="64" s="1"/>
  <c r="J83" i="64"/>
  <c r="W83" i="64" s="1"/>
  <c r="J82" i="64"/>
  <c r="V82" i="64" s="1"/>
  <c r="J81" i="64"/>
  <c r="W81" i="64" s="1"/>
  <c r="J80" i="64"/>
  <c r="W80" i="64" s="1"/>
  <c r="J79" i="64"/>
  <c r="W79" i="64" s="1"/>
  <c r="J78" i="64"/>
  <c r="V78" i="64" s="1"/>
  <c r="W77" i="64"/>
  <c r="J77" i="64"/>
  <c r="V77" i="64" s="1"/>
  <c r="J76" i="64"/>
  <c r="W76" i="64" s="1"/>
  <c r="J75" i="64"/>
  <c r="W75" i="64" s="1"/>
  <c r="J74" i="64"/>
  <c r="V74" i="64" s="1"/>
  <c r="J73" i="64"/>
  <c r="W73" i="64" s="1"/>
  <c r="J72" i="64"/>
  <c r="V72" i="64" s="1"/>
  <c r="W71" i="64"/>
  <c r="J71" i="64"/>
  <c r="V71" i="64" s="1"/>
  <c r="J70" i="64"/>
  <c r="W70" i="64" s="1"/>
  <c r="B70" i="64"/>
  <c r="B71" i="64" s="1"/>
  <c r="B72" i="64" s="1"/>
  <c r="B73" i="64" s="1"/>
  <c r="B74" i="64" s="1"/>
  <c r="B75" i="64" s="1"/>
  <c r="B76" i="64" s="1"/>
  <c r="B77" i="64" s="1"/>
  <c r="B78" i="64" s="1"/>
  <c r="B79" i="64" s="1"/>
  <c r="B80" i="64" s="1"/>
  <c r="B81" i="64" s="1"/>
  <c r="B82" i="64" s="1"/>
  <c r="B83" i="64" s="1"/>
  <c r="B84" i="64" s="1"/>
  <c r="B85" i="64" s="1"/>
  <c r="B86" i="64" s="1"/>
  <c r="B87" i="64" s="1"/>
  <c r="B88" i="64" s="1"/>
  <c r="B89" i="64" s="1"/>
  <c r="B90" i="64" s="1"/>
  <c r="B91" i="64" s="1"/>
  <c r="B92" i="64" s="1"/>
  <c r="B93" i="64" s="1"/>
  <c r="B94" i="64" s="1"/>
  <c r="B95" i="64" s="1"/>
  <c r="B96" i="64" s="1"/>
  <c r="B97" i="64" s="1"/>
  <c r="B98" i="64" s="1"/>
  <c r="B99" i="64" s="1"/>
  <c r="B100" i="64" s="1"/>
  <c r="B101" i="64" s="1"/>
  <c r="B102" i="64" s="1"/>
  <c r="J69" i="64"/>
  <c r="W69" i="64" s="1"/>
  <c r="J60" i="64"/>
  <c r="W60" i="64" s="1"/>
  <c r="J59" i="64"/>
  <c r="V59" i="64" s="1"/>
  <c r="J58" i="64"/>
  <c r="V58" i="64" s="1"/>
  <c r="J57" i="64"/>
  <c r="V57" i="64" s="1"/>
  <c r="J56" i="64"/>
  <c r="W56" i="64" s="1"/>
  <c r="J55" i="64"/>
  <c r="V55" i="64" s="1"/>
  <c r="J54" i="64"/>
  <c r="W54" i="64" s="1"/>
  <c r="J53" i="64"/>
  <c r="W53" i="64" s="1"/>
  <c r="J52" i="64"/>
  <c r="W52" i="64" s="1"/>
  <c r="J51" i="64"/>
  <c r="V51" i="64" s="1"/>
  <c r="J50" i="64"/>
  <c r="W50" i="64" s="1"/>
  <c r="J49" i="64"/>
  <c r="V49" i="64" s="1"/>
  <c r="J48" i="64"/>
  <c r="W48" i="64" s="1"/>
  <c r="J47" i="64"/>
  <c r="V47" i="64" s="1"/>
  <c r="J46" i="64"/>
  <c r="V46" i="64" s="1"/>
  <c r="J45" i="64"/>
  <c r="W45" i="64" s="1"/>
  <c r="J44" i="64"/>
  <c r="W44" i="64" s="1"/>
  <c r="J41" i="64"/>
  <c r="V41" i="64" s="1"/>
  <c r="J40" i="64"/>
  <c r="W40" i="64" s="1"/>
  <c r="J39" i="64"/>
  <c r="V39" i="64" s="1"/>
  <c r="J38" i="64"/>
  <c r="W38" i="64" s="1"/>
  <c r="J37" i="64"/>
  <c r="V37" i="64" s="1"/>
  <c r="J36" i="64"/>
  <c r="W36" i="64" s="1"/>
  <c r="J35" i="64"/>
  <c r="W35" i="64" s="1"/>
  <c r="J34" i="64"/>
  <c r="W34" i="64" s="1"/>
  <c r="J33" i="64"/>
  <c r="V33" i="64" s="1"/>
  <c r="J32" i="64"/>
  <c r="W32" i="64" s="1"/>
  <c r="J31" i="64"/>
  <c r="V31" i="64" s="1"/>
  <c r="J30" i="64"/>
  <c r="W30" i="64" s="1"/>
  <c r="J29" i="64"/>
  <c r="V29" i="64" s="1"/>
  <c r="J28" i="64"/>
  <c r="W28" i="64" s="1"/>
  <c r="J27" i="64"/>
  <c r="W27" i="64" s="1"/>
  <c r="J26" i="64"/>
  <c r="W26" i="64" s="1"/>
  <c r="J25" i="64"/>
  <c r="V25" i="64" s="1"/>
  <c r="J24" i="64"/>
  <c r="W24" i="64" s="1"/>
  <c r="J23" i="64"/>
  <c r="V23" i="64" s="1"/>
  <c r="J22" i="64"/>
  <c r="W22" i="64" s="1"/>
  <c r="J21" i="64"/>
  <c r="W21" i="64" s="1"/>
  <c r="J20" i="64"/>
  <c r="J19" i="64"/>
  <c r="W19" i="64" s="1"/>
  <c r="J18" i="64"/>
  <c r="J17" i="64"/>
  <c r="V17" i="64" s="1"/>
  <c r="J16" i="64"/>
  <c r="W16" i="64" s="1"/>
  <c r="J15" i="64"/>
  <c r="W15" i="64" s="1"/>
  <c r="J14" i="64"/>
  <c r="W14" i="64" s="1"/>
  <c r="J13" i="64"/>
  <c r="V13" i="64" s="1"/>
  <c r="J12" i="64"/>
  <c r="W12" i="64" s="1"/>
  <c r="J11" i="64"/>
  <c r="V11" i="64" s="1"/>
  <c r="J10" i="64"/>
  <c r="W10" i="64" s="1"/>
  <c r="J9" i="64"/>
  <c r="J8" i="64"/>
  <c r="V8" i="64" s="1"/>
  <c r="J7" i="64"/>
  <c r="V7" i="64" s="1"/>
  <c r="N6" i="64"/>
  <c r="J6" i="64"/>
  <c r="V6" i="64" s="1"/>
  <c r="N4" i="64"/>
  <c r="W93" i="64" l="1"/>
  <c r="W72" i="64"/>
  <c r="W173" i="64"/>
  <c r="B168" i="64"/>
  <c r="B169" i="64" s="1"/>
  <c r="B170" i="64" s="1"/>
  <c r="B171" i="64" s="1"/>
  <c r="B172" i="64" s="1"/>
  <c r="B173" i="64" s="1"/>
  <c r="B174" i="64" s="1"/>
  <c r="B175" i="64" s="1"/>
  <c r="B176" i="64" s="1"/>
  <c r="B177" i="64" s="1"/>
  <c r="B178" i="64" s="1"/>
  <c r="B165" i="64"/>
  <c r="B166" i="64" s="1"/>
  <c r="B167" i="64" s="1"/>
  <c r="V69" i="64"/>
  <c r="V70" i="64"/>
  <c r="V73" i="64"/>
  <c r="W86" i="64"/>
  <c r="V89" i="64"/>
  <c r="W102" i="64"/>
  <c r="V85" i="64"/>
  <c r="W171" i="64"/>
  <c r="W78" i="64"/>
  <c r="V81" i="64"/>
  <c r="W94" i="64"/>
  <c r="V97" i="64"/>
  <c r="W101" i="64"/>
  <c r="W169" i="64"/>
  <c r="W177" i="64"/>
  <c r="W82" i="64"/>
  <c r="W98" i="64"/>
  <c r="W74" i="64"/>
  <c r="W90" i="64"/>
  <c r="W115" i="64"/>
  <c r="W167" i="64"/>
  <c r="W175" i="64"/>
  <c r="V54" i="64"/>
  <c r="V76" i="64"/>
  <c r="V80" i="64"/>
  <c r="V84" i="64"/>
  <c r="V88" i="64"/>
  <c r="V92" i="64"/>
  <c r="V96" i="64"/>
  <c r="V100" i="64"/>
  <c r="W121" i="64"/>
  <c r="W147" i="64"/>
  <c r="V75" i="64"/>
  <c r="V79" i="64"/>
  <c r="V83" i="64"/>
  <c r="V87" i="64"/>
  <c r="V91" i="64"/>
  <c r="V95" i="64"/>
  <c r="V99" i="64"/>
  <c r="W119" i="64"/>
  <c r="W168" i="64"/>
  <c r="W170" i="64"/>
  <c r="W172" i="64"/>
  <c r="W174" i="64"/>
  <c r="W176" i="64"/>
  <c r="W178" i="64"/>
  <c r="W46" i="64"/>
  <c r="W49" i="64"/>
  <c r="W58" i="64"/>
  <c r="V112" i="64"/>
  <c r="W117" i="64"/>
  <c r="W164" i="64"/>
  <c r="W163" i="64"/>
  <c r="W162" i="64"/>
  <c r="W161" i="64"/>
  <c r="V50" i="64"/>
  <c r="W57" i="64"/>
  <c r="V40" i="64"/>
  <c r="W39" i="64"/>
  <c r="W160" i="64"/>
  <c r="W159" i="64"/>
  <c r="V36" i="64"/>
  <c r="V32" i="64"/>
  <c r="W145" i="64"/>
  <c r="V148" i="64"/>
  <c r="W146" i="64"/>
  <c r="N10" i="64"/>
  <c r="V22" i="64"/>
  <c r="V19" i="64"/>
  <c r="V12" i="64"/>
  <c r="W11" i="64"/>
  <c r="W142" i="64"/>
  <c r="V136" i="64"/>
  <c r="W138" i="64"/>
  <c r="V141" i="64"/>
  <c r="V153" i="64"/>
  <c r="V155" i="64"/>
  <c r="W157" i="64"/>
  <c r="W144" i="64"/>
  <c r="V152" i="64"/>
  <c r="V154" i="64"/>
  <c r="V156" i="64"/>
  <c r="W158" i="64"/>
  <c r="W13" i="64"/>
  <c r="V28" i="64"/>
  <c r="W31" i="64"/>
  <c r="V14" i="64"/>
  <c r="V16" i="64"/>
  <c r="W23" i="64"/>
  <c r="W6" i="64"/>
  <c r="W8" i="64"/>
  <c r="W20" i="64"/>
  <c r="V20" i="64"/>
  <c r="V18" i="64"/>
  <c r="W18" i="64"/>
  <c r="V9" i="64"/>
  <c r="J61" i="64"/>
  <c r="W9" i="64"/>
  <c r="W149" i="64"/>
  <c r="V149" i="64"/>
  <c r="V10" i="64"/>
  <c r="V21" i="64"/>
  <c r="W25" i="64"/>
  <c r="V27" i="64"/>
  <c r="V30" i="64"/>
  <c r="W33" i="64"/>
  <c r="V35" i="64"/>
  <c r="V38" i="64"/>
  <c r="W41" i="64"/>
  <c r="V45" i="64"/>
  <c r="V48" i="64"/>
  <c r="W51" i="64"/>
  <c r="V53" i="64"/>
  <c r="V56" i="64"/>
  <c r="W59" i="64"/>
  <c r="W132" i="64"/>
  <c r="W134" i="64"/>
  <c r="W150" i="64"/>
  <c r="V150" i="64"/>
  <c r="W131" i="64"/>
  <c r="J179" i="64"/>
  <c r="V15" i="64"/>
  <c r="V24" i="64"/>
  <c r="W114" i="64"/>
  <c r="W116" i="64"/>
  <c r="W118" i="64"/>
  <c r="W120" i="64"/>
  <c r="W122" i="64"/>
  <c r="W137" i="64"/>
  <c r="V139" i="64"/>
  <c r="W140" i="64"/>
  <c r="V143" i="64"/>
  <c r="W151" i="64"/>
  <c r="V151" i="64"/>
  <c r="W7" i="64"/>
  <c r="W17" i="64"/>
  <c r="V26" i="64"/>
  <c r="W29" i="64"/>
  <c r="V34" i="64"/>
  <c r="W37" i="64"/>
  <c r="V44" i="64"/>
  <c r="W47" i="64"/>
  <c r="V52" i="64"/>
  <c r="W55" i="64"/>
  <c r="V60" i="64"/>
  <c r="J123" i="64"/>
  <c r="W103" i="64"/>
  <c r="W113" i="64"/>
  <c r="W133" i="64"/>
  <c r="W135" i="64"/>
  <c r="H155" i="63"/>
  <c r="V123" i="64" l="1"/>
  <c r="O6" i="64" s="1"/>
  <c r="R6" i="64" s="1"/>
  <c r="W123" i="64"/>
  <c r="P6" i="64" s="1"/>
  <c r="W61" i="64"/>
  <c r="P4" i="64" s="1"/>
  <c r="V179" i="64"/>
  <c r="O8" i="64" s="1"/>
  <c r="R8" i="64" s="1"/>
  <c r="V61" i="64"/>
  <c r="O4" i="64" s="1"/>
  <c r="W179" i="64"/>
  <c r="P8" i="64" s="1"/>
  <c r="H23" i="63"/>
  <c r="H146" i="63"/>
  <c r="H20" i="63"/>
  <c r="O10" i="64" l="1"/>
  <c r="R10" i="64" s="1"/>
  <c r="P12" i="64" s="1"/>
  <c r="P10" i="64"/>
  <c r="R4" i="64"/>
  <c r="Q4" i="64"/>
  <c r="Q10" i="64" s="1"/>
  <c r="H149" i="63"/>
  <c r="H147" i="63"/>
  <c r="H142" i="63"/>
  <c r="H141" i="63"/>
  <c r="H140" i="63"/>
  <c r="H139" i="63"/>
  <c r="H138" i="63"/>
  <c r="H137" i="63"/>
  <c r="H135" i="63"/>
  <c r="H134" i="63"/>
  <c r="H24" i="63" l="1"/>
  <c r="H18" i="63" l="1"/>
  <c r="H16" i="63"/>
  <c r="H15" i="63"/>
  <c r="H13" i="63"/>
  <c r="J13" i="63" s="1"/>
  <c r="V13" i="63" s="1"/>
  <c r="H9" i="63"/>
  <c r="H6" i="63"/>
  <c r="H130" i="63"/>
  <c r="H129" i="63"/>
  <c r="J129" i="63" s="1"/>
  <c r="W129" i="63" s="1"/>
  <c r="J174" i="63"/>
  <c r="V174" i="63" s="1"/>
  <c r="J173" i="63"/>
  <c r="V173" i="63" s="1"/>
  <c r="J172" i="63"/>
  <c r="V172" i="63" s="1"/>
  <c r="J171" i="63"/>
  <c r="V171" i="63" s="1"/>
  <c r="J170" i="63"/>
  <c r="V170" i="63" s="1"/>
  <c r="J169" i="63"/>
  <c r="V169" i="63" s="1"/>
  <c r="J168" i="63"/>
  <c r="V168" i="63" s="1"/>
  <c r="J167" i="63"/>
  <c r="V167" i="63" s="1"/>
  <c r="J166" i="63"/>
  <c r="V166" i="63" s="1"/>
  <c r="J165" i="63"/>
  <c r="V165" i="63" s="1"/>
  <c r="J164" i="63"/>
  <c r="V164" i="63" s="1"/>
  <c r="J163" i="63"/>
  <c r="V163" i="63" s="1"/>
  <c r="J162" i="63"/>
  <c r="V162" i="63" s="1"/>
  <c r="J161" i="63"/>
  <c r="V161" i="63" s="1"/>
  <c r="J160" i="63"/>
  <c r="J159" i="63"/>
  <c r="J158" i="63"/>
  <c r="W158" i="63" s="1"/>
  <c r="J157" i="63"/>
  <c r="W157" i="63" s="1"/>
  <c r="J156" i="63"/>
  <c r="V156" i="63" s="1"/>
  <c r="J155" i="63"/>
  <c r="V155" i="63" s="1"/>
  <c r="J154" i="63"/>
  <c r="J153" i="63"/>
  <c r="J152" i="63"/>
  <c r="J151" i="63"/>
  <c r="W151" i="63" s="1"/>
  <c r="V150" i="63"/>
  <c r="J150" i="63"/>
  <c r="W150" i="63" s="1"/>
  <c r="J149" i="63"/>
  <c r="V149" i="63" s="1"/>
  <c r="J148" i="63"/>
  <c r="W148" i="63" s="1"/>
  <c r="J147" i="63"/>
  <c r="W147" i="63" s="1"/>
  <c r="J146" i="63"/>
  <c r="W146" i="63" s="1"/>
  <c r="J145" i="63"/>
  <c r="W145" i="63" s="1"/>
  <c r="J144" i="63"/>
  <c r="J143" i="63"/>
  <c r="J142" i="63"/>
  <c r="V142" i="63" s="1"/>
  <c r="J141" i="63"/>
  <c r="V141" i="63" s="1"/>
  <c r="J140" i="63"/>
  <c r="W140" i="63" s="1"/>
  <c r="J139" i="63"/>
  <c r="W139" i="63" s="1"/>
  <c r="J138" i="63"/>
  <c r="W138" i="63" s="1"/>
  <c r="J137" i="63"/>
  <c r="V137" i="63" s="1"/>
  <c r="J136" i="63"/>
  <c r="V136" i="63" s="1"/>
  <c r="J135" i="63"/>
  <c r="V135" i="63" s="1"/>
  <c r="J133" i="63"/>
  <c r="W133" i="63" s="1"/>
  <c r="J134" i="63"/>
  <c r="J132" i="63"/>
  <c r="V132" i="63" s="1"/>
  <c r="J131" i="63"/>
  <c r="V131" i="63" s="1"/>
  <c r="J130" i="63"/>
  <c r="W130" i="63" s="1"/>
  <c r="B130" i="63"/>
  <c r="B131" i="63" s="1"/>
  <c r="B132" i="63" s="1"/>
  <c r="B133" i="63" s="1"/>
  <c r="B134" i="63" s="1"/>
  <c r="B135" i="63" s="1"/>
  <c r="B136" i="63" s="1"/>
  <c r="B137" i="63" s="1"/>
  <c r="B138" i="63" s="1"/>
  <c r="B139" i="63" s="1"/>
  <c r="B140" i="63" s="1"/>
  <c r="B141" i="63" s="1"/>
  <c r="B142" i="63" s="1"/>
  <c r="B143" i="63" s="1"/>
  <c r="B144" i="63" s="1"/>
  <c r="B145" i="63" s="1"/>
  <c r="B146" i="63" s="1"/>
  <c r="B147" i="63" s="1"/>
  <c r="B148" i="63" s="1"/>
  <c r="B149" i="63" s="1"/>
  <c r="B150" i="63" s="1"/>
  <c r="B151" i="63" s="1"/>
  <c r="B152" i="63" s="1"/>
  <c r="B153" i="63" s="1"/>
  <c r="B154" i="63" s="1"/>
  <c r="B155" i="63" s="1"/>
  <c r="B156" i="63" s="1"/>
  <c r="B157" i="63" s="1"/>
  <c r="B158" i="63" s="1"/>
  <c r="B159" i="63" s="1"/>
  <c r="B160" i="63" s="1"/>
  <c r="B161" i="63" s="1"/>
  <c r="B162" i="63" s="1"/>
  <c r="B163" i="63" s="1"/>
  <c r="B164" i="63" s="1"/>
  <c r="B165" i="63" s="1"/>
  <c r="B166" i="63" s="1"/>
  <c r="B167" i="63" s="1"/>
  <c r="B168" i="63" s="1"/>
  <c r="B169" i="63" s="1"/>
  <c r="B170" i="63" s="1"/>
  <c r="B171" i="63" s="1"/>
  <c r="B172" i="63" s="1"/>
  <c r="B173" i="63" s="1"/>
  <c r="B174" i="63" s="1"/>
  <c r="J120" i="63"/>
  <c r="W120" i="63" s="1"/>
  <c r="J119" i="63"/>
  <c r="V119" i="63" s="1"/>
  <c r="J118" i="63"/>
  <c r="V118" i="63" s="1"/>
  <c r="J117" i="63"/>
  <c r="V117" i="63" s="1"/>
  <c r="J116" i="63"/>
  <c r="V116" i="63" s="1"/>
  <c r="J115" i="63"/>
  <c r="V115" i="63" s="1"/>
  <c r="J114" i="63"/>
  <c r="V114" i="63" s="1"/>
  <c r="J113" i="63"/>
  <c r="V113" i="63" s="1"/>
  <c r="J112" i="63"/>
  <c r="V112" i="63" s="1"/>
  <c r="B112" i="63"/>
  <c r="B113" i="63" s="1"/>
  <c r="B114" i="63" s="1"/>
  <c r="B115" i="63" s="1"/>
  <c r="B116" i="63" s="1"/>
  <c r="B117" i="63" s="1"/>
  <c r="B118" i="63" s="1"/>
  <c r="B119" i="63" s="1"/>
  <c r="B120" i="63" s="1"/>
  <c r="J111" i="63"/>
  <c r="V111" i="63" s="1"/>
  <c r="J110" i="63"/>
  <c r="W110" i="63" s="1"/>
  <c r="J109" i="63"/>
  <c r="J108" i="63"/>
  <c r="J107" i="63"/>
  <c r="J106" i="63"/>
  <c r="J105" i="63"/>
  <c r="J104" i="63"/>
  <c r="J103" i="63"/>
  <c r="J102" i="63"/>
  <c r="J101" i="63"/>
  <c r="V101" i="63" s="1"/>
  <c r="V100" i="63"/>
  <c r="J100" i="63"/>
  <c r="W100" i="63" s="1"/>
  <c r="J99" i="63"/>
  <c r="W99" i="63" s="1"/>
  <c r="J98" i="63"/>
  <c r="W98" i="63" s="1"/>
  <c r="J97" i="63"/>
  <c r="W97" i="63" s="1"/>
  <c r="J96" i="63"/>
  <c r="W96" i="63" s="1"/>
  <c r="J95" i="63"/>
  <c r="W95" i="63" s="1"/>
  <c r="V94" i="63"/>
  <c r="J94" i="63"/>
  <c r="W94" i="63" s="1"/>
  <c r="J93" i="63"/>
  <c r="W93" i="63" s="1"/>
  <c r="J92" i="63"/>
  <c r="W92" i="63" s="1"/>
  <c r="J91" i="63"/>
  <c r="W91" i="63" s="1"/>
  <c r="J90" i="63"/>
  <c r="W90" i="63" s="1"/>
  <c r="J89" i="63"/>
  <c r="W89" i="63" s="1"/>
  <c r="J88" i="63"/>
  <c r="W88" i="63" s="1"/>
  <c r="J87" i="63"/>
  <c r="W87" i="63" s="1"/>
  <c r="J86" i="63"/>
  <c r="W86" i="63" s="1"/>
  <c r="J85" i="63"/>
  <c r="W85" i="63" s="1"/>
  <c r="J84" i="63"/>
  <c r="W84" i="63" s="1"/>
  <c r="J83" i="63"/>
  <c r="W83" i="63" s="1"/>
  <c r="J82" i="63"/>
  <c r="W82" i="63" s="1"/>
  <c r="J81" i="63"/>
  <c r="W81" i="63" s="1"/>
  <c r="J80" i="63"/>
  <c r="W80" i="63" s="1"/>
  <c r="J79" i="63"/>
  <c r="W79" i="63" s="1"/>
  <c r="J78" i="63"/>
  <c r="W78" i="63" s="1"/>
  <c r="J77" i="63"/>
  <c r="W77" i="63" s="1"/>
  <c r="J76" i="63"/>
  <c r="W76" i="63" s="1"/>
  <c r="J75" i="63"/>
  <c r="W75" i="63" s="1"/>
  <c r="J74" i="63"/>
  <c r="W74" i="63" s="1"/>
  <c r="J73" i="63"/>
  <c r="W73" i="63" s="1"/>
  <c r="J72" i="63"/>
  <c r="W72" i="63" s="1"/>
  <c r="J71" i="63"/>
  <c r="W71" i="63" s="1"/>
  <c r="J70" i="63"/>
  <c r="V70" i="63" s="1"/>
  <c r="J69" i="63"/>
  <c r="V69" i="63" s="1"/>
  <c r="J68" i="63"/>
  <c r="W68" i="63" s="1"/>
  <c r="B68" i="63"/>
  <c r="B69" i="63" s="1"/>
  <c r="B70" i="63" s="1"/>
  <c r="B71" i="63" s="1"/>
  <c r="B72" i="63" s="1"/>
  <c r="B73" i="63" s="1"/>
  <c r="B74" i="63" s="1"/>
  <c r="B75" i="63" s="1"/>
  <c r="B76" i="63" s="1"/>
  <c r="B77" i="63" s="1"/>
  <c r="B78" i="63" s="1"/>
  <c r="B79" i="63" s="1"/>
  <c r="B80" i="63" s="1"/>
  <c r="B81" i="63" s="1"/>
  <c r="B82" i="63" s="1"/>
  <c r="B83" i="63" s="1"/>
  <c r="B84" i="63" s="1"/>
  <c r="B85" i="63" s="1"/>
  <c r="B86" i="63" s="1"/>
  <c r="B87" i="63" s="1"/>
  <c r="B88" i="63" s="1"/>
  <c r="B89" i="63" s="1"/>
  <c r="B90" i="63" s="1"/>
  <c r="B91" i="63" s="1"/>
  <c r="B92" i="63" s="1"/>
  <c r="B93" i="63" s="1"/>
  <c r="B94" i="63" s="1"/>
  <c r="B95" i="63" s="1"/>
  <c r="B96" i="63" s="1"/>
  <c r="B97" i="63" s="1"/>
  <c r="B98" i="63" s="1"/>
  <c r="B99" i="63" s="1"/>
  <c r="B100" i="63" s="1"/>
  <c r="V67" i="63"/>
  <c r="J67" i="63"/>
  <c r="W67" i="63" s="1"/>
  <c r="J58" i="63"/>
  <c r="W58" i="63" s="1"/>
  <c r="J57" i="63"/>
  <c r="J56" i="63"/>
  <c r="W56" i="63" s="1"/>
  <c r="W55" i="63"/>
  <c r="J55" i="63"/>
  <c r="V55" i="63" s="1"/>
  <c r="J54" i="63"/>
  <c r="W54" i="63" s="1"/>
  <c r="J53" i="63"/>
  <c r="J52" i="63"/>
  <c r="W52" i="63" s="1"/>
  <c r="W51" i="63"/>
  <c r="J51" i="63"/>
  <c r="V51" i="63" s="1"/>
  <c r="J50" i="63"/>
  <c r="W50" i="63" s="1"/>
  <c r="J49" i="63"/>
  <c r="J48" i="63"/>
  <c r="W48" i="63" s="1"/>
  <c r="W47" i="63"/>
  <c r="J47" i="63"/>
  <c r="V47" i="63" s="1"/>
  <c r="J46" i="63"/>
  <c r="W46" i="63" s="1"/>
  <c r="J45" i="63"/>
  <c r="J44" i="63"/>
  <c r="W44" i="63" s="1"/>
  <c r="J43" i="63"/>
  <c r="V43" i="63" s="1"/>
  <c r="J42" i="63"/>
  <c r="W42" i="63" s="1"/>
  <c r="J41" i="63"/>
  <c r="J40" i="63"/>
  <c r="J39" i="63"/>
  <c r="W39" i="63" s="1"/>
  <c r="J38" i="63"/>
  <c r="V38" i="63" s="1"/>
  <c r="J37" i="63"/>
  <c r="V37" i="63" s="1"/>
  <c r="J36" i="63"/>
  <c r="V35" i="63"/>
  <c r="J35" i="63"/>
  <c r="W35" i="63" s="1"/>
  <c r="J34" i="63"/>
  <c r="V34" i="63" s="1"/>
  <c r="W33" i="63"/>
  <c r="J33" i="63"/>
  <c r="V33" i="63" s="1"/>
  <c r="J32" i="63"/>
  <c r="J31" i="63"/>
  <c r="J30" i="63"/>
  <c r="W30" i="63" s="1"/>
  <c r="J29" i="63"/>
  <c r="V29" i="63" s="1"/>
  <c r="J28" i="63"/>
  <c r="W28" i="63" s="1"/>
  <c r="J27" i="63"/>
  <c r="J26" i="63"/>
  <c r="J25" i="63"/>
  <c r="W25" i="63" s="1"/>
  <c r="J24" i="63"/>
  <c r="V24" i="63" s="1"/>
  <c r="J23" i="63"/>
  <c r="W23" i="63" s="1"/>
  <c r="J22" i="63"/>
  <c r="J21" i="63"/>
  <c r="J20" i="63"/>
  <c r="W20" i="63" s="1"/>
  <c r="J19" i="63"/>
  <c r="V19" i="63" s="1"/>
  <c r="J18" i="63"/>
  <c r="V18" i="63" s="1"/>
  <c r="J17" i="63"/>
  <c r="W17" i="63" s="1"/>
  <c r="J16" i="63"/>
  <c r="W16" i="63" s="1"/>
  <c r="J15" i="63"/>
  <c r="J14" i="63"/>
  <c r="W14" i="63" s="1"/>
  <c r="J12" i="63"/>
  <c r="W12" i="63" s="1"/>
  <c r="J11" i="63"/>
  <c r="V11" i="63" s="1"/>
  <c r="J10" i="63"/>
  <c r="W10" i="63" s="1"/>
  <c r="J9" i="63"/>
  <c r="W9" i="63" s="1"/>
  <c r="R8" i="63"/>
  <c r="J8" i="63"/>
  <c r="V8" i="63" s="1"/>
  <c r="J7" i="63"/>
  <c r="W7" i="63" s="1"/>
  <c r="N6" i="63"/>
  <c r="J6" i="63"/>
  <c r="N4" i="63"/>
  <c r="W38" i="63" l="1"/>
  <c r="V46" i="63"/>
  <c r="V50" i="63"/>
  <c r="V54" i="63"/>
  <c r="V58" i="63"/>
  <c r="V92" i="63"/>
  <c r="V98" i="63"/>
  <c r="W165" i="63"/>
  <c r="W167" i="63"/>
  <c r="W169" i="63"/>
  <c r="W171" i="63"/>
  <c r="W173" i="63"/>
  <c r="W34" i="63"/>
  <c r="V44" i="63"/>
  <c r="V48" i="63"/>
  <c r="V52" i="63"/>
  <c r="V56" i="63"/>
  <c r="V90" i="63"/>
  <c r="W141" i="63"/>
  <c r="W37" i="63"/>
  <c r="V39" i="63"/>
  <c r="V42" i="63"/>
  <c r="V88" i="63"/>
  <c r="V110" i="63"/>
  <c r="W164" i="63"/>
  <c r="W166" i="63"/>
  <c r="W168" i="63"/>
  <c r="W170" i="63"/>
  <c r="W172" i="63"/>
  <c r="W174" i="63"/>
  <c r="V148" i="63"/>
  <c r="V146" i="63"/>
  <c r="V139" i="63"/>
  <c r="W137" i="63"/>
  <c r="W135" i="63"/>
  <c r="W24" i="63"/>
  <c r="W19" i="63"/>
  <c r="W13" i="63"/>
  <c r="W11" i="63"/>
  <c r="V9" i="63"/>
  <c r="W156" i="63"/>
  <c r="V158" i="63"/>
  <c r="W163" i="63"/>
  <c r="V133" i="63"/>
  <c r="W136" i="63"/>
  <c r="V138" i="63"/>
  <c r="V140" i="63"/>
  <c r="W142" i="63"/>
  <c r="V145" i="63"/>
  <c r="V147" i="63"/>
  <c r="W149" i="63"/>
  <c r="V151" i="63"/>
  <c r="W161" i="63"/>
  <c r="W155" i="63"/>
  <c r="V157" i="63"/>
  <c r="W162" i="63"/>
  <c r="W69" i="63"/>
  <c r="V71" i="63"/>
  <c r="V73" i="63"/>
  <c r="V75" i="63"/>
  <c r="V77" i="63"/>
  <c r="V79" i="63"/>
  <c r="V81" i="63"/>
  <c r="V83" i="63"/>
  <c r="V85" i="63"/>
  <c r="V87" i="63"/>
  <c r="V89" i="63"/>
  <c r="V91" i="63"/>
  <c r="V93" i="63"/>
  <c r="V95" i="63"/>
  <c r="V97" i="63"/>
  <c r="V99" i="63"/>
  <c r="W101" i="63"/>
  <c r="W111" i="63"/>
  <c r="V68" i="63"/>
  <c r="V72" i="63"/>
  <c r="V74" i="63"/>
  <c r="V76" i="63"/>
  <c r="V78" i="63"/>
  <c r="V80" i="63"/>
  <c r="V82" i="63"/>
  <c r="V84" i="63"/>
  <c r="V86" i="63"/>
  <c r="V96" i="63"/>
  <c r="V16" i="63"/>
  <c r="W18" i="63"/>
  <c r="V20" i="63"/>
  <c r="V23" i="63"/>
  <c r="W29" i="63"/>
  <c r="V7" i="63"/>
  <c r="V10" i="63"/>
  <c r="V12" i="63"/>
  <c r="V14" i="63"/>
  <c r="V25" i="63"/>
  <c r="V28" i="63"/>
  <c r="V30" i="63"/>
  <c r="W43" i="63"/>
  <c r="V32" i="63"/>
  <c r="W32" i="63"/>
  <c r="W40" i="63"/>
  <c r="V40" i="63"/>
  <c r="V26" i="63"/>
  <c r="W26" i="63"/>
  <c r="V45" i="63"/>
  <c r="W45" i="63"/>
  <c r="V53" i="63"/>
  <c r="W53" i="63"/>
  <c r="V36" i="63"/>
  <c r="W36" i="63"/>
  <c r="V22" i="63"/>
  <c r="W22" i="63"/>
  <c r="V41" i="63"/>
  <c r="W41" i="63"/>
  <c r="V49" i="63"/>
  <c r="W49" i="63"/>
  <c r="V57" i="63"/>
  <c r="W57" i="63"/>
  <c r="V134" i="63"/>
  <c r="W134" i="63"/>
  <c r="V6" i="63"/>
  <c r="J59" i="63"/>
  <c r="W6" i="63"/>
  <c r="V15" i="63"/>
  <c r="W15" i="63"/>
  <c r="N10" i="63"/>
  <c r="V17" i="63"/>
  <c r="V21" i="63"/>
  <c r="W21" i="63"/>
  <c r="V27" i="63"/>
  <c r="W27" i="63"/>
  <c r="W31" i="63"/>
  <c r="V31" i="63"/>
  <c r="W70" i="63"/>
  <c r="J121" i="63"/>
  <c r="W8" i="63"/>
  <c r="W144" i="63"/>
  <c r="V144" i="63"/>
  <c r="W154" i="63"/>
  <c r="V154" i="63"/>
  <c r="W159" i="63"/>
  <c r="V159" i="63"/>
  <c r="W112" i="63"/>
  <c r="W114" i="63"/>
  <c r="W116" i="63"/>
  <c r="W118" i="63"/>
  <c r="V120" i="63"/>
  <c r="V129" i="63"/>
  <c r="J175" i="63"/>
  <c r="V130" i="63"/>
  <c r="W131" i="63"/>
  <c r="W160" i="63"/>
  <c r="V160" i="63"/>
  <c r="W152" i="63"/>
  <c r="V152" i="63"/>
  <c r="W113" i="63"/>
  <c r="W115" i="63"/>
  <c r="W117" i="63"/>
  <c r="W119" i="63"/>
  <c r="W132" i="63"/>
  <c r="W143" i="63"/>
  <c r="V143" i="63"/>
  <c r="W153" i="63"/>
  <c r="V153" i="63"/>
  <c r="H161" i="62"/>
  <c r="H160" i="62"/>
  <c r="H40" i="62"/>
  <c r="W175" i="63" l="1"/>
  <c r="V121" i="63"/>
  <c r="O6" i="63" s="1"/>
  <c r="R6" i="63" s="1"/>
  <c r="W121" i="63"/>
  <c r="P6" i="63" s="1"/>
  <c r="V59" i="63"/>
  <c r="O4" i="63" s="1"/>
  <c r="V175" i="63"/>
  <c r="W59" i="63"/>
  <c r="P4" i="63" s="1"/>
  <c r="P10" i="63" s="1"/>
  <c r="H159" i="62"/>
  <c r="H157" i="62"/>
  <c r="H155" i="62"/>
  <c r="H154" i="62"/>
  <c r="H120" i="62"/>
  <c r="R4" i="63" l="1"/>
  <c r="R10" i="63"/>
  <c r="P12" i="63" s="1"/>
  <c r="Q4" i="63"/>
  <c r="Q10" i="63" s="1"/>
  <c r="H31" i="62"/>
  <c r="H27" i="62"/>
  <c r="H152" i="62"/>
  <c r="H150" i="62"/>
  <c r="H149" i="62"/>
  <c r="H144" i="62" l="1"/>
  <c r="H22" i="62"/>
  <c r="H70" i="62" l="1"/>
  <c r="H19" i="62"/>
  <c r="H141" i="62"/>
  <c r="H138" i="62"/>
  <c r="H69" i="62"/>
  <c r="H17" i="62"/>
  <c r="H12" i="62" l="1"/>
  <c r="H134" i="62"/>
  <c r="H133" i="62" l="1"/>
  <c r="H6" i="62" l="1"/>
  <c r="H131" i="62" l="1"/>
  <c r="H130" i="62"/>
  <c r="H129" i="62"/>
  <c r="W174" i="62"/>
  <c r="J174" i="62"/>
  <c r="V174" i="62" s="1"/>
  <c r="J173" i="62"/>
  <c r="V173" i="62" s="1"/>
  <c r="J172" i="62"/>
  <c r="V172" i="62" s="1"/>
  <c r="J171" i="62"/>
  <c r="V171" i="62" s="1"/>
  <c r="J170" i="62"/>
  <c r="V170" i="62" s="1"/>
  <c r="J169" i="62"/>
  <c r="V169" i="62" s="1"/>
  <c r="J168" i="62"/>
  <c r="V168" i="62" s="1"/>
  <c r="J167" i="62"/>
  <c r="V167" i="62" s="1"/>
  <c r="J166" i="62"/>
  <c r="V166" i="62" s="1"/>
  <c r="J165" i="62"/>
  <c r="V165" i="62" s="1"/>
  <c r="W164" i="62"/>
  <c r="J164" i="62"/>
  <c r="V164" i="62" s="1"/>
  <c r="J163" i="62"/>
  <c r="V163" i="62" s="1"/>
  <c r="J162" i="62"/>
  <c r="V162" i="62" s="1"/>
  <c r="J161" i="62"/>
  <c r="V161" i="62" s="1"/>
  <c r="W160" i="62"/>
  <c r="J160" i="62"/>
  <c r="V160" i="62" s="1"/>
  <c r="J159" i="62"/>
  <c r="V159" i="62" s="1"/>
  <c r="J158" i="62"/>
  <c r="J157" i="62"/>
  <c r="J156" i="62"/>
  <c r="W156" i="62" s="1"/>
  <c r="J155" i="62"/>
  <c r="V155" i="62" s="1"/>
  <c r="J154" i="62"/>
  <c r="J153" i="62"/>
  <c r="J152" i="62"/>
  <c r="J151" i="62"/>
  <c r="W151" i="62" s="1"/>
  <c r="W150" i="62"/>
  <c r="J150" i="62"/>
  <c r="V150" i="62" s="1"/>
  <c r="J149" i="62"/>
  <c r="W149" i="62" s="1"/>
  <c r="J148" i="62"/>
  <c r="W148" i="62" s="1"/>
  <c r="J147" i="62"/>
  <c r="W147" i="62" s="1"/>
  <c r="J146" i="62"/>
  <c r="W146" i="62" s="1"/>
  <c r="J145" i="62"/>
  <c r="V145" i="62" s="1"/>
  <c r="J144" i="62"/>
  <c r="V144" i="62" s="1"/>
  <c r="J143" i="62"/>
  <c r="V143" i="62" s="1"/>
  <c r="J142" i="62"/>
  <c r="V142" i="62" s="1"/>
  <c r="J141" i="62"/>
  <c r="J140" i="62"/>
  <c r="J139" i="62"/>
  <c r="W139" i="62" s="1"/>
  <c r="J138" i="62"/>
  <c r="W138" i="62" s="1"/>
  <c r="J137" i="62"/>
  <c r="W137" i="62" s="1"/>
  <c r="J136" i="62"/>
  <c r="V136" i="62" s="1"/>
  <c r="J135" i="62"/>
  <c r="V135" i="62" s="1"/>
  <c r="J134" i="62"/>
  <c r="W134" i="62" s="1"/>
  <c r="J131" i="62"/>
  <c r="J130" i="62"/>
  <c r="B130" i="62"/>
  <c r="B131" i="62" s="1"/>
  <c r="B132" i="62" s="1"/>
  <c r="B133" i="62" s="1"/>
  <c r="B134" i="62" s="1"/>
  <c r="B135" i="62" s="1"/>
  <c r="B136" i="62" s="1"/>
  <c r="B137" i="62" s="1"/>
  <c r="B138" i="62" s="1"/>
  <c r="B139" i="62" s="1"/>
  <c r="B140" i="62" s="1"/>
  <c r="B141" i="62" s="1"/>
  <c r="B142" i="62" s="1"/>
  <c r="B143" i="62" s="1"/>
  <c r="B144" i="62" s="1"/>
  <c r="B145" i="62" s="1"/>
  <c r="B146" i="62" s="1"/>
  <c r="B147" i="62" s="1"/>
  <c r="B148" i="62" s="1"/>
  <c r="B149" i="62" s="1"/>
  <c r="B150" i="62" s="1"/>
  <c r="B151" i="62" s="1"/>
  <c r="B152" i="62" s="1"/>
  <c r="B153" i="62" s="1"/>
  <c r="B154" i="62" s="1"/>
  <c r="B155" i="62" s="1"/>
  <c r="B156" i="62" s="1"/>
  <c r="B157" i="62" s="1"/>
  <c r="B158" i="62" s="1"/>
  <c r="B159" i="62" s="1"/>
  <c r="B160" i="62" s="1"/>
  <c r="B161" i="62" s="1"/>
  <c r="B162" i="62" s="1"/>
  <c r="B163" i="62" s="1"/>
  <c r="B164" i="62" s="1"/>
  <c r="B165" i="62" s="1"/>
  <c r="B166" i="62" s="1"/>
  <c r="B167" i="62" s="1"/>
  <c r="B168" i="62" s="1"/>
  <c r="B169" i="62" s="1"/>
  <c r="B170" i="62" s="1"/>
  <c r="B171" i="62" s="1"/>
  <c r="B172" i="62" s="1"/>
  <c r="B173" i="62" s="1"/>
  <c r="B174" i="62" s="1"/>
  <c r="J129" i="62"/>
  <c r="J120" i="62"/>
  <c r="J119" i="62"/>
  <c r="J118" i="62"/>
  <c r="J117" i="62"/>
  <c r="J116" i="62"/>
  <c r="J115" i="62"/>
  <c r="J114" i="62"/>
  <c r="J113" i="62"/>
  <c r="J112" i="62"/>
  <c r="B112" i="62"/>
  <c r="B113" i="62" s="1"/>
  <c r="B114" i="62" s="1"/>
  <c r="B115" i="62" s="1"/>
  <c r="B116" i="62" s="1"/>
  <c r="B117" i="62" s="1"/>
  <c r="B118" i="62" s="1"/>
  <c r="B119" i="62" s="1"/>
  <c r="B120" i="62" s="1"/>
  <c r="J111" i="62"/>
  <c r="J110" i="62"/>
  <c r="W110" i="62" s="1"/>
  <c r="J109" i="62"/>
  <c r="J108" i="62"/>
  <c r="J107" i="62"/>
  <c r="J106" i="62"/>
  <c r="J105" i="62"/>
  <c r="J104" i="62"/>
  <c r="J103" i="62"/>
  <c r="J102" i="62"/>
  <c r="J101" i="62"/>
  <c r="V101" i="62" s="1"/>
  <c r="V100" i="62"/>
  <c r="J100" i="62"/>
  <c r="W100" i="62" s="1"/>
  <c r="W99" i="62"/>
  <c r="J99" i="62"/>
  <c r="V99" i="62" s="1"/>
  <c r="V98" i="62"/>
  <c r="J98" i="62"/>
  <c r="W98" i="62" s="1"/>
  <c r="J97" i="62"/>
  <c r="W97" i="62" s="1"/>
  <c r="J96" i="62"/>
  <c r="W96" i="62" s="1"/>
  <c r="W95" i="62"/>
  <c r="J95" i="62"/>
  <c r="V95" i="62" s="1"/>
  <c r="V94" i="62"/>
  <c r="J94" i="62"/>
  <c r="W94" i="62" s="1"/>
  <c r="J93" i="62"/>
  <c r="W93" i="62" s="1"/>
  <c r="J92" i="62"/>
  <c r="W92" i="62" s="1"/>
  <c r="W91" i="62"/>
  <c r="J91" i="62"/>
  <c r="V91" i="62" s="1"/>
  <c r="V90" i="62"/>
  <c r="J90" i="62"/>
  <c r="W90" i="62" s="1"/>
  <c r="J89" i="62"/>
  <c r="W89" i="62" s="1"/>
  <c r="J88" i="62"/>
  <c r="W88" i="62" s="1"/>
  <c r="W87" i="62"/>
  <c r="J87" i="62"/>
  <c r="V87" i="62" s="1"/>
  <c r="V86" i="62"/>
  <c r="J86" i="62"/>
  <c r="W86" i="62" s="1"/>
  <c r="J85" i="62"/>
  <c r="W85" i="62" s="1"/>
  <c r="J84" i="62"/>
  <c r="W84" i="62" s="1"/>
  <c r="W83" i="62"/>
  <c r="J83" i="62"/>
  <c r="V83" i="62" s="1"/>
  <c r="V82" i="62"/>
  <c r="J82" i="62"/>
  <c r="W82" i="62" s="1"/>
  <c r="J81" i="62"/>
  <c r="W81" i="62" s="1"/>
  <c r="J80" i="62"/>
  <c r="W80" i="62" s="1"/>
  <c r="W79" i="62"/>
  <c r="J79" i="62"/>
  <c r="V79" i="62" s="1"/>
  <c r="V78" i="62"/>
  <c r="J78" i="62"/>
  <c r="W78" i="62" s="1"/>
  <c r="J77" i="62"/>
  <c r="W77" i="62" s="1"/>
  <c r="J76" i="62"/>
  <c r="W76" i="62" s="1"/>
  <c r="J75" i="62"/>
  <c r="V75" i="62" s="1"/>
  <c r="J74" i="62"/>
  <c r="W74" i="62" s="1"/>
  <c r="J73" i="62"/>
  <c r="W73" i="62" s="1"/>
  <c r="J72" i="62"/>
  <c r="W72" i="62" s="1"/>
  <c r="J71" i="62"/>
  <c r="W71" i="62" s="1"/>
  <c r="J70" i="62"/>
  <c r="W70" i="62" s="1"/>
  <c r="J69" i="62"/>
  <c r="V69" i="62" s="1"/>
  <c r="J68" i="62"/>
  <c r="B68" i="62"/>
  <c r="B69" i="62" s="1"/>
  <c r="B70" i="62" s="1"/>
  <c r="B71" i="62" s="1"/>
  <c r="B72" i="62" s="1"/>
  <c r="B73" i="62" s="1"/>
  <c r="B74" i="62" s="1"/>
  <c r="B75" i="62" s="1"/>
  <c r="B76" i="62" s="1"/>
  <c r="B77" i="62" s="1"/>
  <c r="B78" i="62" s="1"/>
  <c r="B79" i="62" s="1"/>
  <c r="B80" i="62" s="1"/>
  <c r="B81" i="62" s="1"/>
  <c r="B82" i="62" s="1"/>
  <c r="B83" i="62" s="1"/>
  <c r="B84" i="62" s="1"/>
  <c r="B85" i="62" s="1"/>
  <c r="B86" i="62" s="1"/>
  <c r="B87" i="62" s="1"/>
  <c r="B88" i="62" s="1"/>
  <c r="B89" i="62" s="1"/>
  <c r="B90" i="62" s="1"/>
  <c r="B91" i="62" s="1"/>
  <c r="B92" i="62" s="1"/>
  <c r="B93" i="62" s="1"/>
  <c r="B94" i="62" s="1"/>
  <c r="B95" i="62" s="1"/>
  <c r="B96" i="62" s="1"/>
  <c r="B97" i="62" s="1"/>
  <c r="B98" i="62" s="1"/>
  <c r="B99" i="62" s="1"/>
  <c r="B100" i="62" s="1"/>
  <c r="J67" i="62"/>
  <c r="J58" i="62"/>
  <c r="W58" i="62" s="1"/>
  <c r="V57" i="62"/>
  <c r="J57" i="62"/>
  <c r="W57" i="62" s="1"/>
  <c r="J56" i="62"/>
  <c r="W55" i="62"/>
  <c r="V55" i="62"/>
  <c r="J55" i="62"/>
  <c r="J54" i="62"/>
  <c r="V54" i="62" s="1"/>
  <c r="J53" i="62"/>
  <c r="W53" i="62" s="1"/>
  <c r="J52" i="62"/>
  <c r="W51" i="62"/>
  <c r="V51" i="62"/>
  <c r="J51" i="62"/>
  <c r="J50" i="62"/>
  <c r="V50" i="62" s="1"/>
  <c r="J49" i="62"/>
  <c r="W49" i="62" s="1"/>
  <c r="J48" i="62"/>
  <c r="W47" i="62"/>
  <c r="J47" i="62"/>
  <c r="V47" i="62" s="1"/>
  <c r="W46" i="62"/>
  <c r="V46" i="62"/>
  <c r="J46" i="62"/>
  <c r="J45" i="62"/>
  <c r="W45" i="62" s="1"/>
  <c r="J44" i="62"/>
  <c r="W43" i="62"/>
  <c r="J43" i="62"/>
  <c r="V43" i="62" s="1"/>
  <c r="J42" i="62"/>
  <c r="V42" i="62" s="1"/>
  <c r="J41" i="62"/>
  <c r="W41" i="62" s="1"/>
  <c r="J40" i="62"/>
  <c r="J39" i="62"/>
  <c r="J38" i="62"/>
  <c r="J37" i="62"/>
  <c r="J36" i="62"/>
  <c r="W36" i="62" s="1"/>
  <c r="J35" i="62"/>
  <c r="V35" i="62" s="1"/>
  <c r="J34" i="62"/>
  <c r="V34" i="62" s="1"/>
  <c r="J33" i="62"/>
  <c r="W33" i="62" s="1"/>
  <c r="J32" i="62"/>
  <c r="V32" i="62" s="1"/>
  <c r="J31" i="62"/>
  <c r="W31" i="62" s="1"/>
  <c r="J30" i="62"/>
  <c r="W30" i="62" s="1"/>
  <c r="J29" i="62"/>
  <c r="W29" i="62" s="1"/>
  <c r="J28" i="62"/>
  <c r="V28" i="62" s="1"/>
  <c r="J27" i="62"/>
  <c r="W27" i="62" s="1"/>
  <c r="J26" i="62"/>
  <c r="W26" i="62" s="1"/>
  <c r="J25" i="62"/>
  <c r="W25" i="62" s="1"/>
  <c r="J24" i="62"/>
  <c r="V24" i="62" s="1"/>
  <c r="J23" i="62"/>
  <c r="V23" i="62" s="1"/>
  <c r="J22" i="62"/>
  <c r="V22" i="62" s="1"/>
  <c r="J21" i="62"/>
  <c r="V21" i="62" s="1"/>
  <c r="J20" i="62"/>
  <c r="V20" i="62" s="1"/>
  <c r="J19" i="62"/>
  <c r="V19" i="62" s="1"/>
  <c r="J18" i="62"/>
  <c r="W18" i="62" s="1"/>
  <c r="J17" i="62"/>
  <c r="W17" i="62" s="1"/>
  <c r="J16" i="62"/>
  <c r="J15" i="62"/>
  <c r="W15" i="62" s="1"/>
  <c r="J14" i="62"/>
  <c r="V14" i="62" s="1"/>
  <c r="J13" i="62"/>
  <c r="J12" i="62"/>
  <c r="W12" i="62" s="1"/>
  <c r="J11" i="62"/>
  <c r="W11" i="62" s="1"/>
  <c r="J10" i="62"/>
  <c r="V10" i="62" s="1"/>
  <c r="J9" i="62"/>
  <c r="W9" i="62" s="1"/>
  <c r="N8" i="62"/>
  <c r="J8" i="62"/>
  <c r="W8" i="62" s="1"/>
  <c r="J7" i="62"/>
  <c r="W7" i="62" s="1"/>
  <c r="N6" i="62"/>
  <c r="J6" i="62"/>
  <c r="N4" i="62"/>
  <c r="V12" i="62" l="1"/>
  <c r="W50" i="62"/>
  <c r="W54" i="62"/>
  <c r="V58" i="62"/>
  <c r="V74" i="62"/>
  <c r="W75" i="62"/>
  <c r="V49" i="62"/>
  <c r="V73" i="62"/>
  <c r="V77" i="62"/>
  <c r="V81" i="62"/>
  <c r="V85" i="62"/>
  <c r="V89" i="62"/>
  <c r="V93" i="62"/>
  <c r="V97" i="62"/>
  <c r="W101" i="62"/>
  <c r="V72" i="62"/>
  <c r="V76" i="62"/>
  <c r="V80" i="62"/>
  <c r="V84" i="62"/>
  <c r="V88" i="62"/>
  <c r="V92" i="62"/>
  <c r="V96" i="62"/>
  <c r="W42" i="62"/>
  <c r="W166" i="62"/>
  <c r="W170" i="62"/>
  <c r="W172" i="62"/>
  <c r="W168" i="62"/>
  <c r="W163" i="62"/>
  <c r="W165" i="62"/>
  <c r="W167" i="62"/>
  <c r="W169" i="62"/>
  <c r="W171" i="62"/>
  <c r="W173" i="62"/>
  <c r="W162" i="62"/>
  <c r="W161" i="62"/>
  <c r="V41" i="62"/>
  <c r="W155" i="62"/>
  <c r="V29" i="62"/>
  <c r="W28" i="62"/>
  <c r="V27" i="62"/>
  <c r="V149" i="62"/>
  <c r="V71" i="62"/>
  <c r="V11" i="62"/>
  <c r="W10" i="62"/>
  <c r="V8" i="62"/>
  <c r="V15" i="62"/>
  <c r="V18" i="62"/>
  <c r="W20" i="62"/>
  <c r="W22" i="62"/>
  <c r="W24" i="62"/>
  <c r="V31" i="62"/>
  <c r="W34" i="62"/>
  <c r="V36" i="62"/>
  <c r="W14" i="62"/>
  <c r="W19" i="62"/>
  <c r="W21" i="62"/>
  <c r="W23" i="62"/>
  <c r="V25" i="62"/>
  <c r="W35" i="62"/>
  <c r="V70" i="62"/>
  <c r="W69" i="62"/>
  <c r="V139" i="62"/>
  <c r="W144" i="62"/>
  <c r="V148" i="62"/>
  <c r="W159" i="62"/>
  <c r="V138" i="62"/>
  <c r="V147" i="62"/>
  <c r="V151" i="62"/>
  <c r="W136" i="62"/>
  <c r="W143" i="62"/>
  <c r="W145" i="62"/>
  <c r="W13" i="62"/>
  <c r="V13" i="62"/>
  <c r="W16" i="62"/>
  <c r="V16" i="62"/>
  <c r="N10" i="62"/>
  <c r="V7" i="62"/>
  <c r="V9" i="62"/>
  <c r="V17" i="62"/>
  <c r="V26" i="62"/>
  <c r="V30" i="62"/>
  <c r="V33" i="62"/>
  <c r="V45" i="62"/>
  <c r="W52" i="62"/>
  <c r="V52" i="62"/>
  <c r="J121" i="62"/>
  <c r="W67" i="62"/>
  <c r="V67" i="62"/>
  <c r="W111" i="62"/>
  <c r="V111" i="62"/>
  <c r="W114" i="62"/>
  <c r="V114" i="62"/>
  <c r="W118" i="62"/>
  <c r="V118" i="62"/>
  <c r="W129" i="62"/>
  <c r="W130" i="62"/>
  <c r="V130" i="62"/>
  <c r="W135" i="62"/>
  <c r="V137" i="62"/>
  <c r="W140" i="62"/>
  <c r="V140" i="62"/>
  <c r="W142" i="62"/>
  <c r="V146" i="62"/>
  <c r="W158" i="62"/>
  <c r="V158" i="62"/>
  <c r="W37" i="62"/>
  <c r="V37" i="62"/>
  <c r="W39" i="62"/>
  <c r="V39" i="62"/>
  <c r="W48" i="62"/>
  <c r="V48" i="62"/>
  <c r="W113" i="62"/>
  <c r="V113" i="62"/>
  <c r="W117" i="62"/>
  <c r="V117" i="62"/>
  <c r="W154" i="62"/>
  <c r="V154" i="62"/>
  <c r="W157" i="62"/>
  <c r="V157" i="62"/>
  <c r="J59" i="62"/>
  <c r="V6" i="62"/>
  <c r="W38" i="62"/>
  <c r="V38" i="62"/>
  <c r="W40" i="62"/>
  <c r="V40" i="62"/>
  <c r="W56" i="62"/>
  <c r="V56" i="62"/>
  <c r="W115" i="62"/>
  <c r="V115" i="62"/>
  <c r="W119" i="62"/>
  <c r="V119" i="62"/>
  <c r="V129" i="62"/>
  <c r="W131" i="62"/>
  <c r="V131" i="62"/>
  <c r="W141" i="62"/>
  <c r="V141" i="62"/>
  <c r="W152" i="62"/>
  <c r="V152" i="62"/>
  <c r="V156" i="62"/>
  <c r="W6" i="62"/>
  <c r="W32" i="62"/>
  <c r="W44" i="62"/>
  <c r="V44" i="62"/>
  <c r="V53" i="62"/>
  <c r="W68" i="62"/>
  <c r="V68" i="62"/>
  <c r="W112" i="62"/>
  <c r="V112" i="62"/>
  <c r="W116" i="62"/>
  <c r="V116" i="62"/>
  <c r="W120" i="62"/>
  <c r="V120" i="62"/>
  <c r="J133" i="62"/>
  <c r="J132" i="62"/>
  <c r="W153" i="62"/>
  <c r="V153" i="62"/>
  <c r="V110" i="62"/>
  <c r="V134" i="62"/>
  <c r="H159" i="61"/>
  <c r="H158" i="61"/>
  <c r="H157" i="61"/>
  <c r="H156" i="61"/>
  <c r="H155" i="61"/>
  <c r="H154" i="61"/>
  <c r="H152" i="61"/>
  <c r="H40" i="61"/>
  <c r="H39" i="61"/>
  <c r="H38" i="61"/>
  <c r="H35" i="61"/>
  <c r="W132" i="62" l="1"/>
  <c r="V132" i="62"/>
  <c r="V175" i="62" s="1"/>
  <c r="R8" i="62" s="1"/>
  <c r="W121" i="62"/>
  <c r="P6" i="62" s="1"/>
  <c r="W133" i="62"/>
  <c r="W175" i="62" s="1"/>
  <c r="V133" i="62"/>
  <c r="V59" i="62"/>
  <c r="O4" i="62" s="1"/>
  <c r="J175" i="62"/>
  <c r="W59" i="62"/>
  <c r="P4" i="62" s="1"/>
  <c r="V121" i="62"/>
  <c r="O6" i="62" s="1"/>
  <c r="R6" i="62" s="1"/>
  <c r="H146" i="61"/>
  <c r="H142" i="61"/>
  <c r="H141" i="61"/>
  <c r="H140" i="61"/>
  <c r="P10" i="62" l="1"/>
  <c r="Q4" i="62"/>
  <c r="Q10" i="62" s="1"/>
  <c r="O10" i="62"/>
  <c r="R10" i="62" s="1"/>
  <c r="P12" i="62" s="1"/>
  <c r="R4" i="62"/>
  <c r="H70" i="61"/>
  <c r="H24" i="61"/>
  <c r="H23" i="61"/>
  <c r="H22" i="61"/>
  <c r="H21" i="61"/>
  <c r="H20" i="61"/>
  <c r="H137" i="61"/>
  <c r="J137" i="61"/>
  <c r="H135" i="61"/>
  <c r="H69" i="61" l="1"/>
  <c r="H16" i="61"/>
  <c r="H13" i="61"/>
  <c r="H132" i="61"/>
  <c r="H130" i="61"/>
  <c r="H129" i="61"/>
  <c r="W174" i="61"/>
  <c r="V174" i="61"/>
  <c r="J174" i="61"/>
  <c r="J173" i="61"/>
  <c r="W173" i="61" s="1"/>
  <c r="J172" i="61"/>
  <c r="W172" i="61" s="1"/>
  <c r="W171" i="61"/>
  <c r="V171" i="61"/>
  <c r="J171" i="61"/>
  <c r="W170" i="61"/>
  <c r="V170" i="61"/>
  <c r="J170" i="61"/>
  <c r="J169" i="61"/>
  <c r="W169" i="61" s="1"/>
  <c r="J168" i="61"/>
  <c r="W168" i="61" s="1"/>
  <c r="W167" i="61"/>
  <c r="V167" i="61"/>
  <c r="J167" i="61"/>
  <c r="W166" i="61"/>
  <c r="V166" i="61"/>
  <c r="J166" i="61"/>
  <c r="J165" i="61"/>
  <c r="W165" i="61" s="1"/>
  <c r="J164" i="61"/>
  <c r="W164" i="61" s="1"/>
  <c r="W163" i="61"/>
  <c r="V163" i="61"/>
  <c r="J163" i="61"/>
  <c r="W162" i="61"/>
  <c r="V162" i="61"/>
  <c r="J162" i="61"/>
  <c r="J161" i="61"/>
  <c r="V161" i="61" s="1"/>
  <c r="J160" i="61"/>
  <c r="J159" i="61"/>
  <c r="W159" i="61" s="1"/>
  <c r="J158" i="61"/>
  <c r="W158" i="61" s="1"/>
  <c r="J157" i="61"/>
  <c r="W157" i="61" s="1"/>
  <c r="J156" i="61"/>
  <c r="W156" i="61" s="1"/>
  <c r="J155" i="61"/>
  <c r="V155" i="61" s="1"/>
  <c r="J154" i="61"/>
  <c r="V154" i="61" s="1"/>
  <c r="J153" i="61"/>
  <c r="J152" i="61"/>
  <c r="W152" i="61" s="1"/>
  <c r="J151" i="61"/>
  <c r="W151" i="61" s="1"/>
  <c r="J150" i="61"/>
  <c r="W150" i="61" s="1"/>
  <c r="J149" i="61"/>
  <c r="W149" i="61" s="1"/>
  <c r="J148" i="61"/>
  <c r="V148" i="61" s="1"/>
  <c r="J147" i="61"/>
  <c r="W147" i="61" s="1"/>
  <c r="J146" i="61"/>
  <c r="W146" i="61" s="1"/>
  <c r="J145" i="61"/>
  <c r="W145" i="61" s="1"/>
  <c r="J144" i="61"/>
  <c r="V144" i="61" s="1"/>
  <c r="J143" i="61"/>
  <c r="V143" i="61" s="1"/>
  <c r="J142" i="61"/>
  <c r="J141" i="61"/>
  <c r="W141" i="61" s="1"/>
  <c r="J140" i="61"/>
  <c r="W140" i="61" s="1"/>
  <c r="V139" i="61"/>
  <c r="J139" i="61"/>
  <c r="W139" i="61" s="1"/>
  <c r="J138" i="61"/>
  <c r="W138" i="61" s="1"/>
  <c r="J135" i="61"/>
  <c r="J134" i="61"/>
  <c r="J133" i="61"/>
  <c r="J132" i="61"/>
  <c r="J131" i="61"/>
  <c r="J130" i="61"/>
  <c r="W130" i="61" s="1"/>
  <c r="B130" i="61"/>
  <c r="B131" i="61" s="1"/>
  <c r="B132" i="61" s="1"/>
  <c r="B133" i="61" s="1"/>
  <c r="B134" i="61" s="1"/>
  <c r="B135" i="61" s="1"/>
  <c r="B136" i="61" s="1"/>
  <c r="B137" i="61" s="1"/>
  <c r="B138" i="61" s="1"/>
  <c r="B139" i="61" s="1"/>
  <c r="B140" i="61" s="1"/>
  <c r="B141" i="61" s="1"/>
  <c r="B142" i="61" s="1"/>
  <c r="B143" i="61" s="1"/>
  <c r="B144" i="61" s="1"/>
  <c r="B145" i="61" s="1"/>
  <c r="B146" i="61" s="1"/>
  <c r="B147" i="61" s="1"/>
  <c r="B148" i="61" s="1"/>
  <c r="B149" i="61" s="1"/>
  <c r="B150" i="61" s="1"/>
  <c r="B151" i="61" s="1"/>
  <c r="B152" i="61" s="1"/>
  <c r="B153" i="61" s="1"/>
  <c r="B154" i="61" s="1"/>
  <c r="B155" i="61" s="1"/>
  <c r="B156" i="61" s="1"/>
  <c r="B157" i="61" s="1"/>
  <c r="B158" i="61" s="1"/>
  <c r="B159" i="61" s="1"/>
  <c r="B160" i="61" s="1"/>
  <c r="B161" i="61" s="1"/>
  <c r="B162" i="61" s="1"/>
  <c r="B163" i="61" s="1"/>
  <c r="B164" i="61" s="1"/>
  <c r="B165" i="61" s="1"/>
  <c r="B166" i="61" s="1"/>
  <c r="B167" i="61" s="1"/>
  <c r="B168" i="61" s="1"/>
  <c r="B169" i="61" s="1"/>
  <c r="B170" i="61" s="1"/>
  <c r="B171" i="61" s="1"/>
  <c r="B172" i="61" s="1"/>
  <c r="B173" i="61" s="1"/>
  <c r="B174" i="61" s="1"/>
  <c r="J129" i="61"/>
  <c r="W129" i="61" s="1"/>
  <c r="J120" i="61"/>
  <c r="W120" i="61" s="1"/>
  <c r="J119" i="61"/>
  <c r="W119" i="61" s="1"/>
  <c r="J118" i="61"/>
  <c r="W118" i="61" s="1"/>
  <c r="J117" i="61"/>
  <c r="W117" i="61" s="1"/>
  <c r="J116" i="61"/>
  <c r="W116" i="61" s="1"/>
  <c r="J115" i="61"/>
  <c r="W115" i="61" s="1"/>
  <c r="J114" i="61"/>
  <c r="W114" i="61" s="1"/>
  <c r="J113" i="61"/>
  <c r="W113" i="61" s="1"/>
  <c r="J112" i="61"/>
  <c r="W112" i="61" s="1"/>
  <c r="B112" i="61"/>
  <c r="B113" i="61" s="1"/>
  <c r="B114" i="61" s="1"/>
  <c r="B115" i="61" s="1"/>
  <c r="B116" i="61" s="1"/>
  <c r="B117" i="61" s="1"/>
  <c r="B118" i="61" s="1"/>
  <c r="B119" i="61" s="1"/>
  <c r="B120" i="61" s="1"/>
  <c r="J111" i="61"/>
  <c r="W111" i="61" s="1"/>
  <c r="J110" i="61"/>
  <c r="J109" i="61"/>
  <c r="J108" i="61"/>
  <c r="J107" i="61"/>
  <c r="J106" i="61"/>
  <c r="J105" i="61"/>
  <c r="J104" i="61"/>
  <c r="J103" i="61"/>
  <c r="J102" i="61"/>
  <c r="J101" i="61"/>
  <c r="W101" i="61" s="1"/>
  <c r="J100" i="61"/>
  <c r="W100" i="61" s="1"/>
  <c r="J99" i="61"/>
  <c r="W99" i="61" s="1"/>
  <c r="J98" i="61"/>
  <c r="V98" i="61" s="1"/>
  <c r="V97" i="61"/>
  <c r="J97" i="61"/>
  <c r="W97" i="61" s="1"/>
  <c r="J96" i="61"/>
  <c r="W96" i="61" s="1"/>
  <c r="J95" i="61"/>
  <c r="W95" i="61" s="1"/>
  <c r="W94" i="61"/>
  <c r="J94" i="61"/>
  <c r="V94" i="61" s="1"/>
  <c r="W93" i="61"/>
  <c r="J93" i="61"/>
  <c r="V93" i="61" s="1"/>
  <c r="J92" i="61"/>
  <c r="V92" i="61" s="1"/>
  <c r="J91" i="61"/>
  <c r="W91" i="61" s="1"/>
  <c r="J90" i="61"/>
  <c r="V90" i="61" s="1"/>
  <c r="W89" i="61"/>
  <c r="V89" i="61"/>
  <c r="J89" i="61"/>
  <c r="J88" i="61"/>
  <c r="V88" i="61" s="1"/>
  <c r="J87" i="61"/>
  <c r="W87" i="61" s="1"/>
  <c r="W86" i="61"/>
  <c r="J86" i="61"/>
  <c r="V86" i="61" s="1"/>
  <c r="J85" i="61"/>
  <c r="W85" i="61" s="1"/>
  <c r="J84" i="61"/>
  <c r="W84" i="61" s="1"/>
  <c r="J83" i="61"/>
  <c r="W83" i="61" s="1"/>
  <c r="J82" i="61"/>
  <c r="V82" i="61" s="1"/>
  <c r="V81" i="61"/>
  <c r="J81" i="61"/>
  <c r="W81" i="61" s="1"/>
  <c r="J80" i="61"/>
  <c r="V80" i="61" s="1"/>
  <c r="J79" i="61"/>
  <c r="W79" i="61" s="1"/>
  <c r="W78" i="61"/>
  <c r="J78" i="61"/>
  <c r="V78" i="61" s="1"/>
  <c r="W77" i="61"/>
  <c r="J77" i="61"/>
  <c r="V77" i="61" s="1"/>
  <c r="J76" i="61"/>
  <c r="W76" i="61" s="1"/>
  <c r="J75" i="61"/>
  <c r="W75" i="61" s="1"/>
  <c r="J74" i="61"/>
  <c r="V74" i="61" s="1"/>
  <c r="W73" i="61"/>
  <c r="V73" i="61"/>
  <c r="J73" i="61"/>
  <c r="J72" i="61"/>
  <c r="W72" i="61" s="1"/>
  <c r="J71" i="61"/>
  <c r="W71" i="61" s="1"/>
  <c r="J70" i="61"/>
  <c r="V70" i="61" s="1"/>
  <c r="J69" i="61"/>
  <c r="V69" i="61" s="1"/>
  <c r="J68" i="61"/>
  <c r="W68" i="61" s="1"/>
  <c r="B68" i="61"/>
  <c r="B69" i="61" s="1"/>
  <c r="B70" i="61" s="1"/>
  <c r="B71" i="61" s="1"/>
  <c r="B72" i="61" s="1"/>
  <c r="B73" i="61" s="1"/>
  <c r="B74" i="61" s="1"/>
  <c r="B75" i="61" s="1"/>
  <c r="B76" i="61" s="1"/>
  <c r="B77" i="61" s="1"/>
  <c r="B78" i="61" s="1"/>
  <c r="B79" i="61" s="1"/>
  <c r="B80" i="61" s="1"/>
  <c r="B81" i="61" s="1"/>
  <c r="B82" i="61" s="1"/>
  <c r="B83" i="61" s="1"/>
  <c r="B84" i="61" s="1"/>
  <c r="B85" i="61" s="1"/>
  <c r="B86" i="61" s="1"/>
  <c r="B87" i="61" s="1"/>
  <c r="B88" i="61" s="1"/>
  <c r="B89" i="61" s="1"/>
  <c r="B90" i="61" s="1"/>
  <c r="B91" i="61" s="1"/>
  <c r="B92" i="61" s="1"/>
  <c r="B93" i="61" s="1"/>
  <c r="B94" i="61" s="1"/>
  <c r="B95" i="61" s="1"/>
  <c r="B96" i="61" s="1"/>
  <c r="B97" i="61" s="1"/>
  <c r="B98" i="61" s="1"/>
  <c r="B99" i="61" s="1"/>
  <c r="B100" i="61" s="1"/>
  <c r="J67" i="61"/>
  <c r="W67" i="61" s="1"/>
  <c r="J58" i="61"/>
  <c r="W58" i="61" s="1"/>
  <c r="J57" i="61"/>
  <c r="V57" i="61" s="1"/>
  <c r="J56" i="61"/>
  <c r="V56" i="61" s="1"/>
  <c r="J55" i="61"/>
  <c r="W55" i="61" s="1"/>
  <c r="V54" i="61"/>
  <c r="J54" i="61"/>
  <c r="W54" i="61" s="1"/>
  <c r="J53" i="61"/>
  <c r="V53" i="61" s="1"/>
  <c r="W52" i="61"/>
  <c r="V52" i="61"/>
  <c r="J52" i="61"/>
  <c r="V51" i="61"/>
  <c r="J51" i="61"/>
  <c r="W51" i="61" s="1"/>
  <c r="J50" i="61"/>
  <c r="W50" i="61" s="1"/>
  <c r="J49" i="61"/>
  <c r="V49" i="61" s="1"/>
  <c r="J48" i="61"/>
  <c r="V48" i="61" s="1"/>
  <c r="J47" i="61"/>
  <c r="W47" i="61" s="1"/>
  <c r="V46" i="61"/>
  <c r="J46" i="61"/>
  <c r="W46" i="61" s="1"/>
  <c r="J45" i="61"/>
  <c r="V45" i="61" s="1"/>
  <c r="W44" i="61"/>
  <c r="V44" i="61"/>
  <c r="J44" i="61"/>
  <c r="V43" i="61"/>
  <c r="J43" i="61"/>
  <c r="W43" i="61" s="1"/>
  <c r="J42" i="61"/>
  <c r="J41" i="61"/>
  <c r="W41" i="61" s="1"/>
  <c r="J40" i="61"/>
  <c r="V40" i="61" s="1"/>
  <c r="J39" i="61"/>
  <c r="V39" i="61" s="1"/>
  <c r="J38" i="61"/>
  <c r="W38" i="61" s="1"/>
  <c r="J37" i="61"/>
  <c r="W37" i="61" s="1"/>
  <c r="J36" i="61"/>
  <c r="W36" i="61" s="1"/>
  <c r="J35" i="61"/>
  <c r="W35" i="61" s="1"/>
  <c r="J34" i="61"/>
  <c r="W34" i="61" s="1"/>
  <c r="J33" i="61"/>
  <c r="W33" i="61" s="1"/>
  <c r="J32" i="61"/>
  <c r="W32" i="61" s="1"/>
  <c r="J31" i="61"/>
  <c r="W31" i="61" s="1"/>
  <c r="J30" i="61"/>
  <c r="V30" i="61" s="1"/>
  <c r="J29" i="61"/>
  <c r="W29" i="61" s="1"/>
  <c r="J28" i="61"/>
  <c r="W28" i="61" s="1"/>
  <c r="J27" i="61"/>
  <c r="W27" i="61" s="1"/>
  <c r="J26" i="61"/>
  <c r="W26" i="61" s="1"/>
  <c r="J25" i="61"/>
  <c r="W25" i="61" s="1"/>
  <c r="J24" i="61"/>
  <c r="J23" i="61"/>
  <c r="J22" i="61"/>
  <c r="W22" i="61" s="1"/>
  <c r="J21" i="61"/>
  <c r="V21" i="61" s="1"/>
  <c r="J20" i="61"/>
  <c r="W20" i="61" s="1"/>
  <c r="J19" i="61"/>
  <c r="W19" i="61" s="1"/>
  <c r="J18" i="61"/>
  <c r="W18" i="61" s="1"/>
  <c r="J17" i="61"/>
  <c r="J16" i="61"/>
  <c r="W16" i="61" s="1"/>
  <c r="J15" i="61"/>
  <c r="V15" i="61" s="1"/>
  <c r="J14" i="61"/>
  <c r="W14" i="61" s="1"/>
  <c r="J13" i="61"/>
  <c r="W13" i="61" s="1"/>
  <c r="J12" i="61"/>
  <c r="V12" i="61" s="1"/>
  <c r="J11" i="61"/>
  <c r="W11" i="61" s="1"/>
  <c r="J10" i="61"/>
  <c r="W10" i="61" s="1"/>
  <c r="J9" i="61"/>
  <c r="W9" i="61" s="1"/>
  <c r="N8" i="61"/>
  <c r="J8" i="61"/>
  <c r="W8" i="61" s="1"/>
  <c r="J7" i="61"/>
  <c r="V7" i="61" s="1"/>
  <c r="N6" i="61"/>
  <c r="R6" i="61" s="1"/>
  <c r="J6" i="61"/>
  <c r="N4" i="61"/>
  <c r="W48" i="61" l="1"/>
  <c r="W56" i="61"/>
  <c r="W82" i="61"/>
  <c r="V85" i="61"/>
  <c r="W98" i="61"/>
  <c r="V101" i="61"/>
  <c r="V111" i="61"/>
  <c r="V165" i="61"/>
  <c r="V169" i="61"/>
  <c r="V173" i="61"/>
  <c r="W30" i="61"/>
  <c r="V37" i="61"/>
  <c r="W49" i="61"/>
  <c r="W57" i="61"/>
  <c r="V164" i="61"/>
  <c r="V168" i="61"/>
  <c r="V172" i="61"/>
  <c r="W74" i="61"/>
  <c r="W90" i="61"/>
  <c r="V158" i="61"/>
  <c r="W155" i="61"/>
  <c r="V41" i="61"/>
  <c r="V38" i="61"/>
  <c r="V34" i="61"/>
  <c r="V33" i="61"/>
  <c r="V150" i="61"/>
  <c r="W148" i="61"/>
  <c r="V147" i="61"/>
  <c r="V146" i="61"/>
  <c r="W144" i="61"/>
  <c r="W143" i="61"/>
  <c r="V140" i="61"/>
  <c r="V29" i="61"/>
  <c r="W21" i="61"/>
  <c r="V20" i="61"/>
  <c r="W69" i="61"/>
  <c r="W15" i="61"/>
  <c r="V11" i="61"/>
  <c r="V10" i="61"/>
  <c r="V129" i="61"/>
  <c r="V138" i="61"/>
  <c r="V145" i="61"/>
  <c r="V149" i="61"/>
  <c r="V157" i="61"/>
  <c r="V156" i="61"/>
  <c r="V68" i="61"/>
  <c r="W70" i="61"/>
  <c r="V67" i="61"/>
  <c r="N10" i="61"/>
  <c r="W7" i="61"/>
  <c r="V9" i="61"/>
  <c r="V16" i="61"/>
  <c r="V28" i="61"/>
  <c r="W12" i="61"/>
  <c r="V27" i="61"/>
  <c r="W23" i="61"/>
  <c r="V23" i="61"/>
  <c r="W42" i="61"/>
  <c r="V42" i="61"/>
  <c r="J59" i="61"/>
  <c r="W24" i="61"/>
  <c r="V24" i="61"/>
  <c r="W142" i="61"/>
  <c r="V142" i="61"/>
  <c r="W153" i="61"/>
  <c r="V153" i="61"/>
  <c r="V17" i="61"/>
  <c r="W17" i="61"/>
  <c r="W160" i="61"/>
  <c r="V160" i="61"/>
  <c r="V6" i="61"/>
  <c r="W131" i="61"/>
  <c r="V131" i="61"/>
  <c r="W133" i="61"/>
  <c r="V133" i="61"/>
  <c r="W135" i="61"/>
  <c r="V135" i="61"/>
  <c r="W6" i="61"/>
  <c r="V8" i="61"/>
  <c r="V14" i="61"/>
  <c r="V19" i="61"/>
  <c r="V25" i="61"/>
  <c r="V26" i="61"/>
  <c r="V32" i="61"/>
  <c r="V36" i="61"/>
  <c r="W40" i="61"/>
  <c r="V72" i="61"/>
  <c r="V76" i="61"/>
  <c r="V84" i="61"/>
  <c r="V96" i="61"/>
  <c r="V100" i="61"/>
  <c r="V113" i="61"/>
  <c r="V117" i="61"/>
  <c r="V152" i="61"/>
  <c r="V13" i="61"/>
  <c r="V18" i="61"/>
  <c r="V22" i="61"/>
  <c r="V31" i="61"/>
  <c r="V35" i="61"/>
  <c r="W39" i="61"/>
  <c r="W45" i="61"/>
  <c r="V47" i="61"/>
  <c r="V50" i="61"/>
  <c r="W53" i="61"/>
  <c r="V55" i="61"/>
  <c r="V58" i="61"/>
  <c r="V71" i="61"/>
  <c r="V75" i="61"/>
  <c r="V79" i="61"/>
  <c r="W80" i="61"/>
  <c r="V83" i="61"/>
  <c r="V87" i="61"/>
  <c r="W88" i="61"/>
  <c r="V91" i="61"/>
  <c r="W92" i="61"/>
  <c r="V95" i="61"/>
  <c r="V99" i="61"/>
  <c r="W110" i="61"/>
  <c r="V110" i="61"/>
  <c r="W132" i="61"/>
  <c r="V132" i="61"/>
  <c r="W134" i="61"/>
  <c r="V134" i="61"/>
  <c r="J136" i="61"/>
  <c r="W154" i="61"/>
  <c r="W161" i="61"/>
  <c r="V115" i="61"/>
  <c r="V119" i="61"/>
  <c r="V130" i="61"/>
  <c r="V159" i="61"/>
  <c r="J121" i="61"/>
  <c r="V112" i="61"/>
  <c r="V114" i="61"/>
  <c r="V116" i="61"/>
  <c r="V118" i="61"/>
  <c r="V120" i="61"/>
  <c r="V141" i="61"/>
  <c r="V151" i="61"/>
  <c r="H161" i="60"/>
  <c r="H160" i="60"/>
  <c r="H159" i="60"/>
  <c r="H69" i="60"/>
  <c r="H42" i="60"/>
  <c r="H40" i="60"/>
  <c r="V121" i="61" l="1"/>
  <c r="W121" i="61"/>
  <c r="P6" i="61" s="1"/>
  <c r="V136" i="61"/>
  <c r="W136" i="61"/>
  <c r="W59" i="61"/>
  <c r="P4" i="61" s="1"/>
  <c r="V59" i="61"/>
  <c r="O4" i="61" s="1"/>
  <c r="J175" i="61"/>
  <c r="V137" i="61"/>
  <c r="W137" i="61"/>
  <c r="H38" i="60"/>
  <c r="H157" i="60"/>
  <c r="W175" i="61" l="1"/>
  <c r="V175" i="61"/>
  <c r="R8" i="61" s="1"/>
  <c r="P10" i="61"/>
  <c r="R4" i="61"/>
  <c r="Q4" i="61"/>
  <c r="Q10" i="61" s="1"/>
  <c r="H154" i="60"/>
  <c r="H153" i="60"/>
  <c r="H151" i="60"/>
  <c r="H145" i="60"/>
  <c r="H143" i="60"/>
  <c r="H142" i="60"/>
  <c r="H141" i="60"/>
  <c r="H29" i="60"/>
  <c r="H28" i="60"/>
  <c r="O10" i="61" l="1"/>
  <c r="R10" i="61" s="1"/>
  <c r="P12" i="61" s="1"/>
  <c r="H26" i="60"/>
  <c r="H24" i="60"/>
  <c r="H23" i="60"/>
  <c r="H138" i="60" l="1"/>
  <c r="H17" i="60"/>
  <c r="H136" i="60"/>
  <c r="H131" i="60" l="1"/>
  <c r="H130" i="60"/>
  <c r="H129" i="60"/>
  <c r="W174" i="60"/>
  <c r="J174" i="60"/>
  <c r="V174" i="60" s="1"/>
  <c r="J173" i="60"/>
  <c r="V173" i="60" s="1"/>
  <c r="J172" i="60"/>
  <c r="V172" i="60" s="1"/>
  <c r="J171" i="60"/>
  <c r="V171" i="60" s="1"/>
  <c r="W170" i="60"/>
  <c r="J170" i="60"/>
  <c r="V170" i="60" s="1"/>
  <c r="J169" i="60"/>
  <c r="V169" i="60" s="1"/>
  <c r="J168" i="60"/>
  <c r="V168" i="60" s="1"/>
  <c r="J167" i="60"/>
  <c r="V167" i="60" s="1"/>
  <c r="J166" i="60"/>
  <c r="V166" i="60" s="1"/>
  <c r="J165" i="60"/>
  <c r="J164" i="60"/>
  <c r="J163" i="60"/>
  <c r="V162" i="60"/>
  <c r="J162" i="60"/>
  <c r="W162" i="60" s="1"/>
  <c r="J161" i="60"/>
  <c r="W161" i="60" s="1"/>
  <c r="J160" i="60"/>
  <c r="W160" i="60" s="1"/>
  <c r="J159" i="60"/>
  <c r="V159" i="60" s="1"/>
  <c r="J158" i="60"/>
  <c r="J157" i="60"/>
  <c r="J156" i="60"/>
  <c r="W156" i="60" s="1"/>
  <c r="J155" i="60"/>
  <c r="W155" i="60" s="1"/>
  <c r="J154" i="60"/>
  <c r="W154" i="60" s="1"/>
  <c r="J153" i="60"/>
  <c r="W153" i="60" s="1"/>
  <c r="J152" i="60"/>
  <c r="V152" i="60" s="1"/>
  <c r="J151" i="60"/>
  <c r="V151" i="60" s="1"/>
  <c r="J150" i="60"/>
  <c r="W150" i="60" s="1"/>
  <c r="J149" i="60"/>
  <c r="W149" i="60" s="1"/>
  <c r="J148" i="60"/>
  <c r="W148" i="60" s="1"/>
  <c r="J147" i="60"/>
  <c r="J146" i="60"/>
  <c r="J145" i="60"/>
  <c r="J144" i="60"/>
  <c r="W144" i="60" s="1"/>
  <c r="J143" i="60"/>
  <c r="V143" i="60" s="1"/>
  <c r="J142" i="60"/>
  <c r="J141" i="60"/>
  <c r="J140" i="60"/>
  <c r="J139" i="60"/>
  <c r="J138" i="60"/>
  <c r="J136" i="60"/>
  <c r="V136" i="60" s="1"/>
  <c r="J137" i="60"/>
  <c r="W137" i="60" s="1"/>
  <c r="J135" i="60"/>
  <c r="J134" i="60"/>
  <c r="J133" i="60"/>
  <c r="W133" i="60" s="1"/>
  <c r="J132" i="60"/>
  <c r="W132" i="60" s="1"/>
  <c r="J131" i="60"/>
  <c r="W131" i="60" s="1"/>
  <c r="J130" i="60"/>
  <c r="W130" i="60" s="1"/>
  <c r="B130" i="60"/>
  <c r="B131" i="60" s="1"/>
  <c r="B132" i="60" s="1"/>
  <c r="B133" i="60" s="1"/>
  <c r="B134" i="60" s="1"/>
  <c r="B135" i="60" s="1"/>
  <c r="B136" i="60" s="1"/>
  <c r="B137" i="60" s="1"/>
  <c r="B138" i="60" s="1"/>
  <c r="B139" i="60" s="1"/>
  <c r="B140" i="60" s="1"/>
  <c r="B141" i="60" s="1"/>
  <c r="B142" i="60" s="1"/>
  <c r="B143" i="60" s="1"/>
  <c r="B144" i="60" s="1"/>
  <c r="B145" i="60" s="1"/>
  <c r="B146" i="60" s="1"/>
  <c r="B147" i="60" s="1"/>
  <c r="B148" i="60" s="1"/>
  <c r="B149" i="60" s="1"/>
  <c r="B150" i="60" s="1"/>
  <c r="B151" i="60" s="1"/>
  <c r="B152" i="60" s="1"/>
  <c r="B153" i="60" s="1"/>
  <c r="B154" i="60" s="1"/>
  <c r="B155" i="60" s="1"/>
  <c r="B156" i="60" s="1"/>
  <c r="B157" i="60" s="1"/>
  <c r="B158" i="60" s="1"/>
  <c r="B159" i="60" s="1"/>
  <c r="B160" i="60" s="1"/>
  <c r="B161" i="60" s="1"/>
  <c r="B162" i="60" s="1"/>
  <c r="B163" i="60" s="1"/>
  <c r="B164" i="60" s="1"/>
  <c r="B165" i="60" s="1"/>
  <c r="B166" i="60" s="1"/>
  <c r="B167" i="60" s="1"/>
  <c r="B168" i="60" s="1"/>
  <c r="B169" i="60" s="1"/>
  <c r="B170" i="60" s="1"/>
  <c r="B171" i="60" s="1"/>
  <c r="B172" i="60" s="1"/>
  <c r="B173" i="60" s="1"/>
  <c r="B174" i="60" s="1"/>
  <c r="J129" i="60"/>
  <c r="V129" i="60" s="1"/>
  <c r="J120" i="60"/>
  <c r="J119" i="60"/>
  <c r="J118" i="60"/>
  <c r="J117" i="60"/>
  <c r="J116" i="60"/>
  <c r="J115" i="60"/>
  <c r="J114" i="60"/>
  <c r="J113" i="60"/>
  <c r="J112" i="60"/>
  <c r="B112" i="60"/>
  <c r="B113" i="60" s="1"/>
  <c r="B114" i="60" s="1"/>
  <c r="B115" i="60" s="1"/>
  <c r="B116" i="60" s="1"/>
  <c r="B117" i="60" s="1"/>
  <c r="B118" i="60" s="1"/>
  <c r="B119" i="60" s="1"/>
  <c r="B120" i="60" s="1"/>
  <c r="J111" i="60"/>
  <c r="J110" i="60"/>
  <c r="W110" i="60" s="1"/>
  <c r="J109" i="60"/>
  <c r="J108" i="60"/>
  <c r="J107" i="60"/>
  <c r="J106" i="60"/>
  <c r="J105" i="60"/>
  <c r="J104" i="60"/>
  <c r="J103" i="60"/>
  <c r="J102" i="60"/>
  <c r="J101" i="60"/>
  <c r="V101" i="60" s="1"/>
  <c r="J100" i="60"/>
  <c r="W100" i="60" s="1"/>
  <c r="J99" i="60"/>
  <c r="W99" i="60" s="1"/>
  <c r="J98" i="60"/>
  <c r="W98" i="60" s="1"/>
  <c r="V97" i="60"/>
  <c r="J97" i="60"/>
  <c r="W97" i="60" s="1"/>
  <c r="J96" i="60"/>
  <c r="W96" i="60" s="1"/>
  <c r="J95" i="60"/>
  <c r="W95" i="60" s="1"/>
  <c r="J94" i="60"/>
  <c r="W94" i="60" s="1"/>
  <c r="J93" i="60"/>
  <c r="W93" i="60" s="1"/>
  <c r="J92" i="60"/>
  <c r="W92" i="60" s="1"/>
  <c r="J91" i="60"/>
  <c r="W91" i="60" s="1"/>
  <c r="J90" i="60"/>
  <c r="W90" i="60" s="1"/>
  <c r="J89" i="60"/>
  <c r="W89" i="60" s="1"/>
  <c r="J88" i="60"/>
  <c r="W88" i="60" s="1"/>
  <c r="J87" i="60"/>
  <c r="W87" i="60" s="1"/>
  <c r="J86" i="60"/>
  <c r="W86" i="60" s="1"/>
  <c r="J85" i="60"/>
  <c r="W85" i="60" s="1"/>
  <c r="J84" i="60"/>
  <c r="W84" i="60" s="1"/>
  <c r="J83" i="60"/>
  <c r="W83" i="60" s="1"/>
  <c r="J82" i="60"/>
  <c r="W82" i="60" s="1"/>
  <c r="J81" i="60"/>
  <c r="W81" i="60" s="1"/>
  <c r="J80" i="60"/>
  <c r="W80" i="60" s="1"/>
  <c r="J79" i="60"/>
  <c r="W79" i="60" s="1"/>
  <c r="J78" i="60"/>
  <c r="W78" i="60" s="1"/>
  <c r="J77" i="60"/>
  <c r="W77" i="60" s="1"/>
  <c r="J76" i="60"/>
  <c r="W76" i="60" s="1"/>
  <c r="J75" i="60"/>
  <c r="W75" i="60" s="1"/>
  <c r="J74" i="60"/>
  <c r="W74" i="60" s="1"/>
  <c r="J73" i="60"/>
  <c r="W73" i="60" s="1"/>
  <c r="J72" i="60"/>
  <c r="W72" i="60" s="1"/>
  <c r="J71" i="60"/>
  <c r="J70" i="60"/>
  <c r="V70" i="60" s="1"/>
  <c r="J69" i="60"/>
  <c r="V69" i="60" s="1"/>
  <c r="J68" i="60"/>
  <c r="V68" i="60" s="1"/>
  <c r="B68" i="60"/>
  <c r="B69" i="60" s="1"/>
  <c r="B70" i="60" s="1"/>
  <c r="B71" i="60" s="1"/>
  <c r="B72" i="60" s="1"/>
  <c r="B73" i="60" s="1"/>
  <c r="B74" i="60" s="1"/>
  <c r="B75" i="60" s="1"/>
  <c r="B76" i="60" s="1"/>
  <c r="B77" i="60" s="1"/>
  <c r="B78" i="60" s="1"/>
  <c r="B79" i="60" s="1"/>
  <c r="B80" i="60" s="1"/>
  <c r="B81" i="60" s="1"/>
  <c r="B82" i="60" s="1"/>
  <c r="B83" i="60" s="1"/>
  <c r="B84" i="60" s="1"/>
  <c r="B85" i="60" s="1"/>
  <c r="B86" i="60" s="1"/>
  <c r="B87" i="60" s="1"/>
  <c r="B88" i="60" s="1"/>
  <c r="B89" i="60" s="1"/>
  <c r="B90" i="60" s="1"/>
  <c r="B91" i="60" s="1"/>
  <c r="B92" i="60" s="1"/>
  <c r="B93" i="60" s="1"/>
  <c r="B94" i="60" s="1"/>
  <c r="B95" i="60" s="1"/>
  <c r="B96" i="60" s="1"/>
  <c r="B97" i="60" s="1"/>
  <c r="B98" i="60" s="1"/>
  <c r="B99" i="60" s="1"/>
  <c r="B100" i="60" s="1"/>
  <c r="J67" i="60"/>
  <c r="J58" i="60"/>
  <c r="W58" i="60" s="1"/>
  <c r="J57" i="60"/>
  <c r="W57" i="60" s="1"/>
  <c r="J56" i="60"/>
  <c r="W56" i="60" s="1"/>
  <c r="J55" i="60"/>
  <c r="V55" i="60" s="1"/>
  <c r="V54" i="60"/>
  <c r="J54" i="60"/>
  <c r="W54" i="60" s="1"/>
  <c r="J53" i="60"/>
  <c r="W53" i="60" s="1"/>
  <c r="J52" i="60"/>
  <c r="W52" i="60" s="1"/>
  <c r="W51" i="60"/>
  <c r="J51" i="60"/>
  <c r="V51" i="60" s="1"/>
  <c r="J50" i="60"/>
  <c r="V50" i="60" s="1"/>
  <c r="J49" i="60"/>
  <c r="W49" i="60" s="1"/>
  <c r="J48" i="60"/>
  <c r="W48" i="60" s="1"/>
  <c r="J47" i="60"/>
  <c r="V47" i="60" s="1"/>
  <c r="W46" i="60"/>
  <c r="V46" i="60"/>
  <c r="J46" i="60"/>
  <c r="J45" i="60"/>
  <c r="W45" i="60" s="1"/>
  <c r="J44" i="60"/>
  <c r="W44" i="60" s="1"/>
  <c r="J43" i="60"/>
  <c r="V43" i="60" s="1"/>
  <c r="J42" i="60"/>
  <c r="W42" i="60" s="1"/>
  <c r="J41" i="60"/>
  <c r="W41" i="60" s="1"/>
  <c r="J40" i="60"/>
  <c r="W40" i="60" s="1"/>
  <c r="J39" i="60"/>
  <c r="V39" i="60" s="1"/>
  <c r="J38" i="60"/>
  <c r="W38" i="60" s="1"/>
  <c r="J37" i="60"/>
  <c r="W37" i="60" s="1"/>
  <c r="J36" i="60"/>
  <c r="J35" i="60"/>
  <c r="J34" i="60"/>
  <c r="W34" i="60" s="1"/>
  <c r="J33" i="60"/>
  <c r="V33" i="60" s="1"/>
  <c r="J32" i="60"/>
  <c r="V32" i="60" s="1"/>
  <c r="J31" i="60"/>
  <c r="W31" i="60" s="1"/>
  <c r="J30" i="60"/>
  <c r="W30" i="60" s="1"/>
  <c r="J29" i="60"/>
  <c r="W29" i="60" s="1"/>
  <c r="J28" i="60"/>
  <c r="W28" i="60" s="1"/>
  <c r="J27" i="60"/>
  <c r="W27" i="60" s="1"/>
  <c r="J26" i="60"/>
  <c r="W26" i="60" s="1"/>
  <c r="J25" i="60"/>
  <c r="V25" i="60" s="1"/>
  <c r="J24" i="60"/>
  <c r="W24" i="60" s="1"/>
  <c r="J23" i="60"/>
  <c r="W23" i="60" s="1"/>
  <c r="J22" i="60"/>
  <c r="W22" i="60" s="1"/>
  <c r="J21" i="60"/>
  <c r="W21" i="60" s="1"/>
  <c r="J20" i="60"/>
  <c r="W20" i="60" s="1"/>
  <c r="J19" i="60"/>
  <c r="W19" i="60" s="1"/>
  <c r="J18" i="60"/>
  <c r="W18" i="60" s="1"/>
  <c r="J17" i="60"/>
  <c r="W17" i="60" s="1"/>
  <c r="J16" i="60"/>
  <c r="W16" i="60" s="1"/>
  <c r="J15" i="60"/>
  <c r="V15" i="60" s="1"/>
  <c r="J14" i="60"/>
  <c r="V14" i="60" s="1"/>
  <c r="J13" i="60"/>
  <c r="V13" i="60" s="1"/>
  <c r="J12" i="60"/>
  <c r="W12" i="60" s="1"/>
  <c r="J11" i="60"/>
  <c r="W11" i="60" s="1"/>
  <c r="W10" i="60"/>
  <c r="J10" i="60"/>
  <c r="V10" i="60" s="1"/>
  <c r="J9" i="60"/>
  <c r="W9" i="60" s="1"/>
  <c r="N8" i="60"/>
  <c r="J8" i="60"/>
  <c r="W8" i="60" s="1"/>
  <c r="J7" i="60"/>
  <c r="V7" i="60" s="1"/>
  <c r="N6" i="60"/>
  <c r="R6" i="60" s="1"/>
  <c r="J6" i="60"/>
  <c r="V6" i="60" s="1"/>
  <c r="N4" i="60"/>
  <c r="W43" i="60" l="1"/>
  <c r="W50" i="60"/>
  <c r="W101" i="60"/>
  <c r="W7" i="60"/>
  <c r="W70" i="60"/>
  <c r="V93" i="60"/>
  <c r="V99" i="60"/>
  <c r="W172" i="60"/>
  <c r="V44" i="60"/>
  <c r="W6" i="60"/>
  <c r="W168" i="60"/>
  <c r="V48" i="60"/>
  <c r="W55" i="60"/>
  <c r="V58" i="60"/>
  <c r="W47" i="60"/>
  <c r="W169" i="60"/>
  <c r="W171" i="60"/>
  <c r="W173" i="60"/>
  <c r="V161" i="60"/>
  <c r="W39" i="60"/>
  <c r="V80" i="60"/>
  <c r="V84" i="60"/>
  <c r="V88" i="60"/>
  <c r="V98" i="60"/>
  <c r="V76" i="60"/>
  <c r="V78" i="60"/>
  <c r="V82" i="60"/>
  <c r="V86" i="60"/>
  <c r="V90" i="60"/>
  <c r="V92" i="60"/>
  <c r="V94" i="60"/>
  <c r="V96" i="60"/>
  <c r="V100" i="60"/>
  <c r="V110" i="60"/>
  <c r="V74" i="60"/>
  <c r="V77" i="60"/>
  <c r="V79" i="60"/>
  <c r="V81" i="60"/>
  <c r="V83" i="60"/>
  <c r="V85" i="60"/>
  <c r="V87" i="60"/>
  <c r="V89" i="60"/>
  <c r="V91" i="60"/>
  <c r="V95" i="60"/>
  <c r="W68" i="60"/>
  <c r="V34" i="60"/>
  <c r="W32" i="60"/>
  <c r="W136" i="60"/>
  <c r="N10" i="60"/>
  <c r="V130" i="60"/>
  <c r="V132" i="60"/>
  <c r="V148" i="60"/>
  <c r="V150" i="60"/>
  <c r="W152" i="60"/>
  <c r="V154" i="60"/>
  <c r="V156" i="60"/>
  <c r="W159" i="60"/>
  <c r="W167" i="60"/>
  <c r="V131" i="60"/>
  <c r="V133" i="60"/>
  <c r="W143" i="60"/>
  <c r="V149" i="60"/>
  <c r="W151" i="60"/>
  <c r="V153" i="60"/>
  <c r="V155" i="60"/>
  <c r="W166" i="60"/>
  <c r="W69" i="60"/>
  <c r="V12" i="60"/>
  <c r="W14" i="60"/>
  <c r="V16" i="60"/>
  <c r="W25" i="60"/>
  <c r="V31" i="60"/>
  <c r="V38" i="60"/>
  <c r="V42" i="60"/>
  <c r="V11" i="60"/>
  <c r="V24" i="60"/>
  <c r="W33" i="60"/>
  <c r="V40" i="60"/>
  <c r="V8" i="60"/>
  <c r="W13" i="60"/>
  <c r="W15" i="60"/>
  <c r="V26" i="60"/>
  <c r="J121" i="60"/>
  <c r="V67" i="60"/>
  <c r="W67" i="60"/>
  <c r="W71" i="60"/>
  <c r="V71" i="60"/>
  <c r="W35" i="60"/>
  <c r="V35" i="60"/>
  <c r="W36" i="60"/>
  <c r="V36" i="60"/>
  <c r="W118" i="60"/>
  <c r="V118" i="60"/>
  <c r="W157" i="60"/>
  <c r="V157" i="60"/>
  <c r="V9" i="60"/>
  <c r="V17" i="60"/>
  <c r="V18" i="60"/>
  <c r="V19" i="60"/>
  <c r="V20" i="60"/>
  <c r="V21" i="60"/>
  <c r="V22" i="60"/>
  <c r="V23" i="60"/>
  <c r="V27" i="60"/>
  <c r="V28" i="60"/>
  <c r="V29" i="60"/>
  <c r="V30" i="60"/>
  <c r="V37" i="60"/>
  <c r="V41" i="60"/>
  <c r="V45" i="60"/>
  <c r="V49" i="60"/>
  <c r="V53" i="60"/>
  <c r="V57" i="60"/>
  <c r="V73" i="60"/>
  <c r="W115" i="60"/>
  <c r="V115" i="60"/>
  <c r="W119" i="60"/>
  <c r="V119" i="60"/>
  <c r="W135" i="60"/>
  <c r="V135" i="60"/>
  <c r="W138" i="60"/>
  <c r="V138" i="60"/>
  <c r="W142" i="60"/>
  <c r="V142" i="60"/>
  <c r="W145" i="60"/>
  <c r="V145" i="60"/>
  <c r="W158" i="60"/>
  <c r="V158" i="60"/>
  <c r="W163" i="60"/>
  <c r="V163" i="60"/>
  <c r="W111" i="60"/>
  <c r="V111" i="60"/>
  <c r="J175" i="60"/>
  <c r="W129" i="60"/>
  <c r="W134" i="60"/>
  <c r="V134" i="60"/>
  <c r="W141" i="60"/>
  <c r="V141" i="60"/>
  <c r="V52" i="60"/>
  <c r="V56" i="60"/>
  <c r="J59" i="60"/>
  <c r="V72" i="60"/>
  <c r="W112" i="60"/>
  <c r="V112" i="60"/>
  <c r="W116" i="60"/>
  <c r="V116" i="60"/>
  <c r="W120" i="60"/>
  <c r="V120" i="60"/>
  <c r="W139" i="60"/>
  <c r="V139" i="60"/>
  <c r="W146" i="60"/>
  <c r="V146" i="60"/>
  <c r="W164" i="60"/>
  <c r="V164" i="60"/>
  <c r="W114" i="60"/>
  <c r="V114" i="60"/>
  <c r="V75" i="60"/>
  <c r="W113" i="60"/>
  <c r="V113" i="60"/>
  <c r="W117" i="60"/>
  <c r="V117" i="60"/>
  <c r="V137" i="60"/>
  <c r="W140" i="60"/>
  <c r="V140" i="60"/>
  <c r="V144" i="60"/>
  <c r="W147" i="60"/>
  <c r="V147" i="60"/>
  <c r="V160" i="60"/>
  <c r="W165" i="60"/>
  <c r="V165" i="60"/>
  <c r="H166" i="59"/>
  <c r="H165" i="59"/>
  <c r="V175" i="60" l="1"/>
  <c r="O8" i="60" s="1"/>
  <c r="R8" i="60" s="1"/>
  <c r="V59" i="60"/>
  <c r="O4" i="60" s="1"/>
  <c r="W59" i="60"/>
  <c r="P4" i="60" s="1"/>
  <c r="W175" i="60"/>
  <c r="V121" i="60"/>
  <c r="W121" i="60"/>
  <c r="P6" i="60" s="1"/>
  <c r="H163" i="59"/>
  <c r="Q4" i="60" l="1"/>
  <c r="O10" i="60"/>
  <c r="R10" i="60" s="1"/>
  <c r="P12" i="60" s="1"/>
  <c r="R4" i="60"/>
  <c r="P10" i="60"/>
  <c r="Q10" i="60"/>
  <c r="H160" i="59"/>
  <c r="H159" i="59"/>
  <c r="H158" i="59"/>
  <c r="H157" i="59"/>
  <c r="H36" i="59"/>
  <c r="H35" i="59"/>
  <c r="H33" i="59"/>
  <c r="H71" i="59" l="1"/>
  <c r="H153" i="59" l="1"/>
  <c r="H151" i="59"/>
  <c r="H30" i="59"/>
  <c r="H29" i="59"/>
  <c r="H28" i="59"/>
  <c r="H147" i="59"/>
  <c r="H145" i="59" l="1"/>
  <c r="H144" i="59"/>
  <c r="H143" i="59"/>
  <c r="H23" i="59"/>
  <c r="H22" i="59"/>
  <c r="H142" i="59" l="1"/>
  <c r="H138" i="59"/>
  <c r="H21" i="59"/>
  <c r="H20" i="59"/>
  <c r="H19" i="59"/>
  <c r="H18" i="59"/>
  <c r="H15" i="59"/>
  <c r="H14" i="59"/>
  <c r="H137" i="59" l="1"/>
  <c r="H136" i="59"/>
  <c r="J136" i="59" l="1"/>
  <c r="H135" i="59"/>
  <c r="H134" i="59"/>
  <c r="H67" i="59"/>
  <c r="J67" i="59" s="1"/>
  <c r="H7" i="59"/>
  <c r="H129" i="59"/>
  <c r="J174" i="59"/>
  <c r="V174" i="59" s="1"/>
  <c r="J173" i="59"/>
  <c r="V173" i="59" s="1"/>
  <c r="J172" i="59"/>
  <c r="V172" i="59" s="1"/>
  <c r="J171" i="59"/>
  <c r="V171" i="59" s="1"/>
  <c r="J170" i="59"/>
  <c r="V170" i="59" s="1"/>
  <c r="J169" i="59"/>
  <c r="V169" i="59" s="1"/>
  <c r="J168" i="59"/>
  <c r="V168" i="59" s="1"/>
  <c r="J167" i="59"/>
  <c r="V167" i="59" s="1"/>
  <c r="J166" i="59"/>
  <c r="V166" i="59" s="1"/>
  <c r="J165" i="59"/>
  <c r="J164" i="59"/>
  <c r="J163" i="59"/>
  <c r="W163" i="59" s="1"/>
  <c r="J162" i="59"/>
  <c r="V162" i="59" s="1"/>
  <c r="J161" i="59"/>
  <c r="J160" i="59"/>
  <c r="J159" i="59"/>
  <c r="W159" i="59" s="1"/>
  <c r="J158" i="59"/>
  <c r="V158" i="59" s="1"/>
  <c r="J157" i="59"/>
  <c r="J156" i="59"/>
  <c r="J155" i="59"/>
  <c r="J154" i="59"/>
  <c r="J153" i="59"/>
  <c r="W153" i="59" s="1"/>
  <c r="J152" i="59"/>
  <c r="W152" i="59" s="1"/>
  <c r="J151" i="59"/>
  <c r="W151" i="59" s="1"/>
  <c r="J150" i="59"/>
  <c r="V150" i="59" s="1"/>
  <c r="J149" i="59"/>
  <c r="J148" i="59"/>
  <c r="J147" i="59"/>
  <c r="J146" i="59"/>
  <c r="W146" i="59" s="1"/>
  <c r="J145" i="59"/>
  <c r="W145" i="59" s="1"/>
  <c r="J144" i="59"/>
  <c r="W144" i="59" s="1"/>
  <c r="J143" i="59"/>
  <c r="W143" i="59" s="1"/>
  <c r="J142" i="59"/>
  <c r="W142" i="59" s="1"/>
  <c r="J141" i="59"/>
  <c r="J140" i="59"/>
  <c r="J139" i="59"/>
  <c r="J138" i="59"/>
  <c r="W138" i="59" s="1"/>
  <c r="J137" i="59"/>
  <c r="V137" i="59" s="1"/>
  <c r="V136" i="59"/>
  <c r="J134" i="59"/>
  <c r="W134" i="59" s="1"/>
  <c r="J133" i="59"/>
  <c r="W133" i="59" s="1"/>
  <c r="J132" i="59"/>
  <c r="W132" i="59" s="1"/>
  <c r="J131" i="59"/>
  <c r="W131" i="59" s="1"/>
  <c r="J130" i="59"/>
  <c r="W130" i="59" s="1"/>
  <c r="B130" i="59"/>
  <c r="B131" i="59" s="1"/>
  <c r="B132" i="59" s="1"/>
  <c r="B133" i="59" s="1"/>
  <c r="B134" i="59" s="1"/>
  <c r="B135" i="59" s="1"/>
  <c r="B136" i="59" s="1"/>
  <c r="B137" i="59" s="1"/>
  <c r="B138" i="59" s="1"/>
  <c r="B139" i="59" s="1"/>
  <c r="B140" i="59" s="1"/>
  <c r="B141" i="59" s="1"/>
  <c r="B142" i="59" s="1"/>
  <c r="B143" i="59" s="1"/>
  <c r="B144" i="59" s="1"/>
  <c r="B145" i="59" s="1"/>
  <c r="B146" i="59" s="1"/>
  <c r="B147" i="59" s="1"/>
  <c r="B148" i="59" s="1"/>
  <c r="B149" i="59" s="1"/>
  <c r="B150" i="59" s="1"/>
  <c r="B151" i="59" s="1"/>
  <c r="B152" i="59" s="1"/>
  <c r="B153" i="59" s="1"/>
  <c r="B154" i="59" s="1"/>
  <c r="B155" i="59" s="1"/>
  <c r="B156" i="59" s="1"/>
  <c r="B157" i="59" s="1"/>
  <c r="B158" i="59" s="1"/>
  <c r="B159" i="59" s="1"/>
  <c r="B160" i="59" s="1"/>
  <c r="B161" i="59" s="1"/>
  <c r="B162" i="59" s="1"/>
  <c r="B163" i="59" s="1"/>
  <c r="B164" i="59" s="1"/>
  <c r="B165" i="59" s="1"/>
  <c r="B166" i="59" s="1"/>
  <c r="B167" i="59" s="1"/>
  <c r="B168" i="59" s="1"/>
  <c r="B169" i="59" s="1"/>
  <c r="B170" i="59" s="1"/>
  <c r="B171" i="59" s="1"/>
  <c r="B172" i="59" s="1"/>
  <c r="B173" i="59" s="1"/>
  <c r="B174" i="59" s="1"/>
  <c r="J129" i="59"/>
  <c r="V129" i="59" s="1"/>
  <c r="J120" i="59"/>
  <c r="J119" i="59"/>
  <c r="J118" i="59"/>
  <c r="J117" i="59"/>
  <c r="J116" i="59"/>
  <c r="J115" i="59"/>
  <c r="J114" i="59"/>
  <c r="J113" i="59"/>
  <c r="J112" i="59"/>
  <c r="B112" i="59"/>
  <c r="B113" i="59" s="1"/>
  <c r="B114" i="59" s="1"/>
  <c r="B115" i="59" s="1"/>
  <c r="B116" i="59" s="1"/>
  <c r="B117" i="59" s="1"/>
  <c r="B118" i="59" s="1"/>
  <c r="B119" i="59" s="1"/>
  <c r="B120" i="59" s="1"/>
  <c r="J111" i="59"/>
  <c r="J110" i="59"/>
  <c r="V110" i="59" s="1"/>
  <c r="J109" i="59"/>
  <c r="J108" i="59"/>
  <c r="J107" i="59"/>
  <c r="J106" i="59"/>
  <c r="J105" i="59"/>
  <c r="J104" i="59"/>
  <c r="J103" i="59"/>
  <c r="J102" i="59"/>
  <c r="W101" i="59"/>
  <c r="V101" i="59"/>
  <c r="J101" i="59"/>
  <c r="J100" i="59"/>
  <c r="W100" i="59" s="1"/>
  <c r="J99" i="59"/>
  <c r="W99" i="59" s="1"/>
  <c r="J98" i="59"/>
  <c r="W98" i="59" s="1"/>
  <c r="J97" i="59"/>
  <c r="W97" i="59" s="1"/>
  <c r="J96" i="59"/>
  <c r="W96" i="59" s="1"/>
  <c r="J95" i="59"/>
  <c r="W95" i="59" s="1"/>
  <c r="J94" i="59"/>
  <c r="W94" i="59" s="1"/>
  <c r="J93" i="59"/>
  <c r="W93" i="59" s="1"/>
  <c r="J92" i="59"/>
  <c r="W92" i="59" s="1"/>
  <c r="J91" i="59"/>
  <c r="W91" i="59" s="1"/>
  <c r="J90" i="59"/>
  <c r="W90" i="59" s="1"/>
  <c r="J89" i="59"/>
  <c r="W89" i="59" s="1"/>
  <c r="J88" i="59"/>
  <c r="W88" i="59" s="1"/>
  <c r="J87" i="59"/>
  <c r="W87" i="59" s="1"/>
  <c r="J86" i="59"/>
  <c r="W86" i="59" s="1"/>
  <c r="J85" i="59"/>
  <c r="W85" i="59" s="1"/>
  <c r="J84" i="59"/>
  <c r="W84" i="59" s="1"/>
  <c r="J83" i="59"/>
  <c r="W83" i="59" s="1"/>
  <c r="J82" i="59"/>
  <c r="W82" i="59" s="1"/>
  <c r="J81" i="59"/>
  <c r="W81" i="59" s="1"/>
  <c r="J80" i="59"/>
  <c r="W80" i="59" s="1"/>
  <c r="J79" i="59"/>
  <c r="W79" i="59" s="1"/>
  <c r="J78" i="59"/>
  <c r="W78" i="59" s="1"/>
  <c r="J77" i="59"/>
  <c r="W77" i="59" s="1"/>
  <c r="J76" i="59"/>
  <c r="W76" i="59" s="1"/>
  <c r="J75" i="59"/>
  <c r="W75" i="59" s="1"/>
  <c r="J74" i="59"/>
  <c r="W74" i="59" s="1"/>
  <c r="J73" i="59"/>
  <c r="W73" i="59" s="1"/>
  <c r="J72" i="59"/>
  <c r="W72" i="59" s="1"/>
  <c r="J71" i="59"/>
  <c r="V71" i="59" s="1"/>
  <c r="J70" i="59"/>
  <c r="V70" i="59" s="1"/>
  <c r="J69" i="59"/>
  <c r="V69" i="59" s="1"/>
  <c r="J68" i="59"/>
  <c r="W68" i="59" s="1"/>
  <c r="B68" i="59"/>
  <c r="B69" i="59" s="1"/>
  <c r="B70" i="59" s="1"/>
  <c r="B71" i="59" s="1"/>
  <c r="B72" i="59" s="1"/>
  <c r="B73" i="59" s="1"/>
  <c r="B74" i="59" s="1"/>
  <c r="B75" i="59" s="1"/>
  <c r="B76" i="59" s="1"/>
  <c r="B77" i="59" s="1"/>
  <c r="B78" i="59" s="1"/>
  <c r="B79" i="59" s="1"/>
  <c r="B80" i="59" s="1"/>
  <c r="B81" i="59" s="1"/>
  <c r="B82" i="59" s="1"/>
  <c r="B83" i="59" s="1"/>
  <c r="B84" i="59" s="1"/>
  <c r="B85" i="59" s="1"/>
  <c r="B86" i="59" s="1"/>
  <c r="B87" i="59" s="1"/>
  <c r="B88" i="59" s="1"/>
  <c r="B89" i="59" s="1"/>
  <c r="B90" i="59" s="1"/>
  <c r="B91" i="59" s="1"/>
  <c r="B92" i="59" s="1"/>
  <c r="B93" i="59" s="1"/>
  <c r="B94" i="59" s="1"/>
  <c r="B95" i="59" s="1"/>
  <c r="B96" i="59" s="1"/>
  <c r="B97" i="59" s="1"/>
  <c r="B98" i="59" s="1"/>
  <c r="B99" i="59" s="1"/>
  <c r="B100" i="59" s="1"/>
  <c r="J58" i="59"/>
  <c r="V58" i="59" s="1"/>
  <c r="J57" i="59"/>
  <c r="W57" i="59" s="1"/>
  <c r="J56" i="59"/>
  <c r="W56" i="59" s="1"/>
  <c r="J55" i="59"/>
  <c r="V55" i="59" s="1"/>
  <c r="J54" i="59"/>
  <c r="V54" i="59" s="1"/>
  <c r="J53" i="59"/>
  <c r="W53" i="59" s="1"/>
  <c r="J52" i="59"/>
  <c r="W52" i="59" s="1"/>
  <c r="J51" i="59"/>
  <c r="V51" i="59" s="1"/>
  <c r="J50" i="59"/>
  <c r="V50" i="59" s="1"/>
  <c r="J49" i="59"/>
  <c r="W49" i="59" s="1"/>
  <c r="J48" i="59"/>
  <c r="W48" i="59" s="1"/>
  <c r="J47" i="59"/>
  <c r="V47" i="59" s="1"/>
  <c r="J46" i="59"/>
  <c r="V46" i="59" s="1"/>
  <c r="J45" i="59"/>
  <c r="W45" i="59" s="1"/>
  <c r="J44" i="59"/>
  <c r="W44" i="59" s="1"/>
  <c r="J43" i="59"/>
  <c r="V43" i="59" s="1"/>
  <c r="J42" i="59"/>
  <c r="V42" i="59" s="1"/>
  <c r="J41" i="59"/>
  <c r="V41" i="59" s="1"/>
  <c r="J40" i="59"/>
  <c r="J39" i="59"/>
  <c r="W39" i="59" s="1"/>
  <c r="J38" i="59"/>
  <c r="W38" i="59" s="1"/>
  <c r="J37" i="59"/>
  <c r="J36" i="59"/>
  <c r="J35" i="59"/>
  <c r="J34" i="59"/>
  <c r="W34" i="59" s="1"/>
  <c r="J33" i="59"/>
  <c r="V33" i="59" s="1"/>
  <c r="J32" i="59"/>
  <c r="W32" i="59" s="1"/>
  <c r="J31" i="59"/>
  <c r="W31" i="59" s="1"/>
  <c r="J30" i="59"/>
  <c r="W30" i="59" s="1"/>
  <c r="J29" i="59"/>
  <c r="V29" i="59" s="1"/>
  <c r="J28" i="59"/>
  <c r="J27" i="59"/>
  <c r="W27" i="59" s="1"/>
  <c r="J26" i="59"/>
  <c r="W26" i="59" s="1"/>
  <c r="J25" i="59"/>
  <c r="W25" i="59" s="1"/>
  <c r="J24" i="59"/>
  <c r="W24" i="59" s="1"/>
  <c r="J23" i="59"/>
  <c r="V23" i="59" s="1"/>
  <c r="J22" i="59"/>
  <c r="W22" i="59" s="1"/>
  <c r="J21" i="59"/>
  <c r="W21" i="59" s="1"/>
  <c r="W20" i="59"/>
  <c r="J20" i="59"/>
  <c r="V20" i="59" s="1"/>
  <c r="J19" i="59"/>
  <c r="V19" i="59" s="1"/>
  <c r="V18" i="59"/>
  <c r="J18" i="59"/>
  <c r="W18" i="59" s="1"/>
  <c r="J17" i="59"/>
  <c r="W17" i="59" s="1"/>
  <c r="J16" i="59"/>
  <c r="W16" i="59" s="1"/>
  <c r="J15" i="59"/>
  <c r="J14" i="59"/>
  <c r="J13" i="59"/>
  <c r="W13" i="59" s="1"/>
  <c r="J12" i="59"/>
  <c r="J11" i="59"/>
  <c r="W11" i="59" s="1"/>
  <c r="J10" i="59"/>
  <c r="W10" i="59" s="1"/>
  <c r="J9" i="59"/>
  <c r="V9" i="59" s="1"/>
  <c r="N8" i="59"/>
  <c r="J8" i="59"/>
  <c r="J7" i="59"/>
  <c r="W7" i="59" s="1"/>
  <c r="N6" i="59"/>
  <c r="J6" i="59"/>
  <c r="W6" i="59" s="1"/>
  <c r="N4" i="59"/>
  <c r="V24" i="59" l="1"/>
  <c r="V74" i="59"/>
  <c r="V99" i="59"/>
  <c r="V22" i="59"/>
  <c r="W47" i="59"/>
  <c r="V72" i="59"/>
  <c r="V97" i="59"/>
  <c r="V68" i="59"/>
  <c r="V95" i="59"/>
  <c r="W110" i="59"/>
  <c r="W51" i="59"/>
  <c r="W55" i="59"/>
  <c r="W43" i="59"/>
  <c r="W168" i="59"/>
  <c r="W170" i="59"/>
  <c r="W172" i="59"/>
  <c r="W174" i="59"/>
  <c r="W167" i="59"/>
  <c r="W169" i="59"/>
  <c r="W171" i="59"/>
  <c r="W173" i="59"/>
  <c r="W46" i="59"/>
  <c r="W50" i="59"/>
  <c r="W54" i="59"/>
  <c r="W58" i="59"/>
  <c r="V45" i="59"/>
  <c r="V49" i="59"/>
  <c r="V53" i="59"/>
  <c r="V57" i="59"/>
  <c r="W41" i="59"/>
  <c r="W158" i="59"/>
  <c r="W33" i="59"/>
  <c r="W71" i="59"/>
  <c r="W70" i="59"/>
  <c r="V153" i="59"/>
  <c r="V152" i="59"/>
  <c r="V151" i="59"/>
  <c r="W150" i="59"/>
  <c r="W29" i="59"/>
  <c r="V143" i="59"/>
  <c r="W69" i="59"/>
  <c r="W9" i="59"/>
  <c r="V7" i="59"/>
  <c r="V73" i="59"/>
  <c r="W129" i="59"/>
  <c r="V142" i="59"/>
  <c r="V145" i="59"/>
  <c r="W162" i="59"/>
  <c r="N10" i="59"/>
  <c r="V130" i="59"/>
  <c r="W137" i="59"/>
  <c r="V144" i="59"/>
  <c r="V146" i="59"/>
  <c r="V163" i="59"/>
  <c r="W166" i="59"/>
  <c r="V11" i="59"/>
  <c r="V13" i="59"/>
  <c r="V27" i="59"/>
  <c r="V39" i="59"/>
  <c r="V10" i="59"/>
  <c r="W19" i="59"/>
  <c r="W23" i="59"/>
  <c r="V30" i="59"/>
  <c r="V32" i="59"/>
  <c r="V34" i="59"/>
  <c r="W42" i="59"/>
  <c r="V12" i="59"/>
  <c r="W12" i="59"/>
  <c r="W14" i="59"/>
  <c r="V14" i="59"/>
  <c r="W36" i="59"/>
  <c r="V36" i="59"/>
  <c r="J59" i="59"/>
  <c r="W15" i="59"/>
  <c r="V15" i="59"/>
  <c r="W28" i="59"/>
  <c r="V28" i="59"/>
  <c r="W37" i="59"/>
  <c r="V37" i="59"/>
  <c r="W40" i="59"/>
  <c r="V40" i="59"/>
  <c r="V8" i="59"/>
  <c r="W8" i="59"/>
  <c r="W35" i="59"/>
  <c r="V35" i="59"/>
  <c r="W67" i="59"/>
  <c r="J121" i="59"/>
  <c r="V67" i="59"/>
  <c r="W136" i="59"/>
  <c r="W147" i="59"/>
  <c r="V147" i="59"/>
  <c r="W156" i="59"/>
  <c r="V156" i="59"/>
  <c r="V6" i="59"/>
  <c r="V16" i="59"/>
  <c r="V17" i="59"/>
  <c r="V21" i="59"/>
  <c r="V25" i="59"/>
  <c r="V26" i="59"/>
  <c r="V31" i="59"/>
  <c r="V38" i="59"/>
  <c r="V44" i="59"/>
  <c r="V48" i="59"/>
  <c r="V52" i="59"/>
  <c r="V56" i="59"/>
  <c r="V76" i="59"/>
  <c r="V78" i="59"/>
  <c r="V80" i="59"/>
  <c r="V82" i="59"/>
  <c r="V84" i="59"/>
  <c r="V86" i="59"/>
  <c r="V88" i="59"/>
  <c r="V90" i="59"/>
  <c r="V92" i="59"/>
  <c r="V94" i="59"/>
  <c r="V96" i="59"/>
  <c r="V98" i="59"/>
  <c r="V100" i="59"/>
  <c r="W112" i="59"/>
  <c r="V112" i="59"/>
  <c r="W114" i="59"/>
  <c r="V114" i="59"/>
  <c r="W116" i="59"/>
  <c r="V116" i="59"/>
  <c r="W118" i="59"/>
  <c r="V118" i="59"/>
  <c r="W120" i="59"/>
  <c r="V120" i="59"/>
  <c r="V131" i="59"/>
  <c r="V133" i="59"/>
  <c r="J135" i="59"/>
  <c r="J175" i="59" s="1"/>
  <c r="W139" i="59"/>
  <c r="V139" i="59"/>
  <c r="W148" i="59"/>
  <c r="V148" i="59"/>
  <c r="W157" i="59"/>
  <c r="V157" i="59"/>
  <c r="W160" i="59"/>
  <c r="V160" i="59"/>
  <c r="W140" i="59"/>
  <c r="V140" i="59"/>
  <c r="W149" i="59"/>
  <c r="V149" i="59"/>
  <c r="W154" i="59"/>
  <c r="V154" i="59"/>
  <c r="W161" i="59"/>
  <c r="V161" i="59"/>
  <c r="W164" i="59"/>
  <c r="V164" i="59"/>
  <c r="V75" i="59"/>
  <c r="V77" i="59"/>
  <c r="V79" i="59"/>
  <c r="V81" i="59"/>
  <c r="V83" i="59"/>
  <c r="V85" i="59"/>
  <c r="V87" i="59"/>
  <c r="V89" i="59"/>
  <c r="V91" i="59"/>
  <c r="V93" i="59"/>
  <c r="W111" i="59"/>
  <c r="V111" i="59"/>
  <c r="W113" i="59"/>
  <c r="V113" i="59"/>
  <c r="W115" i="59"/>
  <c r="V115" i="59"/>
  <c r="W117" i="59"/>
  <c r="V117" i="59"/>
  <c r="W119" i="59"/>
  <c r="V119" i="59"/>
  <c r="V132" i="59"/>
  <c r="V134" i="59"/>
  <c r="V138" i="59"/>
  <c r="W141" i="59"/>
  <c r="V141" i="59"/>
  <c r="W155" i="59"/>
  <c r="V155" i="59"/>
  <c r="V159" i="59"/>
  <c r="W165" i="59"/>
  <c r="V165" i="59"/>
  <c r="H71" i="58"/>
  <c r="H67" i="58"/>
  <c r="H75" i="58"/>
  <c r="H73" i="58"/>
  <c r="H70" i="58"/>
  <c r="H166" i="58"/>
  <c r="H165" i="58"/>
  <c r="H164" i="58"/>
  <c r="H163" i="58"/>
  <c r="H162" i="58"/>
  <c r="H161" i="58"/>
  <c r="H160" i="58"/>
  <c r="H159" i="58"/>
  <c r="H42" i="58"/>
  <c r="H40" i="58"/>
  <c r="H37" i="58"/>
  <c r="H36" i="58"/>
  <c r="W59" i="59" l="1"/>
  <c r="P4" i="59" s="1"/>
  <c r="V121" i="59"/>
  <c r="V59" i="59"/>
  <c r="O4" i="59" s="1"/>
  <c r="W121" i="59"/>
  <c r="P6" i="59" s="1"/>
  <c r="W135" i="59"/>
  <c r="W175" i="59" s="1"/>
  <c r="P8" i="59" s="1"/>
  <c r="V135" i="59"/>
  <c r="V175" i="59" s="1"/>
  <c r="O8" i="59" s="1"/>
  <c r="R8" i="59" s="1"/>
  <c r="H35" i="58"/>
  <c r="H158" i="58"/>
  <c r="P10" i="59" l="1"/>
  <c r="R6" i="59"/>
  <c r="Q6" i="59"/>
  <c r="O10" i="59"/>
  <c r="R10" i="59" s="1"/>
  <c r="P12" i="59" s="1"/>
  <c r="R4" i="59"/>
  <c r="Q4" i="59"/>
  <c r="H157" i="58"/>
  <c r="H154" i="58"/>
  <c r="H151" i="58"/>
  <c r="H150" i="58"/>
  <c r="H28" i="58"/>
  <c r="Q10" i="59" l="1"/>
  <c r="H26" i="58"/>
  <c r="H149" i="58"/>
  <c r="H147" i="58"/>
  <c r="H144" i="58"/>
  <c r="H142" i="58"/>
  <c r="H141" i="58" l="1"/>
  <c r="H17" i="58"/>
  <c r="H139" i="58"/>
  <c r="H138" i="58"/>
  <c r="H15" i="58"/>
  <c r="J15" i="58" s="1"/>
  <c r="V15" i="58" s="1"/>
  <c r="H14" i="58"/>
  <c r="H137" i="58"/>
  <c r="H136" i="58"/>
  <c r="H135" i="58"/>
  <c r="J135" i="58" s="1"/>
  <c r="W135" i="58" s="1"/>
  <c r="H12" i="58"/>
  <c r="H8" i="58"/>
  <c r="J8" i="58" s="1"/>
  <c r="V8" i="58" s="1"/>
  <c r="H130" i="58"/>
  <c r="J137" i="58"/>
  <c r="W137" i="58" s="1"/>
  <c r="J174" i="58"/>
  <c r="V174" i="58" s="1"/>
  <c r="W173" i="58"/>
  <c r="J173" i="58"/>
  <c r="V173" i="58" s="1"/>
  <c r="J172" i="58"/>
  <c r="V172" i="58" s="1"/>
  <c r="J171" i="58"/>
  <c r="V171" i="58" s="1"/>
  <c r="J170" i="58"/>
  <c r="V170" i="58" s="1"/>
  <c r="J169" i="58"/>
  <c r="V169" i="58" s="1"/>
  <c r="J168" i="58"/>
  <c r="V168" i="58" s="1"/>
  <c r="J167" i="58"/>
  <c r="J166" i="58"/>
  <c r="J165" i="58"/>
  <c r="J164" i="58"/>
  <c r="W164" i="58" s="1"/>
  <c r="J163" i="58"/>
  <c r="W163" i="58" s="1"/>
  <c r="J162" i="58"/>
  <c r="V162" i="58" s="1"/>
  <c r="J161" i="58"/>
  <c r="J160" i="58"/>
  <c r="J159" i="58"/>
  <c r="J158" i="58"/>
  <c r="J157" i="58"/>
  <c r="W157" i="58" s="1"/>
  <c r="J156" i="58"/>
  <c r="W156" i="58" s="1"/>
  <c r="J155" i="58"/>
  <c r="V155" i="58" s="1"/>
  <c r="J154" i="58"/>
  <c r="J153" i="58"/>
  <c r="J152" i="58"/>
  <c r="W152" i="58" s="1"/>
  <c r="J151" i="58"/>
  <c r="W151" i="58" s="1"/>
  <c r="J150" i="58"/>
  <c r="W150" i="58" s="1"/>
  <c r="J149" i="58"/>
  <c r="W149" i="58" s="1"/>
  <c r="J148" i="58"/>
  <c r="W148" i="58" s="1"/>
  <c r="J147" i="58"/>
  <c r="W147" i="58" s="1"/>
  <c r="J146" i="58"/>
  <c r="V146" i="58" s="1"/>
  <c r="J145" i="58"/>
  <c r="W145" i="58" s="1"/>
  <c r="J144" i="58"/>
  <c r="W144" i="58" s="1"/>
  <c r="J143" i="58"/>
  <c r="W143" i="58" s="1"/>
  <c r="J142" i="58"/>
  <c r="W142" i="58" s="1"/>
  <c r="J141" i="58"/>
  <c r="J140" i="58"/>
  <c r="J139" i="58"/>
  <c r="W139" i="58" s="1"/>
  <c r="J138" i="58"/>
  <c r="W138" i="58" s="1"/>
  <c r="J136" i="58"/>
  <c r="V136" i="58" s="1"/>
  <c r="J134" i="58"/>
  <c r="W134" i="58" s="1"/>
  <c r="J131" i="58"/>
  <c r="J130" i="58"/>
  <c r="B130" i="58"/>
  <c r="B131" i="58" s="1"/>
  <c r="B132" i="58" s="1"/>
  <c r="B133" i="58" s="1"/>
  <c r="B134" i="58" s="1"/>
  <c r="B135" i="58" s="1"/>
  <c r="B136" i="58" s="1"/>
  <c r="B137" i="58" s="1"/>
  <c r="B138" i="58" s="1"/>
  <c r="B139" i="58" s="1"/>
  <c r="B140" i="58" s="1"/>
  <c r="B141" i="58" s="1"/>
  <c r="B142" i="58" s="1"/>
  <c r="B143" i="58" s="1"/>
  <c r="B144" i="58" s="1"/>
  <c r="B145" i="58" s="1"/>
  <c r="B146" i="58" s="1"/>
  <c r="B147" i="58" s="1"/>
  <c r="B148" i="58" s="1"/>
  <c r="B149" i="58" s="1"/>
  <c r="B150" i="58" s="1"/>
  <c r="B151" i="58" s="1"/>
  <c r="B152" i="58" s="1"/>
  <c r="B153" i="58" s="1"/>
  <c r="B154" i="58" s="1"/>
  <c r="B155" i="58" s="1"/>
  <c r="B156" i="58" s="1"/>
  <c r="B157" i="58" s="1"/>
  <c r="B158" i="58" s="1"/>
  <c r="B159" i="58" s="1"/>
  <c r="B160" i="58" s="1"/>
  <c r="B161" i="58" s="1"/>
  <c r="B162" i="58" s="1"/>
  <c r="B163" i="58" s="1"/>
  <c r="B164" i="58" s="1"/>
  <c r="B165" i="58" s="1"/>
  <c r="B166" i="58" s="1"/>
  <c r="B167" i="58" s="1"/>
  <c r="B168" i="58" s="1"/>
  <c r="B169" i="58" s="1"/>
  <c r="B170" i="58" s="1"/>
  <c r="B171" i="58" s="1"/>
  <c r="B172" i="58" s="1"/>
  <c r="B173" i="58" s="1"/>
  <c r="B174" i="58" s="1"/>
  <c r="J129" i="58"/>
  <c r="V129" i="58" s="1"/>
  <c r="J120" i="58"/>
  <c r="J119" i="58"/>
  <c r="J118" i="58"/>
  <c r="J117" i="58"/>
  <c r="J116" i="58"/>
  <c r="J115" i="58"/>
  <c r="J114" i="58"/>
  <c r="J113" i="58"/>
  <c r="J112" i="58"/>
  <c r="B112" i="58"/>
  <c r="B113" i="58" s="1"/>
  <c r="B114" i="58" s="1"/>
  <c r="B115" i="58" s="1"/>
  <c r="B116" i="58" s="1"/>
  <c r="B117" i="58" s="1"/>
  <c r="B118" i="58" s="1"/>
  <c r="B119" i="58" s="1"/>
  <c r="B120" i="58" s="1"/>
  <c r="J111" i="58"/>
  <c r="V110" i="58"/>
  <c r="J110" i="58"/>
  <c r="W110" i="58" s="1"/>
  <c r="J109" i="58"/>
  <c r="J108" i="58"/>
  <c r="J107" i="58"/>
  <c r="J106" i="58"/>
  <c r="J105" i="58"/>
  <c r="J104" i="58"/>
  <c r="J103" i="58"/>
  <c r="J102" i="58"/>
  <c r="W101" i="58"/>
  <c r="J101" i="58"/>
  <c r="V101" i="58" s="1"/>
  <c r="W100" i="58"/>
  <c r="J100" i="58"/>
  <c r="V100" i="58" s="1"/>
  <c r="W99" i="58"/>
  <c r="V99" i="58"/>
  <c r="J99" i="58"/>
  <c r="J98" i="58"/>
  <c r="V98" i="58" s="1"/>
  <c r="V97" i="58"/>
  <c r="J97" i="58"/>
  <c r="W97" i="58" s="1"/>
  <c r="W96" i="58"/>
  <c r="J96" i="58"/>
  <c r="V96" i="58" s="1"/>
  <c r="W95" i="58"/>
  <c r="V95" i="58"/>
  <c r="J95" i="58"/>
  <c r="J94" i="58"/>
  <c r="V94" i="58" s="1"/>
  <c r="V93" i="58"/>
  <c r="J93" i="58"/>
  <c r="W93" i="58" s="1"/>
  <c r="W92" i="58"/>
  <c r="J92" i="58"/>
  <c r="V92" i="58" s="1"/>
  <c r="W91" i="58"/>
  <c r="V91" i="58"/>
  <c r="J91" i="58"/>
  <c r="J90" i="58"/>
  <c r="V90" i="58" s="1"/>
  <c r="V89" i="58"/>
  <c r="J89" i="58"/>
  <c r="W89" i="58" s="1"/>
  <c r="W88" i="58"/>
  <c r="J88" i="58"/>
  <c r="V88" i="58" s="1"/>
  <c r="W87" i="58"/>
  <c r="V87" i="58"/>
  <c r="J87" i="58"/>
  <c r="J86" i="58"/>
  <c r="V86" i="58" s="1"/>
  <c r="V85" i="58"/>
  <c r="J85" i="58"/>
  <c r="W85" i="58" s="1"/>
  <c r="W84" i="58"/>
  <c r="J84" i="58"/>
  <c r="V84" i="58" s="1"/>
  <c r="W83" i="58"/>
  <c r="V83" i="58"/>
  <c r="J83" i="58"/>
  <c r="J82" i="58"/>
  <c r="V82" i="58" s="1"/>
  <c r="V81" i="58"/>
  <c r="J81" i="58"/>
  <c r="W81" i="58" s="1"/>
  <c r="W80" i="58"/>
  <c r="J80" i="58"/>
  <c r="V80" i="58" s="1"/>
  <c r="W79" i="58"/>
  <c r="V79" i="58"/>
  <c r="J79" i="58"/>
  <c r="J78" i="58"/>
  <c r="W78" i="58" s="1"/>
  <c r="V77" i="58"/>
  <c r="J77" i="58"/>
  <c r="W77" i="58" s="1"/>
  <c r="W76" i="58"/>
  <c r="J76" i="58"/>
  <c r="V76" i="58" s="1"/>
  <c r="J75" i="58"/>
  <c r="W75" i="58" s="1"/>
  <c r="J74" i="58"/>
  <c r="V74" i="58" s="1"/>
  <c r="J73" i="58"/>
  <c r="V73" i="58" s="1"/>
  <c r="J72" i="58"/>
  <c r="V72" i="58" s="1"/>
  <c r="J71" i="58"/>
  <c r="W71" i="58" s="1"/>
  <c r="J70" i="58"/>
  <c r="V70" i="58" s="1"/>
  <c r="J69" i="58"/>
  <c r="W69" i="58" s="1"/>
  <c r="J68" i="58"/>
  <c r="W68" i="58" s="1"/>
  <c r="B68" i="58"/>
  <c r="B69" i="58" s="1"/>
  <c r="B70" i="58" s="1"/>
  <c r="B71" i="58" s="1"/>
  <c r="B72" i="58" s="1"/>
  <c r="B73" i="58" s="1"/>
  <c r="B74" i="58" s="1"/>
  <c r="B75" i="58" s="1"/>
  <c r="B76" i="58" s="1"/>
  <c r="B77" i="58" s="1"/>
  <c r="B78" i="58" s="1"/>
  <c r="B79" i="58" s="1"/>
  <c r="B80" i="58" s="1"/>
  <c r="B81" i="58" s="1"/>
  <c r="B82" i="58" s="1"/>
  <c r="B83" i="58" s="1"/>
  <c r="B84" i="58" s="1"/>
  <c r="B85" i="58" s="1"/>
  <c r="B86" i="58" s="1"/>
  <c r="B87" i="58" s="1"/>
  <c r="B88" i="58" s="1"/>
  <c r="B89" i="58" s="1"/>
  <c r="B90" i="58" s="1"/>
  <c r="B91" i="58" s="1"/>
  <c r="B92" i="58" s="1"/>
  <c r="B93" i="58" s="1"/>
  <c r="B94" i="58" s="1"/>
  <c r="B95" i="58" s="1"/>
  <c r="B96" i="58" s="1"/>
  <c r="B97" i="58" s="1"/>
  <c r="B98" i="58" s="1"/>
  <c r="B99" i="58" s="1"/>
  <c r="B100" i="58" s="1"/>
  <c r="J67" i="58"/>
  <c r="V67" i="58" s="1"/>
  <c r="J58" i="58"/>
  <c r="W58" i="58" s="1"/>
  <c r="J57" i="58"/>
  <c r="V57" i="58" s="1"/>
  <c r="J56" i="58"/>
  <c r="W56" i="58" s="1"/>
  <c r="J55" i="58"/>
  <c r="J54" i="58"/>
  <c r="W54" i="58" s="1"/>
  <c r="J53" i="58"/>
  <c r="V53" i="58" s="1"/>
  <c r="J52" i="58"/>
  <c r="V52" i="58" s="1"/>
  <c r="J51" i="58"/>
  <c r="J50" i="58"/>
  <c r="W50" i="58" s="1"/>
  <c r="J49" i="58"/>
  <c r="V49" i="58" s="1"/>
  <c r="J48" i="58"/>
  <c r="V48" i="58" s="1"/>
  <c r="J47" i="58"/>
  <c r="J46" i="58"/>
  <c r="W46" i="58" s="1"/>
  <c r="W45" i="58"/>
  <c r="J45" i="58"/>
  <c r="V45" i="58" s="1"/>
  <c r="J44" i="58"/>
  <c r="W44" i="58" s="1"/>
  <c r="J43" i="58"/>
  <c r="J42" i="58"/>
  <c r="W42" i="58" s="1"/>
  <c r="J41" i="58"/>
  <c r="V41" i="58" s="1"/>
  <c r="J40" i="58"/>
  <c r="W40" i="58" s="1"/>
  <c r="J39" i="58"/>
  <c r="J38" i="58"/>
  <c r="J37" i="58"/>
  <c r="W37" i="58" s="1"/>
  <c r="J36" i="58"/>
  <c r="V36" i="58" s="1"/>
  <c r="J35" i="58"/>
  <c r="V35" i="58" s="1"/>
  <c r="J34" i="58"/>
  <c r="W34" i="58" s="1"/>
  <c r="J33" i="58"/>
  <c r="W33" i="58" s="1"/>
  <c r="J32" i="58"/>
  <c r="J31" i="58"/>
  <c r="W31" i="58" s="1"/>
  <c r="J30" i="58"/>
  <c r="V30" i="58" s="1"/>
  <c r="J29" i="58"/>
  <c r="V29" i="58" s="1"/>
  <c r="J28" i="58"/>
  <c r="V28" i="58" s="1"/>
  <c r="J27" i="58"/>
  <c r="J26" i="58"/>
  <c r="J25" i="58"/>
  <c r="W25" i="58" s="1"/>
  <c r="J24" i="58"/>
  <c r="V24" i="58" s="1"/>
  <c r="J23" i="58"/>
  <c r="W23" i="58" s="1"/>
  <c r="J22" i="58"/>
  <c r="J21" i="58"/>
  <c r="V21" i="58" s="1"/>
  <c r="J20" i="58"/>
  <c r="W20" i="58" s="1"/>
  <c r="J19" i="58"/>
  <c r="W19" i="58" s="1"/>
  <c r="J18" i="58"/>
  <c r="W18" i="58" s="1"/>
  <c r="J17" i="58"/>
  <c r="V17" i="58" s="1"/>
  <c r="J16" i="58"/>
  <c r="W16" i="58" s="1"/>
  <c r="J14" i="58"/>
  <c r="W14" i="58" s="1"/>
  <c r="J13" i="58"/>
  <c r="V13" i="58" s="1"/>
  <c r="J12" i="58"/>
  <c r="V12" i="58" s="1"/>
  <c r="J11" i="58"/>
  <c r="V11" i="58" s="1"/>
  <c r="J10" i="58"/>
  <c r="W10" i="58" s="1"/>
  <c r="J9" i="58"/>
  <c r="V9" i="58" s="1"/>
  <c r="N8" i="58"/>
  <c r="W7" i="58"/>
  <c r="J7" i="58"/>
  <c r="V7" i="58" s="1"/>
  <c r="N6" i="58"/>
  <c r="J6" i="58"/>
  <c r="W6" i="58" s="1"/>
  <c r="N4" i="58"/>
  <c r="W82" i="58" l="1"/>
  <c r="W86" i="58"/>
  <c r="W90" i="58"/>
  <c r="W94" i="58"/>
  <c r="W98" i="58"/>
  <c r="V78" i="58"/>
  <c r="W171" i="58"/>
  <c r="W49" i="58"/>
  <c r="W53" i="58"/>
  <c r="W57" i="58"/>
  <c r="W172" i="58"/>
  <c r="W174" i="58"/>
  <c r="V44" i="58"/>
  <c r="V56" i="58"/>
  <c r="V46" i="58"/>
  <c r="W48" i="58"/>
  <c r="V50" i="58"/>
  <c r="W52" i="58"/>
  <c r="V54" i="58"/>
  <c r="V58" i="58"/>
  <c r="V69" i="58"/>
  <c r="W73" i="58"/>
  <c r="W36" i="58"/>
  <c r="V34" i="58"/>
  <c r="W30" i="58"/>
  <c r="W28" i="58"/>
  <c r="V145" i="58"/>
  <c r="V143" i="58"/>
  <c r="V18" i="58"/>
  <c r="V138" i="58"/>
  <c r="V16" i="58"/>
  <c r="V14" i="58"/>
  <c r="V137" i="58"/>
  <c r="W136" i="58"/>
  <c r="V135" i="58"/>
  <c r="V6" i="58"/>
  <c r="V148" i="58"/>
  <c r="V150" i="58"/>
  <c r="V152" i="58"/>
  <c r="W155" i="58"/>
  <c r="V157" i="58"/>
  <c r="W169" i="58"/>
  <c r="V139" i="58"/>
  <c r="V142" i="58"/>
  <c r="V144" i="58"/>
  <c r="W146" i="58"/>
  <c r="V164" i="58"/>
  <c r="V149" i="58"/>
  <c r="V151" i="58"/>
  <c r="V156" i="58"/>
  <c r="W162" i="58"/>
  <c r="W168" i="58"/>
  <c r="W170" i="58"/>
  <c r="W74" i="58"/>
  <c r="W70" i="58"/>
  <c r="V68" i="58"/>
  <c r="N10" i="58"/>
  <c r="W67" i="58"/>
  <c r="V71" i="58"/>
  <c r="W72" i="58"/>
  <c r="V75" i="58"/>
  <c r="V10" i="58"/>
  <c r="W24" i="58"/>
  <c r="V33" i="58"/>
  <c r="W41" i="58"/>
  <c r="W15" i="58"/>
  <c r="V23" i="58"/>
  <c r="W29" i="58"/>
  <c r="V31" i="58"/>
  <c r="W35" i="58"/>
  <c r="V37" i="58"/>
  <c r="V40" i="58"/>
  <c r="W12" i="58"/>
  <c r="W11" i="58"/>
  <c r="V25" i="58"/>
  <c r="V42" i="58"/>
  <c r="W51" i="58"/>
  <c r="V51" i="58"/>
  <c r="W55" i="58"/>
  <c r="V55" i="58"/>
  <c r="J59" i="58"/>
  <c r="W111" i="58"/>
  <c r="V111" i="58"/>
  <c r="W9" i="58"/>
  <c r="V20" i="58"/>
  <c r="W22" i="58"/>
  <c r="V22" i="58"/>
  <c r="W26" i="58"/>
  <c r="V26" i="58"/>
  <c r="W32" i="58"/>
  <c r="V32" i="58"/>
  <c r="J121" i="58"/>
  <c r="W115" i="58"/>
  <c r="V115" i="58"/>
  <c r="W119" i="58"/>
  <c r="V119" i="58"/>
  <c r="W131" i="58"/>
  <c r="V131" i="58"/>
  <c r="V147" i="58"/>
  <c r="W153" i="58"/>
  <c r="V153" i="58"/>
  <c r="W159" i="58"/>
  <c r="V159" i="58"/>
  <c r="V163" i="58"/>
  <c r="W165" i="58"/>
  <c r="V165" i="58"/>
  <c r="W114" i="58"/>
  <c r="V114" i="58"/>
  <c r="W130" i="58"/>
  <c r="V130" i="58"/>
  <c r="W27" i="58"/>
  <c r="V27" i="58"/>
  <c r="W38" i="58"/>
  <c r="V38" i="58"/>
  <c r="W112" i="58"/>
  <c r="V112" i="58"/>
  <c r="W116" i="58"/>
  <c r="V116" i="58"/>
  <c r="W120" i="58"/>
  <c r="V120" i="58"/>
  <c r="J133" i="58"/>
  <c r="J132" i="58"/>
  <c r="W140" i="58"/>
  <c r="V140" i="58"/>
  <c r="W154" i="58"/>
  <c r="V154" i="58"/>
  <c r="W160" i="58"/>
  <c r="V160" i="58"/>
  <c r="W166" i="58"/>
  <c r="V166" i="58"/>
  <c r="W39" i="58"/>
  <c r="V39" i="58"/>
  <c r="W43" i="58"/>
  <c r="V43" i="58"/>
  <c r="W47" i="58"/>
  <c r="V47" i="58"/>
  <c r="W118" i="58"/>
  <c r="V118" i="58"/>
  <c r="W129" i="58"/>
  <c r="W158" i="58"/>
  <c r="V158" i="58"/>
  <c r="W8" i="58"/>
  <c r="W13" i="58"/>
  <c r="W17" i="58"/>
  <c r="V19" i="58"/>
  <c r="W21" i="58"/>
  <c r="W113" i="58"/>
  <c r="V113" i="58"/>
  <c r="W117" i="58"/>
  <c r="V117" i="58"/>
  <c r="V134" i="58"/>
  <c r="W141" i="58"/>
  <c r="V141" i="58"/>
  <c r="W161" i="58"/>
  <c r="V161" i="58"/>
  <c r="W167" i="58"/>
  <c r="V167" i="58"/>
  <c r="H168" i="57"/>
  <c r="W121" i="58" l="1"/>
  <c r="P6" i="58" s="1"/>
  <c r="V121" i="58"/>
  <c r="O6" i="58" s="1"/>
  <c r="R6" i="58" s="1"/>
  <c r="V59" i="58"/>
  <c r="O4" i="58" s="1"/>
  <c r="R4" i="58" s="1"/>
  <c r="W59" i="58"/>
  <c r="P4" i="58" s="1"/>
  <c r="V133" i="58"/>
  <c r="W133" i="58"/>
  <c r="J175" i="58"/>
  <c r="W132" i="58"/>
  <c r="V132" i="58"/>
  <c r="H167" i="57"/>
  <c r="H165" i="57"/>
  <c r="H39" i="57"/>
  <c r="Q6" i="58" l="1"/>
  <c r="Q4" i="58"/>
  <c r="V175" i="58"/>
  <c r="O8" i="58" s="1"/>
  <c r="R8" i="58" s="1"/>
  <c r="W175" i="58"/>
  <c r="P8" i="58" s="1"/>
  <c r="P10" i="58" s="1"/>
  <c r="H163" i="57"/>
  <c r="H162" i="57"/>
  <c r="H161" i="57"/>
  <c r="H158" i="57"/>
  <c r="H156" i="57"/>
  <c r="H155" i="57"/>
  <c r="H154" i="57"/>
  <c r="H36" i="57"/>
  <c r="H34" i="57"/>
  <c r="Q10" i="58" l="1"/>
  <c r="O10" i="58"/>
  <c r="R10" i="58" s="1"/>
  <c r="P12" i="58" s="1"/>
  <c r="H153" i="57"/>
  <c r="H147" i="57"/>
  <c r="H146" i="57"/>
  <c r="H30" i="57"/>
  <c r="H26" i="57"/>
  <c r="H22" i="57"/>
  <c r="H20" i="57" l="1"/>
  <c r="H19" i="57"/>
  <c r="H13" i="57"/>
  <c r="H10" i="57" l="1"/>
  <c r="H9" i="57"/>
  <c r="H141" i="57"/>
  <c r="H140" i="57"/>
  <c r="J140" i="57" s="1"/>
  <c r="V140" i="57" s="1"/>
  <c r="H137" i="57"/>
  <c r="H134" i="57"/>
  <c r="H133" i="57"/>
  <c r="H132" i="57"/>
  <c r="J132" i="57" s="1"/>
  <c r="W132" i="57" s="1"/>
  <c r="H130" i="57"/>
  <c r="H129" i="57"/>
  <c r="J174" i="57"/>
  <c r="W174" i="57" s="1"/>
  <c r="J173" i="57"/>
  <c r="V173" i="57" s="1"/>
  <c r="J172" i="57"/>
  <c r="W172" i="57" s="1"/>
  <c r="J171" i="57"/>
  <c r="W171" i="57" s="1"/>
  <c r="J170" i="57"/>
  <c r="W170" i="57" s="1"/>
  <c r="V169" i="57"/>
  <c r="J169" i="57"/>
  <c r="W169" i="57" s="1"/>
  <c r="J168" i="57"/>
  <c r="W168" i="57" s="1"/>
  <c r="J167" i="57"/>
  <c r="W167" i="57" s="1"/>
  <c r="W166" i="57"/>
  <c r="J166" i="57"/>
  <c r="V166" i="57" s="1"/>
  <c r="V165" i="57"/>
  <c r="J165" i="57"/>
  <c r="W165" i="57" s="1"/>
  <c r="J164" i="57"/>
  <c r="W164" i="57" s="1"/>
  <c r="J163" i="57"/>
  <c r="V163" i="57" s="1"/>
  <c r="J162" i="57"/>
  <c r="J161" i="57"/>
  <c r="J160" i="57"/>
  <c r="W160" i="57" s="1"/>
  <c r="J159" i="57"/>
  <c r="W159" i="57" s="1"/>
  <c r="J158" i="57"/>
  <c r="V158" i="57" s="1"/>
  <c r="J157" i="57"/>
  <c r="V157" i="57" s="1"/>
  <c r="J156" i="57"/>
  <c r="J155" i="57"/>
  <c r="J154" i="57"/>
  <c r="J153" i="57"/>
  <c r="J152" i="57"/>
  <c r="J151" i="57"/>
  <c r="W151" i="57" s="1"/>
  <c r="J150" i="57"/>
  <c r="W150" i="57" s="1"/>
  <c r="W149" i="57"/>
  <c r="J149" i="57"/>
  <c r="V149" i="57" s="1"/>
  <c r="J148" i="57"/>
  <c r="V148" i="57" s="1"/>
  <c r="J147" i="57"/>
  <c r="V147" i="57" s="1"/>
  <c r="J146" i="57"/>
  <c r="J145" i="57"/>
  <c r="J144" i="57"/>
  <c r="J143" i="57"/>
  <c r="W143" i="57" s="1"/>
  <c r="J142" i="57"/>
  <c r="W142" i="57" s="1"/>
  <c r="J141" i="57"/>
  <c r="W141" i="57" s="1"/>
  <c r="J139" i="57"/>
  <c r="J138" i="57"/>
  <c r="J136" i="57"/>
  <c r="W136" i="57" s="1"/>
  <c r="J135" i="57"/>
  <c r="W135" i="57" s="1"/>
  <c r="J134" i="57"/>
  <c r="W134" i="57" s="1"/>
  <c r="J133" i="57"/>
  <c r="W133" i="57" s="1"/>
  <c r="J131" i="57"/>
  <c r="W131" i="57" s="1"/>
  <c r="J130" i="57"/>
  <c r="W130" i="57" s="1"/>
  <c r="B130" i="57"/>
  <c r="B131" i="57" s="1"/>
  <c r="B132" i="57" s="1"/>
  <c r="B133" i="57" s="1"/>
  <c r="B134" i="57" s="1"/>
  <c r="B135" i="57" s="1"/>
  <c r="B136" i="57" s="1"/>
  <c r="B137" i="57" s="1"/>
  <c r="B138" i="57" s="1"/>
  <c r="B139" i="57" s="1"/>
  <c r="B140" i="57" s="1"/>
  <c r="B141" i="57" s="1"/>
  <c r="B142" i="57" s="1"/>
  <c r="B143" i="57" s="1"/>
  <c r="B144" i="57" s="1"/>
  <c r="B145" i="57" s="1"/>
  <c r="B146" i="57" s="1"/>
  <c r="B147" i="57" s="1"/>
  <c r="B148" i="57" s="1"/>
  <c r="B149" i="57" s="1"/>
  <c r="B150" i="57" s="1"/>
  <c r="B151" i="57" s="1"/>
  <c r="B152" i="57" s="1"/>
  <c r="B153" i="57" s="1"/>
  <c r="B154" i="57" s="1"/>
  <c r="B155" i="57" s="1"/>
  <c r="B156" i="57" s="1"/>
  <c r="B157" i="57" s="1"/>
  <c r="B158" i="57" s="1"/>
  <c r="B159" i="57" s="1"/>
  <c r="B160" i="57" s="1"/>
  <c r="B161" i="57" s="1"/>
  <c r="B162" i="57" s="1"/>
  <c r="B163" i="57" s="1"/>
  <c r="B164" i="57" s="1"/>
  <c r="B165" i="57" s="1"/>
  <c r="B166" i="57" s="1"/>
  <c r="B167" i="57" s="1"/>
  <c r="B168" i="57" s="1"/>
  <c r="B169" i="57" s="1"/>
  <c r="B170" i="57" s="1"/>
  <c r="B171" i="57" s="1"/>
  <c r="B172" i="57" s="1"/>
  <c r="B173" i="57" s="1"/>
  <c r="B174" i="57" s="1"/>
  <c r="J129" i="57"/>
  <c r="J120" i="57"/>
  <c r="W120" i="57" s="1"/>
  <c r="W119" i="57"/>
  <c r="J119" i="57"/>
  <c r="V119" i="57" s="1"/>
  <c r="W118" i="57"/>
  <c r="V118" i="57"/>
  <c r="J118" i="57"/>
  <c r="J117" i="57"/>
  <c r="W117" i="57" s="1"/>
  <c r="J116" i="57"/>
  <c r="W116" i="57" s="1"/>
  <c r="W115" i="57"/>
  <c r="J115" i="57"/>
  <c r="V115" i="57" s="1"/>
  <c r="W114" i="57"/>
  <c r="V114" i="57"/>
  <c r="J114" i="57"/>
  <c r="J113" i="57"/>
  <c r="W113" i="57" s="1"/>
  <c r="J112" i="57"/>
  <c r="W112" i="57" s="1"/>
  <c r="B112" i="57"/>
  <c r="B113" i="57" s="1"/>
  <c r="B114" i="57" s="1"/>
  <c r="B115" i="57" s="1"/>
  <c r="B116" i="57" s="1"/>
  <c r="B117" i="57" s="1"/>
  <c r="B118" i="57" s="1"/>
  <c r="B119" i="57" s="1"/>
  <c r="B120" i="57" s="1"/>
  <c r="J111" i="57"/>
  <c r="W111" i="57" s="1"/>
  <c r="V110" i="57"/>
  <c r="J110" i="57"/>
  <c r="W110" i="57" s="1"/>
  <c r="J109" i="57"/>
  <c r="J108" i="57"/>
  <c r="J107" i="57"/>
  <c r="J106" i="57"/>
  <c r="J105" i="57"/>
  <c r="J104" i="57"/>
  <c r="J103" i="57"/>
  <c r="J102" i="57"/>
  <c r="J101" i="57"/>
  <c r="W101" i="57" s="1"/>
  <c r="J100" i="57"/>
  <c r="V100" i="57" s="1"/>
  <c r="W99" i="57"/>
  <c r="J99" i="57"/>
  <c r="V99" i="57" s="1"/>
  <c r="J98" i="57"/>
  <c r="V98" i="57" s="1"/>
  <c r="J97" i="57"/>
  <c r="V97" i="57" s="1"/>
  <c r="J96" i="57"/>
  <c r="V96" i="57" s="1"/>
  <c r="J95" i="57"/>
  <c r="V95" i="57" s="1"/>
  <c r="J94" i="57"/>
  <c r="V94" i="57" s="1"/>
  <c r="J93" i="57"/>
  <c r="V93" i="57" s="1"/>
  <c r="J92" i="57"/>
  <c r="V92" i="57" s="1"/>
  <c r="J91" i="57"/>
  <c r="V91" i="57" s="1"/>
  <c r="J90" i="57"/>
  <c r="V90" i="57" s="1"/>
  <c r="J89" i="57"/>
  <c r="V89" i="57" s="1"/>
  <c r="J88" i="57"/>
  <c r="V88" i="57" s="1"/>
  <c r="J87" i="57"/>
  <c r="V87" i="57" s="1"/>
  <c r="J86" i="57"/>
  <c r="V86" i="57" s="1"/>
  <c r="J85" i="57"/>
  <c r="V85" i="57" s="1"/>
  <c r="J84" i="57"/>
  <c r="V84" i="57" s="1"/>
  <c r="J83" i="57"/>
  <c r="V83" i="57" s="1"/>
  <c r="J82" i="57"/>
  <c r="V82" i="57" s="1"/>
  <c r="J81" i="57"/>
  <c r="V81" i="57" s="1"/>
  <c r="J80" i="57"/>
  <c r="V80" i="57" s="1"/>
  <c r="J79" i="57"/>
  <c r="V79" i="57" s="1"/>
  <c r="J78" i="57"/>
  <c r="V78" i="57" s="1"/>
  <c r="J77" i="57"/>
  <c r="V77" i="57" s="1"/>
  <c r="J76" i="57"/>
  <c r="V76" i="57" s="1"/>
  <c r="J75" i="57"/>
  <c r="V75" i="57" s="1"/>
  <c r="J74" i="57"/>
  <c r="V74" i="57" s="1"/>
  <c r="J73" i="57"/>
  <c r="J72" i="57"/>
  <c r="W72" i="57" s="1"/>
  <c r="J71" i="57"/>
  <c r="J70" i="57"/>
  <c r="W70" i="57" s="1"/>
  <c r="J69" i="57"/>
  <c r="V69" i="57" s="1"/>
  <c r="J68" i="57"/>
  <c r="W68" i="57" s="1"/>
  <c r="B68" i="57"/>
  <c r="B69" i="57" s="1"/>
  <c r="B70" i="57" s="1"/>
  <c r="B71" i="57" s="1"/>
  <c r="B72" i="57" s="1"/>
  <c r="B73" i="57" s="1"/>
  <c r="B74" i="57" s="1"/>
  <c r="B75" i="57" s="1"/>
  <c r="B76" i="57" s="1"/>
  <c r="B77" i="57" s="1"/>
  <c r="B78" i="57" s="1"/>
  <c r="B79" i="57" s="1"/>
  <c r="B80" i="57" s="1"/>
  <c r="B81" i="57" s="1"/>
  <c r="B82" i="57" s="1"/>
  <c r="B83" i="57" s="1"/>
  <c r="B84" i="57" s="1"/>
  <c r="B85" i="57" s="1"/>
  <c r="B86" i="57" s="1"/>
  <c r="B87" i="57" s="1"/>
  <c r="B88" i="57" s="1"/>
  <c r="B89" i="57" s="1"/>
  <c r="B90" i="57" s="1"/>
  <c r="B91" i="57" s="1"/>
  <c r="B92" i="57" s="1"/>
  <c r="B93" i="57" s="1"/>
  <c r="B94" i="57" s="1"/>
  <c r="B95" i="57" s="1"/>
  <c r="B96" i="57" s="1"/>
  <c r="B97" i="57" s="1"/>
  <c r="B98" i="57" s="1"/>
  <c r="B99" i="57" s="1"/>
  <c r="B100" i="57" s="1"/>
  <c r="J67" i="57"/>
  <c r="W67" i="57" s="1"/>
  <c r="J58" i="57"/>
  <c r="W58" i="57" s="1"/>
  <c r="J57" i="57"/>
  <c r="V57" i="57" s="1"/>
  <c r="J56" i="57"/>
  <c r="W56" i="57" s="1"/>
  <c r="J55" i="57"/>
  <c r="W55" i="57" s="1"/>
  <c r="J54" i="57"/>
  <c r="W54" i="57" s="1"/>
  <c r="J53" i="57"/>
  <c r="V53" i="57" s="1"/>
  <c r="W52" i="57"/>
  <c r="J52" i="57"/>
  <c r="V52" i="57" s="1"/>
  <c r="J51" i="57"/>
  <c r="V51" i="57" s="1"/>
  <c r="J50" i="57"/>
  <c r="W50" i="57" s="1"/>
  <c r="J49" i="57"/>
  <c r="V49" i="57" s="1"/>
  <c r="J48" i="57"/>
  <c r="W48" i="57" s="1"/>
  <c r="J47" i="57"/>
  <c r="W47" i="57" s="1"/>
  <c r="J46" i="57"/>
  <c r="W46" i="57" s="1"/>
  <c r="J45" i="57"/>
  <c r="V45" i="57" s="1"/>
  <c r="J44" i="57"/>
  <c r="V44" i="57" s="1"/>
  <c r="J43" i="57"/>
  <c r="W43" i="57" s="1"/>
  <c r="J42" i="57"/>
  <c r="W42" i="57" s="1"/>
  <c r="J41" i="57"/>
  <c r="V41" i="57" s="1"/>
  <c r="J40" i="57"/>
  <c r="W40" i="57" s="1"/>
  <c r="J39" i="57"/>
  <c r="W39" i="57" s="1"/>
  <c r="J38" i="57"/>
  <c r="W38" i="57" s="1"/>
  <c r="J37" i="57"/>
  <c r="V37" i="57" s="1"/>
  <c r="J36" i="57"/>
  <c r="W36" i="57" s="1"/>
  <c r="W35" i="57"/>
  <c r="J35" i="57"/>
  <c r="V35" i="57" s="1"/>
  <c r="J34" i="57"/>
  <c r="W34" i="57" s="1"/>
  <c r="J33" i="57"/>
  <c r="W33" i="57" s="1"/>
  <c r="J32" i="57"/>
  <c r="V32" i="57" s="1"/>
  <c r="J31" i="57"/>
  <c r="W31" i="57" s="1"/>
  <c r="J30" i="57"/>
  <c r="V30" i="57" s="1"/>
  <c r="J29" i="57"/>
  <c r="W29" i="57" s="1"/>
  <c r="J28" i="57"/>
  <c r="W28" i="57" s="1"/>
  <c r="J27" i="57"/>
  <c r="W27" i="57" s="1"/>
  <c r="J26" i="57"/>
  <c r="V26" i="57" s="1"/>
  <c r="J25" i="57"/>
  <c r="W25" i="57" s="1"/>
  <c r="J24" i="57"/>
  <c r="W24" i="57" s="1"/>
  <c r="J23" i="57"/>
  <c r="V23" i="57" s="1"/>
  <c r="J22" i="57"/>
  <c r="W22" i="57" s="1"/>
  <c r="J21" i="57"/>
  <c r="W21" i="57" s="1"/>
  <c r="J20" i="57"/>
  <c r="W20" i="57" s="1"/>
  <c r="J19" i="57"/>
  <c r="V19" i="57" s="1"/>
  <c r="J18" i="57"/>
  <c r="W18" i="57" s="1"/>
  <c r="J17" i="57"/>
  <c r="W17" i="57" s="1"/>
  <c r="J16" i="57"/>
  <c r="J15" i="57"/>
  <c r="W15" i="57" s="1"/>
  <c r="J14" i="57"/>
  <c r="W14" i="57" s="1"/>
  <c r="J13" i="57"/>
  <c r="V13" i="57" s="1"/>
  <c r="J12" i="57"/>
  <c r="W12" i="57" s="1"/>
  <c r="J11" i="57"/>
  <c r="W11" i="57" s="1"/>
  <c r="J10" i="57"/>
  <c r="W10" i="57" s="1"/>
  <c r="J9" i="57"/>
  <c r="W9" i="57" s="1"/>
  <c r="N8" i="57"/>
  <c r="J8" i="57"/>
  <c r="W8" i="57" s="1"/>
  <c r="J7" i="57"/>
  <c r="V7" i="57" s="1"/>
  <c r="N6" i="57"/>
  <c r="J6" i="57"/>
  <c r="N4" i="57"/>
  <c r="W79" i="57" l="1"/>
  <c r="W84" i="57"/>
  <c r="W87" i="57"/>
  <c r="W92" i="57"/>
  <c r="W95" i="57"/>
  <c r="W100" i="57"/>
  <c r="V113" i="57"/>
  <c r="V117" i="57"/>
  <c r="V172" i="57"/>
  <c r="V40" i="57"/>
  <c r="V111" i="57"/>
  <c r="V112" i="57"/>
  <c r="V116" i="57"/>
  <c r="V120" i="57"/>
  <c r="W80" i="57"/>
  <c r="W83" i="57"/>
  <c r="W88" i="57"/>
  <c r="W91" i="57"/>
  <c r="W96" i="57"/>
  <c r="V159" i="57"/>
  <c r="V43" i="57"/>
  <c r="W51" i="57"/>
  <c r="W44" i="57"/>
  <c r="W173" i="57"/>
  <c r="V171" i="57"/>
  <c r="V170" i="57"/>
  <c r="V174" i="57"/>
  <c r="W49" i="57"/>
  <c r="W57" i="57"/>
  <c r="V48" i="57"/>
  <c r="V56" i="57"/>
  <c r="V46" i="57"/>
  <c r="V54" i="57"/>
  <c r="V168" i="57"/>
  <c r="V167" i="57"/>
  <c r="W41" i="57"/>
  <c r="V164" i="57"/>
  <c r="V33" i="57"/>
  <c r="V150" i="57"/>
  <c r="W148" i="57"/>
  <c r="W30" i="57"/>
  <c r="V29" i="57"/>
  <c r="W23" i="57"/>
  <c r="W19" i="57"/>
  <c r="W13" i="57"/>
  <c r="V12" i="57"/>
  <c r="V143" i="57"/>
  <c r="V132" i="57"/>
  <c r="V131" i="57"/>
  <c r="J59" i="57"/>
  <c r="V130" i="57"/>
  <c r="V133" i="57"/>
  <c r="V135" i="57"/>
  <c r="W157" i="57"/>
  <c r="V160" i="57"/>
  <c r="V67" i="57"/>
  <c r="V68" i="57"/>
  <c r="W69" i="57"/>
  <c r="W76" i="57"/>
  <c r="N10" i="57"/>
  <c r="W75" i="57"/>
  <c r="V70" i="57"/>
  <c r="V15" i="57"/>
  <c r="V25" i="57"/>
  <c r="V27" i="57"/>
  <c r="W7" i="57"/>
  <c r="V11" i="57"/>
  <c r="V6" i="57"/>
  <c r="V14" i="57"/>
  <c r="V20" i="57"/>
  <c r="V24" i="57"/>
  <c r="V36" i="57"/>
  <c r="V38" i="57"/>
  <c r="W6" i="57"/>
  <c r="V10" i="57"/>
  <c r="V16" i="57"/>
  <c r="W16" i="57"/>
  <c r="V73" i="57"/>
  <c r="W73" i="57"/>
  <c r="W71" i="57"/>
  <c r="V71" i="57"/>
  <c r="W144" i="57"/>
  <c r="V144" i="57"/>
  <c r="V129" i="57"/>
  <c r="J175" i="57"/>
  <c r="W137" i="57"/>
  <c r="V137" i="57"/>
  <c r="W145" i="57"/>
  <c r="V145" i="57"/>
  <c r="W156" i="57"/>
  <c r="V156" i="57"/>
  <c r="V9" i="57"/>
  <c r="V18" i="57"/>
  <c r="W26" i="57"/>
  <c r="V28" i="57"/>
  <c r="W32" i="57"/>
  <c r="V34" i="57"/>
  <c r="W74" i="57"/>
  <c r="W86" i="57"/>
  <c r="W94" i="57"/>
  <c r="W98" i="57"/>
  <c r="V101" i="57"/>
  <c r="W147" i="57"/>
  <c r="W153" i="57"/>
  <c r="V153" i="57"/>
  <c r="V8" i="57"/>
  <c r="V17" i="57"/>
  <c r="V21" i="57"/>
  <c r="V31" i="57"/>
  <c r="W37" i="57"/>
  <c r="V39" i="57"/>
  <c r="V42" i="57"/>
  <c r="W45" i="57"/>
  <c r="V47" i="57"/>
  <c r="V50" i="57"/>
  <c r="W53" i="57"/>
  <c r="V55" i="57"/>
  <c r="V58" i="57"/>
  <c r="V72" i="57"/>
  <c r="W77" i="57"/>
  <c r="W81" i="57"/>
  <c r="W85" i="57"/>
  <c r="W89" i="57"/>
  <c r="W93" i="57"/>
  <c r="W97" i="57"/>
  <c r="V134" i="57"/>
  <c r="V136" i="57"/>
  <c r="W138" i="57"/>
  <c r="V138" i="57"/>
  <c r="V141" i="57"/>
  <c r="V142" i="57"/>
  <c r="W146" i="57"/>
  <c r="V146" i="57"/>
  <c r="V151" i="57"/>
  <c r="W154" i="57"/>
  <c r="V154" i="57"/>
  <c r="W158" i="57"/>
  <c r="W161" i="57"/>
  <c r="V161" i="57"/>
  <c r="W163" i="57"/>
  <c r="W139" i="57"/>
  <c r="V139" i="57"/>
  <c r="W152" i="57"/>
  <c r="V152" i="57"/>
  <c r="V22" i="57"/>
  <c r="W78" i="57"/>
  <c r="W82" i="57"/>
  <c r="W90" i="57"/>
  <c r="W129" i="57"/>
  <c r="J121" i="57"/>
  <c r="W140" i="57"/>
  <c r="W155" i="57"/>
  <c r="V155" i="57"/>
  <c r="W162" i="57"/>
  <c r="V162" i="57"/>
  <c r="H163" i="56"/>
  <c r="H162" i="56"/>
  <c r="H161" i="56"/>
  <c r="H160" i="56"/>
  <c r="H158" i="56"/>
  <c r="H156" i="56"/>
  <c r="H36" i="56"/>
  <c r="H31" i="56"/>
  <c r="H30" i="56"/>
  <c r="V59" i="57" l="1"/>
  <c r="O4" i="57" s="1"/>
  <c r="V121" i="57"/>
  <c r="O6" i="57" s="1"/>
  <c r="R6" i="57" s="1"/>
  <c r="W121" i="57"/>
  <c r="P6" i="57" s="1"/>
  <c r="W59" i="57"/>
  <c r="P4" i="57" s="1"/>
  <c r="R4" i="57"/>
  <c r="V175" i="57"/>
  <c r="O8" i="57" s="1"/>
  <c r="R8" i="57" s="1"/>
  <c r="W175" i="57"/>
  <c r="P8" i="57" s="1"/>
  <c r="H152" i="56"/>
  <c r="H151" i="56"/>
  <c r="H149" i="56"/>
  <c r="H24" i="56"/>
  <c r="Q6" i="57" l="1"/>
  <c r="Q4" i="57"/>
  <c r="Q10" i="57" s="1"/>
  <c r="P10" i="57"/>
  <c r="O10" i="57"/>
  <c r="R10" i="57" s="1"/>
  <c r="P12" i="57" s="1"/>
  <c r="H147" i="56"/>
  <c r="H144" i="56"/>
  <c r="H73" i="56"/>
  <c r="H142" i="56" l="1"/>
  <c r="H141" i="56"/>
  <c r="H140" i="56"/>
  <c r="H133" i="56"/>
  <c r="H71" i="56"/>
  <c r="H16" i="56"/>
  <c r="H137" i="56" l="1"/>
  <c r="H134" i="56"/>
  <c r="H69" i="56"/>
  <c r="H130" i="56"/>
  <c r="J130" i="56" s="1"/>
  <c r="V130" i="56" s="1"/>
  <c r="H129" i="56"/>
  <c r="H14" i="56"/>
  <c r="H13" i="56"/>
  <c r="J174" i="56"/>
  <c r="V174" i="56" s="1"/>
  <c r="J173" i="56"/>
  <c r="V173" i="56" s="1"/>
  <c r="J172" i="56"/>
  <c r="W172" i="56" s="1"/>
  <c r="J171" i="56"/>
  <c r="W171" i="56" s="1"/>
  <c r="J170" i="56"/>
  <c r="J169" i="56"/>
  <c r="J168" i="56"/>
  <c r="J167" i="56"/>
  <c r="J166" i="56"/>
  <c r="W166" i="56" s="1"/>
  <c r="J165" i="56"/>
  <c r="V165" i="56" s="1"/>
  <c r="J164" i="56"/>
  <c r="V164" i="56" s="1"/>
  <c r="J163" i="56"/>
  <c r="V163" i="56" s="1"/>
  <c r="J162" i="56"/>
  <c r="J161" i="56"/>
  <c r="J160" i="56"/>
  <c r="J159" i="56"/>
  <c r="W159" i="56" s="1"/>
  <c r="J158" i="56"/>
  <c r="V158" i="56" s="1"/>
  <c r="J157" i="56"/>
  <c r="V157" i="56" s="1"/>
  <c r="J156" i="56"/>
  <c r="W156" i="56" s="1"/>
  <c r="J155" i="56"/>
  <c r="W155" i="56" s="1"/>
  <c r="J154" i="56"/>
  <c r="J153" i="56"/>
  <c r="J152" i="56"/>
  <c r="W152" i="56" s="1"/>
  <c r="J151" i="56"/>
  <c r="V151" i="56" s="1"/>
  <c r="J150" i="56"/>
  <c r="J149" i="56"/>
  <c r="J148" i="56"/>
  <c r="W148" i="56" s="1"/>
  <c r="J147" i="56"/>
  <c r="W147" i="56" s="1"/>
  <c r="V146" i="56"/>
  <c r="J146" i="56"/>
  <c r="W146" i="56" s="1"/>
  <c r="J145" i="56"/>
  <c r="W145" i="56" s="1"/>
  <c r="J144" i="56"/>
  <c r="V144" i="56" s="1"/>
  <c r="J143" i="56"/>
  <c r="V143" i="56" s="1"/>
  <c r="J142" i="56"/>
  <c r="V142" i="56" s="1"/>
  <c r="J141" i="56"/>
  <c r="W141" i="56" s="1"/>
  <c r="J140" i="56"/>
  <c r="J139" i="56"/>
  <c r="J138" i="56"/>
  <c r="J137" i="56"/>
  <c r="J136" i="56"/>
  <c r="J135" i="56"/>
  <c r="J134" i="56"/>
  <c r="J133" i="56"/>
  <c r="W132" i="56"/>
  <c r="B130" i="56"/>
  <c r="B131" i="56" s="1"/>
  <c r="B132" i="56" s="1"/>
  <c r="B133" i="56" s="1"/>
  <c r="B134" i="56" s="1"/>
  <c r="B135" i="56" s="1"/>
  <c r="B136" i="56" s="1"/>
  <c r="B137" i="56" s="1"/>
  <c r="B138" i="56" s="1"/>
  <c r="B139" i="56" s="1"/>
  <c r="B140" i="56" s="1"/>
  <c r="B141" i="56" s="1"/>
  <c r="B142" i="56" s="1"/>
  <c r="B143" i="56" s="1"/>
  <c r="B144" i="56" s="1"/>
  <c r="B145" i="56" s="1"/>
  <c r="B146" i="56" s="1"/>
  <c r="B147" i="56" s="1"/>
  <c r="B148" i="56" s="1"/>
  <c r="B149" i="56" s="1"/>
  <c r="B150" i="56" s="1"/>
  <c r="B151" i="56" s="1"/>
  <c r="B152" i="56" s="1"/>
  <c r="B153" i="56" s="1"/>
  <c r="B154" i="56" s="1"/>
  <c r="B155" i="56" s="1"/>
  <c r="B156" i="56" s="1"/>
  <c r="B157" i="56" s="1"/>
  <c r="B158" i="56" s="1"/>
  <c r="B159" i="56" s="1"/>
  <c r="B160" i="56" s="1"/>
  <c r="B161" i="56" s="1"/>
  <c r="B162" i="56" s="1"/>
  <c r="B163" i="56" s="1"/>
  <c r="B164" i="56" s="1"/>
  <c r="B165" i="56" s="1"/>
  <c r="B166" i="56" s="1"/>
  <c r="B167" i="56" s="1"/>
  <c r="B168" i="56" s="1"/>
  <c r="B169" i="56" s="1"/>
  <c r="B170" i="56" s="1"/>
  <c r="B171" i="56" s="1"/>
  <c r="B172" i="56" s="1"/>
  <c r="B173" i="56" s="1"/>
  <c r="B174" i="56" s="1"/>
  <c r="J129" i="56"/>
  <c r="V129" i="56" s="1"/>
  <c r="V120" i="56"/>
  <c r="J120" i="56"/>
  <c r="W120" i="56" s="1"/>
  <c r="J119" i="56"/>
  <c r="W119" i="56" s="1"/>
  <c r="V118" i="56"/>
  <c r="J118" i="56"/>
  <c r="W118" i="56" s="1"/>
  <c r="J117" i="56"/>
  <c r="W117" i="56" s="1"/>
  <c r="J116" i="56"/>
  <c r="W116" i="56" s="1"/>
  <c r="J115" i="56"/>
  <c r="W115" i="56" s="1"/>
  <c r="J114" i="56"/>
  <c r="W114" i="56" s="1"/>
  <c r="J113" i="56"/>
  <c r="W113" i="56" s="1"/>
  <c r="J112" i="56"/>
  <c r="W112" i="56" s="1"/>
  <c r="B112" i="56"/>
  <c r="B113" i="56" s="1"/>
  <c r="B114" i="56" s="1"/>
  <c r="B115" i="56" s="1"/>
  <c r="B116" i="56" s="1"/>
  <c r="B117" i="56" s="1"/>
  <c r="B118" i="56" s="1"/>
  <c r="B119" i="56" s="1"/>
  <c r="B120" i="56" s="1"/>
  <c r="V111" i="56"/>
  <c r="J111" i="56"/>
  <c r="W111" i="56" s="1"/>
  <c r="J110" i="56"/>
  <c r="J109" i="56"/>
  <c r="J108" i="56"/>
  <c r="J107" i="56"/>
  <c r="J106" i="56"/>
  <c r="J105" i="56"/>
  <c r="J104" i="56"/>
  <c r="J103" i="56"/>
  <c r="J102" i="56"/>
  <c r="W101" i="56"/>
  <c r="V101" i="56"/>
  <c r="J101" i="56"/>
  <c r="J100" i="56"/>
  <c r="V100" i="56" s="1"/>
  <c r="W99" i="56"/>
  <c r="J99" i="56"/>
  <c r="V99" i="56" s="1"/>
  <c r="J98" i="56"/>
  <c r="V98" i="56" s="1"/>
  <c r="W97" i="56"/>
  <c r="J97" i="56"/>
  <c r="V97" i="56" s="1"/>
  <c r="J96" i="56"/>
  <c r="V96" i="56" s="1"/>
  <c r="W95" i="56"/>
  <c r="J95" i="56"/>
  <c r="V95" i="56" s="1"/>
  <c r="J94" i="56"/>
  <c r="V94" i="56" s="1"/>
  <c r="W93" i="56"/>
  <c r="J93" i="56"/>
  <c r="V93" i="56" s="1"/>
  <c r="J92" i="56"/>
  <c r="V92" i="56" s="1"/>
  <c r="W91" i="56"/>
  <c r="J91" i="56"/>
  <c r="V91" i="56" s="1"/>
  <c r="J90" i="56"/>
  <c r="V90" i="56" s="1"/>
  <c r="W89" i="56"/>
  <c r="J89" i="56"/>
  <c r="V89" i="56" s="1"/>
  <c r="J88" i="56"/>
  <c r="V88" i="56" s="1"/>
  <c r="W87" i="56"/>
  <c r="J87" i="56"/>
  <c r="V87" i="56" s="1"/>
  <c r="J86" i="56"/>
  <c r="V86" i="56" s="1"/>
  <c r="W85" i="56"/>
  <c r="J85" i="56"/>
  <c r="V85" i="56" s="1"/>
  <c r="J84" i="56"/>
  <c r="V84" i="56" s="1"/>
  <c r="W83" i="56"/>
  <c r="J83" i="56"/>
  <c r="V83" i="56" s="1"/>
  <c r="J82" i="56"/>
  <c r="V82" i="56" s="1"/>
  <c r="J81" i="56"/>
  <c r="V81" i="56" s="1"/>
  <c r="J80" i="56"/>
  <c r="V80" i="56" s="1"/>
  <c r="J79" i="56"/>
  <c r="W79" i="56" s="1"/>
  <c r="J78" i="56"/>
  <c r="V78" i="56" s="1"/>
  <c r="J77" i="56"/>
  <c r="V77" i="56" s="1"/>
  <c r="J76" i="56"/>
  <c r="W76" i="56" s="1"/>
  <c r="J75" i="56"/>
  <c r="V75" i="56" s="1"/>
  <c r="J74" i="56"/>
  <c r="V74" i="56" s="1"/>
  <c r="J73" i="56"/>
  <c r="V73" i="56" s="1"/>
  <c r="J72" i="56"/>
  <c r="W72" i="56" s="1"/>
  <c r="J71" i="56"/>
  <c r="W71" i="56" s="1"/>
  <c r="J70" i="56"/>
  <c r="V70" i="56" s="1"/>
  <c r="J69" i="56"/>
  <c r="V69" i="56" s="1"/>
  <c r="J68" i="56"/>
  <c r="V68" i="56" s="1"/>
  <c r="B68" i="56"/>
  <c r="B69" i="56" s="1"/>
  <c r="B70" i="56" s="1"/>
  <c r="B71" i="56" s="1"/>
  <c r="B72" i="56" s="1"/>
  <c r="B73" i="56" s="1"/>
  <c r="B74" i="56" s="1"/>
  <c r="B75" i="56" s="1"/>
  <c r="B76" i="56" s="1"/>
  <c r="B77" i="56" s="1"/>
  <c r="B78" i="56" s="1"/>
  <c r="B79" i="56" s="1"/>
  <c r="B80" i="56" s="1"/>
  <c r="B81" i="56" s="1"/>
  <c r="B82" i="56" s="1"/>
  <c r="B83" i="56" s="1"/>
  <c r="B84" i="56" s="1"/>
  <c r="B85" i="56" s="1"/>
  <c r="B86" i="56" s="1"/>
  <c r="B87" i="56" s="1"/>
  <c r="B88" i="56" s="1"/>
  <c r="B89" i="56" s="1"/>
  <c r="B90" i="56" s="1"/>
  <c r="B91" i="56" s="1"/>
  <c r="B92" i="56" s="1"/>
  <c r="B93" i="56" s="1"/>
  <c r="B94" i="56" s="1"/>
  <c r="B95" i="56" s="1"/>
  <c r="B96" i="56" s="1"/>
  <c r="B97" i="56" s="1"/>
  <c r="B98" i="56" s="1"/>
  <c r="B99" i="56" s="1"/>
  <c r="B100" i="56" s="1"/>
  <c r="J67" i="56"/>
  <c r="J58" i="56"/>
  <c r="W58" i="56" s="1"/>
  <c r="J57" i="56"/>
  <c r="W57" i="56" s="1"/>
  <c r="V56" i="56"/>
  <c r="J56" i="56"/>
  <c r="W56" i="56" s="1"/>
  <c r="J55" i="56"/>
  <c r="W55" i="56" s="1"/>
  <c r="J54" i="56"/>
  <c r="W54" i="56" s="1"/>
  <c r="J53" i="56"/>
  <c r="W53" i="56" s="1"/>
  <c r="W52" i="56"/>
  <c r="V52" i="56"/>
  <c r="J52" i="56"/>
  <c r="J51" i="56"/>
  <c r="W51" i="56" s="1"/>
  <c r="J50" i="56"/>
  <c r="W50" i="56" s="1"/>
  <c r="J49" i="56"/>
  <c r="W49" i="56" s="1"/>
  <c r="W48" i="56"/>
  <c r="V48" i="56"/>
  <c r="J48" i="56"/>
  <c r="J47" i="56"/>
  <c r="W47" i="56" s="1"/>
  <c r="J46" i="56"/>
  <c r="W46" i="56" s="1"/>
  <c r="J45" i="56"/>
  <c r="W45" i="56" s="1"/>
  <c r="W44" i="56"/>
  <c r="V44" i="56"/>
  <c r="J44" i="56"/>
  <c r="J43" i="56"/>
  <c r="W43" i="56" s="1"/>
  <c r="J42" i="56"/>
  <c r="W42" i="56" s="1"/>
  <c r="J41" i="56"/>
  <c r="V41" i="56" s="1"/>
  <c r="W40" i="56"/>
  <c r="V40" i="56"/>
  <c r="J40" i="56"/>
  <c r="J39" i="56"/>
  <c r="W39" i="56" s="1"/>
  <c r="J38" i="56"/>
  <c r="W38" i="56" s="1"/>
  <c r="J37" i="56"/>
  <c r="W37" i="56" s="1"/>
  <c r="J36" i="56"/>
  <c r="W36" i="56" s="1"/>
  <c r="J35" i="56"/>
  <c r="J34" i="56"/>
  <c r="W34" i="56" s="1"/>
  <c r="J33" i="56"/>
  <c r="V33" i="56" s="1"/>
  <c r="J32" i="56"/>
  <c r="W32" i="56" s="1"/>
  <c r="J31" i="56"/>
  <c r="W31" i="56" s="1"/>
  <c r="J30" i="56"/>
  <c r="W30" i="56" s="1"/>
  <c r="J29" i="56"/>
  <c r="J28" i="56"/>
  <c r="W28" i="56" s="1"/>
  <c r="J27" i="56"/>
  <c r="V27" i="56" s="1"/>
  <c r="J26" i="56"/>
  <c r="V26" i="56" s="1"/>
  <c r="J25" i="56"/>
  <c r="W25" i="56" s="1"/>
  <c r="J24" i="56"/>
  <c r="W24" i="56" s="1"/>
  <c r="J23" i="56"/>
  <c r="W23" i="56" s="1"/>
  <c r="J22" i="56"/>
  <c r="W22" i="56" s="1"/>
  <c r="J21" i="56"/>
  <c r="V21" i="56" s="1"/>
  <c r="J20" i="56"/>
  <c r="W20" i="56" s="1"/>
  <c r="J19" i="56"/>
  <c r="W19" i="56" s="1"/>
  <c r="J18" i="56"/>
  <c r="W18" i="56" s="1"/>
  <c r="J17" i="56"/>
  <c r="V17" i="56" s="1"/>
  <c r="J16" i="56"/>
  <c r="W16" i="56" s="1"/>
  <c r="J15" i="56"/>
  <c r="W15" i="56" s="1"/>
  <c r="J14" i="56"/>
  <c r="W14" i="56" s="1"/>
  <c r="J13" i="56"/>
  <c r="V13" i="56" s="1"/>
  <c r="J12" i="56"/>
  <c r="V12" i="56" s="1"/>
  <c r="J11" i="56"/>
  <c r="W11" i="56" s="1"/>
  <c r="J10" i="56"/>
  <c r="W10" i="56" s="1"/>
  <c r="J9" i="56"/>
  <c r="V9" i="56" s="1"/>
  <c r="N8" i="56"/>
  <c r="J8" i="56"/>
  <c r="W8" i="56" s="1"/>
  <c r="J7" i="56"/>
  <c r="W7" i="56" s="1"/>
  <c r="N6" i="56"/>
  <c r="J6" i="56"/>
  <c r="N4" i="56"/>
  <c r="V113" i="56" l="1"/>
  <c r="V115" i="56"/>
  <c r="V117" i="56"/>
  <c r="V119" i="56"/>
  <c r="W164" i="56"/>
  <c r="W26" i="56"/>
  <c r="W12" i="56"/>
  <c r="V45" i="56"/>
  <c r="V49" i="56"/>
  <c r="V53" i="56"/>
  <c r="V58" i="56"/>
  <c r="W82" i="56"/>
  <c r="W84" i="56"/>
  <c r="W86" i="56"/>
  <c r="W88" i="56"/>
  <c r="W90" i="56"/>
  <c r="W92" i="56"/>
  <c r="W94" i="56"/>
  <c r="W96" i="56"/>
  <c r="W98" i="56"/>
  <c r="W100" i="56"/>
  <c r="W41" i="56"/>
  <c r="V112" i="56"/>
  <c r="V114" i="56"/>
  <c r="V116" i="56"/>
  <c r="W165" i="56"/>
  <c r="W33" i="56"/>
  <c r="V72" i="56"/>
  <c r="W151" i="56"/>
  <c r="V148" i="56"/>
  <c r="W144" i="56"/>
  <c r="W73" i="56"/>
  <c r="W142" i="56"/>
  <c r="V132" i="56"/>
  <c r="V11" i="56"/>
  <c r="W130" i="56"/>
  <c r="V141" i="56"/>
  <c r="V155" i="56"/>
  <c r="W157" i="56"/>
  <c r="V159" i="56"/>
  <c r="V171" i="56"/>
  <c r="W173" i="56"/>
  <c r="W129" i="56"/>
  <c r="W143" i="56"/>
  <c r="V145" i="56"/>
  <c r="V147" i="56"/>
  <c r="W163" i="56"/>
  <c r="V156" i="56"/>
  <c r="W158" i="56"/>
  <c r="V172" i="56"/>
  <c r="W174" i="56"/>
  <c r="J121" i="56"/>
  <c r="V71" i="56"/>
  <c r="N10" i="56"/>
  <c r="V67" i="56"/>
  <c r="W69" i="56"/>
  <c r="W75" i="56"/>
  <c r="W78" i="56"/>
  <c r="W81" i="56"/>
  <c r="W9" i="56"/>
  <c r="W13" i="56"/>
  <c r="W17" i="56"/>
  <c r="W21" i="56"/>
  <c r="W27" i="56"/>
  <c r="V32" i="56"/>
  <c r="V39" i="56"/>
  <c r="V34" i="56"/>
  <c r="V10" i="56"/>
  <c r="V14" i="56"/>
  <c r="V18" i="56"/>
  <c r="V22" i="56"/>
  <c r="V28" i="56"/>
  <c r="J59" i="56"/>
  <c r="V29" i="56"/>
  <c r="W29" i="56"/>
  <c r="V35" i="56"/>
  <c r="W35" i="56"/>
  <c r="W6" i="56"/>
  <c r="W134" i="56"/>
  <c r="V134" i="56"/>
  <c r="W138" i="56"/>
  <c r="V138" i="56"/>
  <c r="W149" i="56"/>
  <c r="V149" i="56"/>
  <c r="W162" i="56"/>
  <c r="V162" i="56"/>
  <c r="W167" i="56"/>
  <c r="V167" i="56"/>
  <c r="V8" i="56"/>
  <c r="V16" i="56"/>
  <c r="V20" i="56"/>
  <c r="V24" i="56"/>
  <c r="V25" i="56"/>
  <c r="V31" i="56"/>
  <c r="V37" i="56"/>
  <c r="V38" i="56"/>
  <c r="V43" i="56"/>
  <c r="V47" i="56"/>
  <c r="V51" i="56"/>
  <c r="V55" i="56"/>
  <c r="W135" i="56"/>
  <c r="V135" i="56"/>
  <c r="W139" i="56"/>
  <c r="V139" i="56"/>
  <c r="W150" i="56"/>
  <c r="V150" i="56"/>
  <c r="W153" i="56"/>
  <c r="V153" i="56"/>
  <c r="W168" i="56"/>
  <c r="V168" i="56"/>
  <c r="V7" i="56"/>
  <c r="V15" i="56"/>
  <c r="V19" i="56"/>
  <c r="V23" i="56"/>
  <c r="V30" i="56"/>
  <c r="V36" i="56"/>
  <c r="V42" i="56"/>
  <c r="V46" i="56"/>
  <c r="V50" i="56"/>
  <c r="V54" i="56"/>
  <c r="V57" i="56"/>
  <c r="W68" i="56"/>
  <c r="W70" i="56"/>
  <c r="W74" i="56"/>
  <c r="V76" i="56"/>
  <c r="W77" i="56"/>
  <c r="V79" i="56"/>
  <c r="W80" i="56"/>
  <c r="W110" i="56"/>
  <c r="V110" i="56"/>
  <c r="W136" i="56"/>
  <c r="V136" i="56"/>
  <c r="W140" i="56"/>
  <c r="V140" i="56"/>
  <c r="W154" i="56"/>
  <c r="V154" i="56"/>
  <c r="W160" i="56"/>
  <c r="V160" i="56"/>
  <c r="V166" i="56"/>
  <c r="W169" i="56"/>
  <c r="V169" i="56"/>
  <c r="V6" i="56"/>
  <c r="W133" i="56"/>
  <c r="V133" i="56"/>
  <c r="W137" i="56"/>
  <c r="V137" i="56"/>
  <c r="V152" i="56"/>
  <c r="W161" i="56"/>
  <c r="V161" i="56"/>
  <c r="W170" i="56"/>
  <c r="V170" i="56"/>
  <c r="W67" i="56"/>
  <c r="J131" i="56"/>
  <c r="J175" i="56" s="1"/>
  <c r="H40" i="55"/>
  <c r="H38" i="55"/>
  <c r="H173" i="55"/>
  <c r="H170" i="55"/>
  <c r="H35" i="55"/>
  <c r="H80" i="55"/>
  <c r="H167" i="55"/>
  <c r="H166" i="55"/>
  <c r="H33" i="55"/>
  <c r="V121" i="56" l="1"/>
  <c r="O6" i="56" s="1"/>
  <c r="R6" i="56" s="1"/>
  <c r="W121" i="56"/>
  <c r="P6" i="56" s="1"/>
  <c r="W59" i="56"/>
  <c r="P4" i="56" s="1"/>
  <c r="V59" i="56"/>
  <c r="O4" i="56" s="1"/>
  <c r="Q4" i="56" s="1"/>
  <c r="W131" i="56"/>
  <c r="W175" i="56" s="1"/>
  <c r="P8" i="56" s="1"/>
  <c r="V131" i="56"/>
  <c r="V175" i="56" s="1"/>
  <c r="O8" i="56" s="1"/>
  <c r="R8" i="56" s="1"/>
  <c r="H79" i="55"/>
  <c r="J165" i="55"/>
  <c r="Q6" i="56" l="1"/>
  <c r="Q10" i="56"/>
  <c r="P10" i="56"/>
  <c r="R4" i="56"/>
  <c r="O10" i="56"/>
  <c r="R10" i="56" s="1"/>
  <c r="P12" i="56" s="1"/>
  <c r="H29" i="55"/>
  <c r="H163" i="55"/>
  <c r="H162" i="55"/>
  <c r="H160" i="55"/>
  <c r="H159" i="55"/>
  <c r="H27" i="55"/>
  <c r="H157" i="55"/>
  <c r="H77" i="55"/>
  <c r="H76" i="55"/>
  <c r="H154" i="55" l="1"/>
  <c r="H153" i="55"/>
  <c r="H152" i="55"/>
  <c r="H151" i="55"/>
  <c r="H25" i="55"/>
  <c r="H150" i="55" l="1"/>
  <c r="H149" i="55"/>
  <c r="H145" i="55"/>
  <c r="H73" i="55"/>
  <c r="H71" i="55" l="1"/>
  <c r="H68" i="55"/>
  <c r="H142" i="55"/>
  <c r="H140" i="55"/>
  <c r="J135" i="55"/>
  <c r="H13" i="55"/>
  <c r="W135" i="55" l="1"/>
  <c r="H11" i="55"/>
  <c r="H133" i="55"/>
  <c r="H131" i="55"/>
  <c r="J132" i="55" s="1"/>
  <c r="V132" i="55" s="1"/>
  <c r="H129" i="55"/>
  <c r="J129" i="55" s="1"/>
  <c r="H6" i="55"/>
  <c r="J174" i="55"/>
  <c r="V174" i="55" s="1"/>
  <c r="J173" i="55"/>
  <c r="V173" i="55" s="1"/>
  <c r="J172" i="55"/>
  <c r="V172" i="55" s="1"/>
  <c r="J171" i="55"/>
  <c r="J170" i="55"/>
  <c r="J169" i="55"/>
  <c r="W169" i="55" s="1"/>
  <c r="J168" i="55"/>
  <c r="W168" i="55" s="1"/>
  <c r="J167" i="55"/>
  <c r="J166" i="55"/>
  <c r="V166" i="55" s="1"/>
  <c r="J164" i="55"/>
  <c r="J163" i="55"/>
  <c r="W163" i="55" s="1"/>
  <c r="J162" i="55"/>
  <c r="V162" i="55" s="1"/>
  <c r="W161" i="55"/>
  <c r="J161" i="55"/>
  <c r="V161" i="55" s="1"/>
  <c r="J160" i="55"/>
  <c r="W160" i="55" s="1"/>
  <c r="J159" i="55"/>
  <c r="W159" i="55" s="1"/>
  <c r="J158" i="55"/>
  <c r="V158" i="55" s="1"/>
  <c r="J157" i="55"/>
  <c r="W157" i="55" s="1"/>
  <c r="J156" i="55"/>
  <c r="W156" i="55" s="1"/>
  <c r="J155" i="55"/>
  <c r="V155" i="55" s="1"/>
  <c r="J154" i="55"/>
  <c r="J153" i="55"/>
  <c r="W153" i="55" s="1"/>
  <c r="J152" i="55"/>
  <c r="W152" i="55" s="1"/>
  <c r="J151" i="55"/>
  <c r="V151" i="55" s="1"/>
  <c r="J150" i="55"/>
  <c r="V150" i="55" s="1"/>
  <c r="J149" i="55"/>
  <c r="J148" i="55"/>
  <c r="W148" i="55" s="1"/>
  <c r="J147" i="55"/>
  <c r="W147" i="55" s="1"/>
  <c r="J146" i="55"/>
  <c r="W146" i="55" s="1"/>
  <c r="J145" i="55"/>
  <c r="W145" i="55" s="1"/>
  <c r="J144" i="55"/>
  <c r="W144" i="55" s="1"/>
  <c r="J143" i="55"/>
  <c r="V143" i="55" s="1"/>
  <c r="J142" i="55"/>
  <c r="W142" i="55" s="1"/>
  <c r="J141" i="55"/>
  <c r="V141" i="55" s="1"/>
  <c r="J140" i="55"/>
  <c r="J139" i="55"/>
  <c r="J138" i="55"/>
  <c r="J137" i="55"/>
  <c r="J136" i="55"/>
  <c r="W136" i="55" s="1"/>
  <c r="J134" i="55"/>
  <c r="W134" i="55" s="1"/>
  <c r="J133" i="55"/>
  <c r="W133" i="55" s="1"/>
  <c r="J130" i="55"/>
  <c r="W130" i="55" s="1"/>
  <c r="B130" i="55"/>
  <c r="B131" i="55" s="1"/>
  <c r="B132" i="55" s="1"/>
  <c r="B133" i="55" s="1"/>
  <c r="B134" i="55" s="1"/>
  <c r="B135" i="55" s="1"/>
  <c r="B136" i="55" s="1"/>
  <c r="B137" i="55" s="1"/>
  <c r="B138" i="55" s="1"/>
  <c r="B139" i="55" s="1"/>
  <c r="B140" i="55" s="1"/>
  <c r="B141" i="55" s="1"/>
  <c r="B142" i="55" s="1"/>
  <c r="B143" i="55" s="1"/>
  <c r="B144" i="55" s="1"/>
  <c r="B145" i="55" s="1"/>
  <c r="B146" i="55" s="1"/>
  <c r="B147" i="55" s="1"/>
  <c r="B148" i="55" s="1"/>
  <c r="B149" i="55" s="1"/>
  <c r="B150" i="55" s="1"/>
  <c r="B151" i="55" s="1"/>
  <c r="B152" i="55" s="1"/>
  <c r="B153" i="55" s="1"/>
  <c r="B154" i="55" s="1"/>
  <c r="B155" i="55" s="1"/>
  <c r="B156" i="55" s="1"/>
  <c r="B157" i="55" s="1"/>
  <c r="B158" i="55" s="1"/>
  <c r="B159" i="55" s="1"/>
  <c r="B160" i="55" s="1"/>
  <c r="B161" i="55" s="1"/>
  <c r="B162" i="55" s="1"/>
  <c r="B163" i="55" s="1"/>
  <c r="B164" i="55" s="1"/>
  <c r="B165" i="55" s="1"/>
  <c r="B166" i="55" s="1"/>
  <c r="B167" i="55" s="1"/>
  <c r="B168" i="55" s="1"/>
  <c r="B169" i="55" s="1"/>
  <c r="B170" i="55" s="1"/>
  <c r="B171" i="55" s="1"/>
  <c r="B172" i="55" s="1"/>
  <c r="B173" i="55" s="1"/>
  <c r="B174" i="55" s="1"/>
  <c r="J120" i="55"/>
  <c r="V120" i="55" s="1"/>
  <c r="W119" i="55"/>
  <c r="J119" i="55"/>
  <c r="V119" i="55" s="1"/>
  <c r="W118" i="55"/>
  <c r="J118" i="55"/>
  <c r="V118" i="55" s="1"/>
  <c r="J117" i="55"/>
  <c r="J116" i="55"/>
  <c r="V116" i="55" s="1"/>
  <c r="B116" i="55"/>
  <c r="B117" i="55" s="1"/>
  <c r="B118" i="55" s="1"/>
  <c r="B119" i="55" s="1"/>
  <c r="B120" i="55" s="1"/>
  <c r="J115" i="55"/>
  <c r="V115" i="55" s="1"/>
  <c r="J114" i="55"/>
  <c r="V114" i="55" s="1"/>
  <c r="J113" i="55"/>
  <c r="J112" i="55"/>
  <c r="V112" i="55" s="1"/>
  <c r="B112" i="55"/>
  <c r="B113" i="55" s="1"/>
  <c r="B114" i="55" s="1"/>
  <c r="B115" i="55" s="1"/>
  <c r="W111" i="55"/>
  <c r="J111" i="55"/>
  <c r="V111" i="55" s="1"/>
  <c r="W110" i="55"/>
  <c r="J110" i="55"/>
  <c r="V110" i="55" s="1"/>
  <c r="J109" i="55"/>
  <c r="J108" i="55"/>
  <c r="J107" i="55"/>
  <c r="J106" i="55"/>
  <c r="J105" i="55"/>
  <c r="J104" i="55"/>
  <c r="J103" i="55"/>
  <c r="J102" i="55"/>
  <c r="J101" i="55"/>
  <c r="V100" i="55"/>
  <c r="J100" i="55"/>
  <c r="W100" i="55" s="1"/>
  <c r="V99" i="55"/>
  <c r="J99" i="55"/>
  <c r="W99" i="55" s="1"/>
  <c r="J98" i="55"/>
  <c r="J97" i="55"/>
  <c r="W97" i="55" s="1"/>
  <c r="V96" i="55"/>
  <c r="J96" i="55"/>
  <c r="W96" i="55" s="1"/>
  <c r="V95" i="55"/>
  <c r="J95" i="55"/>
  <c r="W95" i="55" s="1"/>
  <c r="J94" i="55"/>
  <c r="J93" i="55"/>
  <c r="W93" i="55" s="1"/>
  <c r="V92" i="55"/>
  <c r="J92" i="55"/>
  <c r="W92" i="55" s="1"/>
  <c r="V91" i="55"/>
  <c r="J91" i="55"/>
  <c r="W91" i="55" s="1"/>
  <c r="J90" i="55"/>
  <c r="J89" i="55"/>
  <c r="W89" i="55" s="1"/>
  <c r="V88" i="55"/>
  <c r="J88" i="55"/>
  <c r="W88" i="55" s="1"/>
  <c r="V87" i="55"/>
  <c r="J87" i="55"/>
  <c r="W87" i="55" s="1"/>
  <c r="J86" i="55"/>
  <c r="J85" i="55"/>
  <c r="W85" i="55" s="1"/>
  <c r="V84" i="55"/>
  <c r="J84" i="55"/>
  <c r="W84" i="55" s="1"/>
  <c r="J83" i="55"/>
  <c r="W83" i="55" s="1"/>
  <c r="J82" i="55"/>
  <c r="J81" i="55"/>
  <c r="J80" i="55"/>
  <c r="W80" i="55" s="1"/>
  <c r="J79" i="55"/>
  <c r="W79" i="55" s="1"/>
  <c r="J78" i="55"/>
  <c r="W78" i="55" s="1"/>
  <c r="J77" i="55"/>
  <c r="W77" i="55" s="1"/>
  <c r="J76" i="55"/>
  <c r="V76" i="55" s="1"/>
  <c r="J75" i="55"/>
  <c r="W75" i="55" s="1"/>
  <c r="J74" i="55"/>
  <c r="W74" i="55" s="1"/>
  <c r="J73" i="55"/>
  <c r="W73" i="55" s="1"/>
  <c r="V72" i="55"/>
  <c r="J72" i="55"/>
  <c r="W72" i="55" s="1"/>
  <c r="J71" i="55"/>
  <c r="W71" i="55" s="1"/>
  <c r="J70" i="55"/>
  <c r="W70" i="55" s="1"/>
  <c r="J69" i="55"/>
  <c r="W69" i="55" s="1"/>
  <c r="J68" i="55"/>
  <c r="V68" i="55" s="1"/>
  <c r="B68" i="55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J67" i="55"/>
  <c r="W67" i="55" s="1"/>
  <c r="J58" i="55"/>
  <c r="W58" i="55" s="1"/>
  <c r="V57" i="55"/>
  <c r="J57" i="55"/>
  <c r="W57" i="55" s="1"/>
  <c r="J56" i="55"/>
  <c r="W56" i="55" s="1"/>
  <c r="J55" i="55"/>
  <c r="V55" i="55" s="1"/>
  <c r="V54" i="55"/>
  <c r="J54" i="55"/>
  <c r="W54" i="55" s="1"/>
  <c r="J53" i="55"/>
  <c r="W53" i="55" s="1"/>
  <c r="J52" i="55"/>
  <c r="W52" i="55" s="1"/>
  <c r="J51" i="55"/>
  <c r="V51" i="55" s="1"/>
  <c r="J50" i="55"/>
  <c r="W50" i="55" s="1"/>
  <c r="V49" i="55"/>
  <c r="J49" i="55"/>
  <c r="W49" i="55" s="1"/>
  <c r="J48" i="55"/>
  <c r="W48" i="55" s="1"/>
  <c r="J47" i="55"/>
  <c r="V47" i="55" s="1"/>
  <c r="V46" i="55"/>
  <c r="J46" i="55"/>
  <c r="W46" i="55" s="1"/>
  <c r="J45" i="55"/>
  <c r="W45" i="55" s="1"/>
  <c r="J44" i="55"/>
  <c r="W44" i="55" s="1"/>
  <c r="J43" i="55"/>
  <c r="J42" i="55"/>
  <c r="V42" i="55" s="1"/>
  <c r="J41" i="55"/>
  <c r="W41" i="55" s="1"/>
  <c r="J40" i="55"/>
  <c r="J39" i="55"/>
  <c r="J38" i="55"/>
  <c r="J37" i="55"/>
  <c r="W37" i="55" s="1"/>
  <c r="J36" i="55"/>
  <c r="J35" i="55"/>
  <c r="J34" i="55"/>
  <c r="W34" i="55" s="1"/>
  <c r="J33" i="55"/>
  <c r="W33" i="55" s="1"/>
  <c r="J32" i="55"/>
  <c r="J31" i="55"/>
  <c r="W31" i="55" s="1"/>
  <c r="J30" i="55"/>
  <c r="V30" i="55" s="1"/>
  <c r="J29" i="55"/>
  <c r="W29" i="55" s="1"/>
  <c r="J28" i="55"/>
  <c r="W28" i="55" s="1"/>
  <c r="J27" i="55"/>
  <c r="W27" i="55" s="1"/>
  <c r="J26" i="55"/>
  <c r="J25" i="55"/>
  <c r="W25" i="55" s="1"/>
  <c r="J24" i="55"/>
  <c r="W24" i="55" s="1"/>
  <c r="J23" i="55"/>
  <c r="W23" i="55" s="1"/>
  <c r="J22" i="55"/>
  <c r="J21" i="55"/>
  <c r="W21" i="55" s="1"/>
  <c r="J20" i="55"/>
  <c r="W20" i="55" s="1"/>
  <c r="J19" i="55"/>
  <c r="W19" i="55" s="1"/>
  <c r="J18" i="55"/>
  <c r="W18" i="55" s="1"/>
  <c r="J17" i="55"/>
  <c r="J16" i="55"/>
  <c r="J15" i="55"/>
  <c r="V15" i="55" s="1"/>
  <c r="J14" i="55"/>
  <c r="W14" i="55" s="1"/>
  <c r="J13" i="55"/>
  <c r="W13" i="55" s="1"/>
  <c r="J12" i="55"/>
  <c r="W12" i="55" s="1"/>
  <c r="J11" i="55"/>
  <c r="W11" i="55" s="1"/>
  <c r="J10" i="55"/>
  <c r="J9" i="55"/>
  <c r="N8" i="55"/>
  <c r="J8" i="55"/>
  <c r="J7" i="55"/>
  <c r="N6" i="55"/>
  <c r="J6" i="55"/>
  <c r="W6" i="55" s="1"/>
  <c r="N4" i="55"/>
  <c r="V44" i="55" l="1"/>
  <c r="V50" i="55"/>
  <c r="V52" i="55"/>
  <c r="V58" i="55"/>
  <c r="W115" i="55"/>
  <c r="W174" i="55"/>
  <c r="W47" i="55"/>
  <c r="W55" i="55"/>
  <c r="W114" i="55"/>
  <c r="W120" i="55"/>
  <c r="V157" i="55"/>
  <c r="V136" i="55"/>
  <c r="V142" i="55"/>
  <c r="W173" i="55"/>
  <c r="V168" i="55"/>
  <c r="V34" i="55"/>
  <c r="V79" i="55"/>
  <c r="W158" i="55"/>
  <c r="W30" i="55"/>
  <c r="W162" i="55"/>
  <c r="V27" i="55"/>
  <c r="W76" i="55"/>
  <c r="V75" i="55"/>
  <c r="W151" i="55"/>
  <c r="V25" i="55"/>
  <c r="V145" i="55"/>
  <c r="V21" i="55"/>
  <c r="V71" i="55"/>
  <c r="W143" i="55"/>
  <c r="W68" i="55"/>
  <c r="W15" i="55"/>
  <c r="V14" i="55"/>
  <c r="V13" i="55"/>
  <c r="V135" i="55"/>
  <c r="V133" i="55"/>
  <c r="V130" i="55"/>
  <c r="V134" i="55"/>
  <c r="V147" i="55"/>
  <c r="W150" i="55"/>
  <c r="V156" i="55"/>
  <c r="V160" i="55"/>
  <c r="V152" i="55"/>
  <c r="V159" i="55"/>
  <c r="V163" i="55"/>
  <c r="W155" i="55"/>
  <c r="V169" i="55"/>
  <c r="W172" i="55"/>
  <c r="V67" i="55"/>
  <c r="V70" i="55"/>
  <c r="V74" i="55"/>
  <c r="V78" i="55"/>
  <c r="V69" i="55"/>
  <c r="V73" i="55"/>
  <c r="V77" i="55"/>
  <c r="V83" i="55"/>
  <c r="V20" i="55"/>
  <c r="V24" i="55"/>
  <c r="V29" i="55"/>
  <c r="V33" i="55"/>
  <c r="V37" i="55"/>
  <c r="W42" i="55"/>
  <c r="V12" i="55"/>
  <c r="V28" i="55"/>
  <c r="V31" i="55"/>
  <c r="V41" i="55"/>
  <c r="W9" i="55"/>
  <c r="V9" i="55"/>
  <c r="W17" i="55"/>
  <c r="V17" i="55"/>
  <c r="W10" i="55"/>
  <c r="V10" i="55"/>
  <c r="V117" i="55"/>
  <c r="W117" i="55"/>
  <c r="W129" i="55"/>
  <c r="V129" i="55"/>
  <c r="W164" i="55"/>
  <c r="V164" i="55"/>
  <c r="N10" i="55"/>
  <c r="W22" i="55"/>
  <c r="V22" i="55"/>
  <c r="W94" i="55"/>
  <c r="V94" i="55"/>
  <c r="W154" i="55"/>
  <c r="V154" i="55"/>
  <c r="W8" i="55"/>
  <c r="V8" i="55"/>
  <c r="V19" i="55"/>
  <c r="W26" i="55"/>
  <c r="V26" i="55"/>
  <c r="V39" i="55"/>
  <c r="W39" i="55"/>
  <c r="V43" i="55"/>
  <c r="W43" i="55"/>
  <c r="W90" i="55"/>
  <c r="V90" i="55"/>
  <c r="V6" i="55"/>
  <c r="J59" i="55"/>
  <c r="W32" i="55"/>
  <c r="V32" i="55"/>
  <c r="W38" i="55"/>
  <c r="V38" i="55"/>
  <c r="V40" i="55"/>
  <c r="W40" i="55"/>
  <c r="W82" i="55"/>
  <c r="V82" i="55"/>
  <c r="W98" i="55"/>
  <c r="V98" i="55"/>
  <c r="W167" i="55"/>
  <c r="V167" i="55"/>
  <c r="V171" i="55"/>
  <c r="W171" i="55"/>
  <c r="W7" i="55"/>
  <c r="V7" i="55"/>
  <c r="V11" i="55"/>
  <c r="V36" i="55"/>
  <c r="W36" i="55"/>
  <c r="W101" i="55"/>
  <c r="V101" i="55"/>
  <c r="V113" i="55"/>
  <c r="W113" i="55"/>
  <c r="W16" i="55"/>
  <c r="V16" i="55"/>
  <c r="V18" i="55"/>
  <c r="V23" i="55"/>
  <c r="V35" i="55"/>
  <c r="W35" i="55"/>
  <c r="W81" i="55"/>
  <c r="V81" i="55"/>
  <c r="W86" i="55"/>
  <c r="V86" i="55"/>
  <c r="W137" i="55"/>
  <c r="V137" i="55"/>
  <c r="W149" i="55"/>
  <c r="V149" i="55"/>
  <c r="W170" i="55"/>
  <c r="V170" i="55"/>
  <c r="W139" i="55"/>
  <c r="V139" i="55"/>
  <c r="V45" i="55"/>
  <c r="V48" i="55"/>
  <c r="W51" i="55"/>
  <c r="V53" i="55"/>
  <c r="V56" i="55"/>
  <c r="V80" i="55"/>
  <c r="V85" i="55"/>
  <c r="V89" i="55"/>
  <c r="V93" i="55"/>
  <c r="V97" i="55"/>
  <c r="W112" i="55"/>
  <c r="W116" i="55"/>
  <c r="J131" i="55"/>
  <c r="J175" i="55" s="1"/>
  <c r="W141" i="55"/>
  <c r="V144" i="55"/>
  <c r="V146" i="55"/>
  <c r="V148" i="55"/>
  <c r="V153" i="55"/>
  <c r="W166" i="55"/>
  <c r="W132" i="55"/>
  <c r="J121" i="55"/>
  <c r="W138" i="55"/>
  <c r="V138" i="55"/>
  <c r="W140" i="55"/>
  <c r="V140" i="55"/>
  <c r="W165" i="55"/>
  <c r="V165" i="55"/>
  <c r="H171" i="54"/>
  <c r="H170" i="54"/>
  <c r="H169" i="54"/>
  <c r="H43" i="54"/>
  <c r="H40" i="54"/>
  <c r="H39" i="54"/>
  <c r="W121" i="55" l="1"/>
  <c r="P6" i="55" s="1"/>
  <c r="V121" i="55"/>
  <c r="O6" i="55" s="1"/>
  <c r="Q6" i="55" s="1"/>
  <c r="W59" i="55"/>
  <c r="P4" i="55" s="1"/>
  <c r="W131" i="55"/>
  <c r="W175" i="55" s="1"/>
  <c r="P8" i="55" s="1"/>
  <c r="V131" i="55"/>
  <c r="V175" i="55" s="1"/>
  <c r="O8" i="55" s="1"/>
  <c r="V59" i="55"/>
  <c r="O4" i="55" s="1"/>
  <c r="N8" i="54"/>
  <c r="N6" i="54"/>
  <c r="N4" i="54"/>
  <c r="H167" i="54"/>
  <c r="H166" i="54"/>
  <c r="H164" i="54"/>
  <c r="H163" i="54"/>
  <c r="H162" i="54"/>
  <c r="R6" i="55" l="1"/>
  <c r="P10" i="55"/>
  <c r="O10" i="55"/>
  <c r="R10" i="55" s="1"/>
  <c r="P12" i="55" s="1"/>
  <c r="R4" i="55"/>
  <c r="Q4" i="55"/>
  <c r="R8" i="55"/>
  <c r="N10" i="54"/>
  <c r="H81" i="54"/>
  <c r="H36" i="54"/>
  <c r="H32" i="54"/>
  <c r="Q10" i="55" l="1"/>
  <c r="H78" i="54"/>
  <c r="H155" i="54" l="1"/>
  <c r="H154" i="54"/>
  <c r="H153" i="54"/>
  <c r="H151" i="54"/>
  <c r="H150" i="54"/>
  <c r="H149" i="54"/>
  <c r="H69" i="54" l="1"/>
  <c r="H68" i="54"/>
  <c r="H19" i="54"/>
  <c r="H17" i="54"/>
  <c r="J17" i="54" s="1"/>
  <c r="W17" i="54" s="1"/>
  <c r="H14" i="54"/>
  <c r="H144" i="54"/>
  <c r="H143" i="54"/>
  <c r="H141" i="54"/>
  <c r="J141" i="54" s="1"/>
  <c r="H138" i="54"/>
  <c r="H137" i="54"/>
  <c r="H133" i="54"/>
  <c r="J134" i="54" s="1"/>
  <c r="H132" i="54"/>
  <c r="H131" i="54"/>
  <c r="J131" i="54" s="1"/>
  <c r="W131" i="54" s="1"/>
  <c r="H9" i="54"/>
  <c r="J174" i="54"/>
  <c r="W174" i="54" s="1"/>
  <c r="W173" i="54"/>
  <c r="J173" i="54"/>
  <c r="V173" i="54" s="1"/>
  <c r="J172" i="54"/>
  <c r="V172" i="54" s="1"/>
  <c r="J171" i="54"/>
  <c r="V171" i="54" s="1"/>
  <c r="J170" i="54"/>
  <c r="W170" i="54" s="1"/>
  <c r="J169" i="54"/>
  <c r="W169" i="54" s="1"/>
  <c r="J168" i="54"/>
  <c r="V168" i="54" s="1"/>
  <c r="J167" i="54"/>
  <c r="W167" i="54" s="1"/>
  <c r="J166" i="54"/>
  <c r="V166" i="54" s="1"/>
  <c r="J165" i="54"/>
  <c r="J164" i="54"/>
  <c r="J163" i="54"/>
  <c r="W163" i="54" s="1"/>
  <c r="J162" i="54"/>
  <c r="W162" i="54" s="1"/>
  <c r="J161" i="54"/>
  <c r="W161" i="54" s="1"/>
  <c r="J160" i="54"/>
  <c r="W160" i="54" s="1"/>
  <c r="J159" i="54"/>
  <c r="W159" i="54" s="1"/>
  <c r="J158" i="54"/>
  <c r="W158" i="54" s="1"/>
  <c r="J157" i="54"/>
  <c r="J156" i="54"/>
  <c r="J155" i="54"/>
  <c r="W155" i="54" s="1"/>
  <c r="J154" i="54"/>
  <c r="W154" i="54" s="1"/>
  <c r="J153" i="54"/>
  <c r="W153" i="54" s="1"/>
  <c r="J152" i="54"/>
  <c r="W152" i="54" s="1"/>
  <c r="J151" i="54"/>
  <c r="W151" i="54" s="1"/>
  <c r="J150" i="54"/>
  <c r="W150" i="54" s="1"/>
  <c r="J149" i="54"/>
  <c r="V149" i="54" s="1"/>
  <c r="J148" i="54"/>
  <c r="W148" i="54" s="1"/>
  <c r="J147" i="54"/>
  <c r="J146" i="54"/>
  <c r="J145" i="54"/>
  <c r="J144" i="54"/>
  <c r="W144" i="54" s="1"/>
  <c r="J143" i="54"/>
  <c r="W143" i="54" s="1"/>
  <c r="J142" i="54"/>
  <c r="J140" i="54"/>
  <c r="J139" i="54"/>
  <c r="J138" i="54"/>
  <c r="J137" i="54"/>
  <c r="W137" i="54" s="1"/>
  <c r="J136" i="54"/>
  <c r="W136" i="54" s="1"/>
  <c r="J135" i="54"/>
  <c r="V135" i="54" s="1"/>
  <c r="J133" i="54"/>
  <c r="W133" i="54" s="1"/>
  <c r="J132" i="54"/>
  <c r="W132" i="54" s="1"/>
  <c r="J130" i="54"/>
  <c r="V130" i="54" s="1"/>
  <c r="B130" i="54"/>
  <c r="B131" i="54" s="1"/>
  <c r="B132" i="54" s="1"/>
  <c r="B133" i="54" s="1"/>
  <c r="B134" i="54" s="1"/>
  <c r="B135" i="54" s="1"/>
  <c r="B136" i="54" s="1"/>
  <c r="B137" i="54" s="1"/>
  <c r="B138" i="54" s="1"/>
  <c r="B139" i="54" s="1"/>
  <c r="B140" i="54" s="1"/>
  <c r="B141" i="54" s="1"/>
  <c r="B142" i="54" s="1"/>
  <c r="B143" i="54" s="1"/>
  <c r="B144" i="54" s="1"/>
  <c r="B145" i="54" s="1"/>
  <c r="B146" i="54" s="1"/>
  <c r="B147" i="54" s="1"/>
  <c r="B148" i="54" s="1"/>
  <c r="B149" i="54" s="1"/>
  <c r="B150" i="54" s="1"/>
  <c r="B151" i="54" s="1"/>
  <c r="B152" i="54" s="1"/>
  <c r="B153" i="54" s="1"/>
  <c r="B154" i="54" s="1"/>
  <c r="B155" i="54" s="1"/>
  <c r="B156" i="54" s="1"/>
  <c r="B157" i="54" s="1"/>
  <c r="B158" i="54" s="1"/>
  <c r="B159" i="54" s="1"/>
  <c r="B160" i="54" s="1"/>
  <c r="B161" i="54" s="1"/>
  <c r="B162" i="54" s="1"/>
  <c r="B163" i="54" s="1"/>
  <c r="B164" i="54" s="1"/>
  <c r="B165" i="54" s="1"/>
  <c r="B166" i="54" s="1"/>
  <c r="B167" i="54" s="1"/>
  <c r="B168" i="54" s="1"/>
  <c r="B169" i="54" s="1"/>
  <c r="B170" i="54" s="1"/>
  <c r="B171" i="54" s="1"/>
  <c r="B172" i="54" s="1"/>
  <c r="B173" i="54" s="1"/>
  <c r="B174" i="54" s="1"/>
  <c r="J129" i="54"/>
  <c r="W129" i="54" s="1"/>
  <c r="J120" i="54"/>
  <c r="J119" i="54"/>
  <c r="J118" i="54"/>
  <c r="J117" i="54"/>
  <c r="V117" i="54" s="1"/>
  <c r="J116" i="54"/>
  <c r="V116" i="54" s="1"/>
  <c r="J115" i="54"/>
  <c r="V115" i="54" s="1"/>
  <c r="J114" i="54"/>
  <c r="V114" i="54" s="1"/>
  <c r="J113" i="54"/>
  <c r="V113" i="54" s="1"/>
  <c r="J112" i="54"/>
  <c r="V112" i="54" s="1"/>
  <c r="B112" i="54"/>
  <c r="B113" i="54" s="1"/>
  <c r="B114" i="54" s="1"/>
  <c r="B115" i="54" s="1"/>
  <c r="B116" i="54" s="1"/>
  <c r="B117" i="54" s="1"/>
  <c r="B118" i="54" s="1"/>
  <c r="B119" i="54" s="1"/>
  <c r="B120" i="54" s="1"/>
  <c r="J111" i="54"/>
  <c r="V111" i="54" s="1"/>
  <c r="J110" i="54"/>
  <c r="W110" i="54" s="1"/>
  <c r="J109" i="54"/>
  <c r="J108" i="54"/>
  <c r="J107" i="54"/>
  <c r="J106" i="54"/>
  <c r="J105" i="54"/>
  <c r="J104" i="54"/>
  <c r="J103" i="54"/>
  <c r="J102" i="54"/>
  <c r="J101" i="54"/>
  <c r="V101" i="54" s="1"/>
  <c r="J100" i="54"/>
  <c r="W100" i="54" s="1"/>
  <c r="J99" i="54"/>
  <c r="W99" i="54" s="1"/>
  <c r="J98" i="54"/>
  <c r="W98" i="54" s="1"/>
  <c r="J97" i="54"/>
  <c r="W97" i="54" s="1"/>
  <c r="J96" i="54"/>
  <c r="W96" i="54" s="1"/>
  <c r="J95" i="54"/>
  <c r="W95" i="54" s="1"/>
  <c r="J94" i="54"/>
  <c r="W94" i="54" s="1"/>
  <c r="J93" i="54"/>
  <c r="W93" i="54" s="1"/>
  <c r="J92" i="54"/>
  <c r="W92" i="54" s="1"/>
  <c r="J91" i="54"/>
  <c r="W91" i="54" s="1"/>
  <c r="J90" i="54"/>
  <c r="W90" i="54" s="1"/>
  <c r="J89" i="54"/>
  <c r="V89" i="54" s="1"/>
  <c r="J88" i="54"/>
  <c r="W88" i="54" s="1"/>
  <c r="W87" i="54"/>
  <c r="J87" i="54"/>
  <c r="V87" i="54" s="1"/>
  <c r="J86" i="54"/>
  <c r="W86" i="54" s="1"/>
  <c r="J85" i="54"/>
  <c r="W85" i="54" s="1"/>
  <c r="J84" i="54"/>
  <c r="W84" i="54" s="1"/>
  <c r="J83" i="54"/>
  <c r="V83" i="54" s="1"/>
  <c r="J82" i="54"/>
  <c r="V82" i="54" s="1"/>
  <c r="J81" i="54"/>
  <c r="V81" i="54" s="1"/>
  <c r="J80" i="54"/>
  <c r="V80" i="54" s="1"/>
  <c r="J79" i="54"/>
  <c r="V79" i="54" s="1"/>
  <c r="J78" i="54"/>
  <c r="V78" i="54" s="1"/>
  <c r="J77" i="54"/>
  <c r="V77" i="54" s="1"/>
  <c r="J76" i="54"/>
  <c r="V76" i="54" s="1"/>
  <c r="J75" i="54"/>
  <c r="V75" i="54" s="1"/>
  <c r="J74" i="54"/>
  <c r="W74" i="54" s="1"/>
  <c r="J73" i="54"/>
  <c r="J72" i="54"/>
  <c r="W72" i="54" s="1"/>
  <c r="J71" i="54"/>
  <c r="W71" i="54" s="1"/>
  <c r="J70" i="54"/>
  <c r="W70" i="54" s="1"/>
  <c r="J69" i="54"/>
  <c r="W69" i="54" s="1"/>
  <c r="J68" i="54"/>
  <c r="W68" i="54" s="1"/>
  <c r="B68" i="54"/>
  <c r="B69" i="54" s="1"/>
  <c r="B70" i="54" s="1"/>
  <c r="B71" i="54" s="1"/>
  <c r="B72" i="54" s="1"/>
  <c r="B73" i="54" s="1"/>
  <c r="B74" i="54" s="1"/>
  <c r="B75" i="54" s="1"/>
  <c r="B76" i="54" s="1"/>
  <c r="B77" i="54" s="1"/>
  <c r="B78" i="54" s="1"/>
  <c r="B79" i="54" s="1"/>
  <c r="B80" i="54" s="1"/>
  <c r="B81" i="54" s="1"/>
  <c r="B82" i="54" s="1"/>
  <c r="B83" i="54" s="1"/>
  <c r="B84" i="54" s="1"/>
  <c r="B85" i="54" s="1"/>
  <c r="B86" i="54" s="1"/>
  <c r="B87" i="54" s="1"/>
  <c r="B88" i="54" s="1"/>
  <c r="B89" i="54" s="1"/>
  <c r="B90" i="54" s="1"/>
  <c r="B91" i="54" s="1"/>
  <c r="B92" i="54" s="1"/>
  <c r="B93" i="54" s="1"/>
  <c r="B94" i="54" s="1"/>
  <c r="B95" i="54" s="1"/>
  <c r="B96" i="54" s="1"/>
  <c r="B97" i="54" s="1"/>
  <c r="B98" i="54" s="1"/>
  <c r="B99" i="54" s="1"/>
  <c r="B100" i="54" s="1"/>
  <c r="J67" i="54"/>
  <c r="J58" i="54"/>
  <c r="W58" i="54" s="1"/>
  <c r="J57" i="54"/>
  <c r="W57" i="54" s="1"/>
  <c r="W56" i="54"/>
  <c r="J56" i="54"/>
  <c r="V56" i="54" s="1"/>
  <c r="J55" i="54"/>
  <c r="W55" i="54" s="1"/>
  <c r="J54" i="54"/>
  <c r="W54" i="54" s="1"/>
  <c r="J53" i="54"/>
  <c r="W53" i="54" s="1"/>
  <c r="J52" i="54"/>
  <c r="V52" i="54" s="1"/>
  <c r="J51" i="54"/>
  <c r="W51" i="54" s="1"/>
  <c r="J50" i="54"/>
  <c r="W50" i="54" s="1"/>
  <c r="J49" i="54"/>
  <c r="W49" i="54" s="1"/>
  <c r="J48" i="54"/>
  <c r="V48" i="54" s="1"/>
  <c r="J47" i="54"/>
  <c r="W47" i="54" s="1"/>
  <c r="J46" i="54"/>
  <c r="W46" i="54" s="1"/>
  <c r="J45" i="54"/>
  <c r="W45" i="54" s="1"/>
  <c r="J44" i="54"/>
  <c r="V44" i="54" s="1"/>
  <c r="J43" i="54"/>
  <c r="W43" i="54" s="1"/>
  <c r="J42" i="54"/>
  <c r="W42" i="54" s="1"/>
  <c r="J41" i="54"/>
  <c r="W41" i="54" s="1"/>
  <c r="J40" i="54"/>
  <c r="V40" i="54" s="1"/>
  <c r="J39" i="54"/>
  <c r="W39" i="54" s="1"/>
  <c r="J38" i="54"/>
  <c r="W38" i="54" s="1"/>
  <c r="J37" i="54"/>
  <c r="W37" i="54" s="1"/>
  <c r="J36" i="54"/>
  <c r="V36" i="54" s="1"/>
  <c r="J35" i="54"/>
  <c r="J34" i="54"/>
  <c r="J33" i="54"/>
  <c r="J32" i="54"/>
  <c r="J31" i="54"/>
  <c r="J30" i="54"/>
  <c r="W30" i="54" s="1"/>
  <c r="J29" i="54"/>
  <c r="W29" i="54" s="1"/>
  <c r="J28" i="54"/>
  <c r="W28" i="54" s="1"/>
  <c r="J27" i="54"/>
  <c r="V27" i="54" s="1"/>
  <c r="J26" i="54"/>
  <c r="V26" i="54" s="1"/>
  <c r="J25" i="54"/>
  <c r="J24" i="54"/>
  <c r="W24" i="54" s="1"/>
  <c r="J23" i="54"/>
  <c r="W23" i="54" s="1"/>
  <c r="J22" i="54"/>
  <c r="W22" i="54" s="1"/>
  <c r="J21" i="54"/>
  <c r="W21" i="54" s="1"/>
  <c r="J20" i="54"/>
  <c r="V20" i="54" s="1"/>
  <c r="J19" i="54"/>
  <c r="J18" i="54"/>
  <c r="W18" i="54" s="1"/>
  <c r="J16" i="54"/>
  <c r="J15" i="54"/>
  <c r="J14" i="54"/>
  <c r="J13" i="54"/>
  <c r="W13" i="54" s="1"/>
  <c r="J12" i="54"/>
  <c r="W12" i="54" s="1"/>
  <c r="J11" i="54"/>
  <c r="V11" i="54" s="1"/>
  <c r="J10" i="54"/>
  <c r="V10" i="54" s="1"/>
  <c r="J9" i="54"/>
  <c r="V9" i="54" s="1"/>
  <c r="J8" i="54"/>
  <c r="W8" i="54" s="1"/>
  <c r="J7" i="54"/>
  <c r="J6" i="54"/>
  <c r="V6" i="54" s="1"/>
  <c r="W48" i="54" l="1"/>
  <c r="V169" i="54"/>
  <c r="W166" i="54"/>
  <c r="W52" i="54"/>
  <c r="V97" i="54"/>
  <c r="W172" i="54"/>
  <c r="W168" i="54"/>
  <c r="W40" i="54"/>
  <c r="V86" i="54"/>
  <c r="V91" i="54"/>
  <c r="W27" i="54"/>
  <c r="V45" i="54"/>
  <c r="V49" i="54"/>
  <c r="V53" i="54"/>
  <c r="V57" i="54"/>
  <c r="W101" i="54"/>
  <c r="W20" i="54"/>
  <c r="V47" i="54"/>
  <c r="V51" i="54"/>
  <c r="V55" i="54"/>
  <c r="V99" i="54"/>
  <c r="W116" i="54"/>
  <c r="V110" i="54"/>
  <c r="W112" i="54"/>
  <c r="V163" i="54"/>
  <c r="V159" i="54"/>
  <c r="W80" i="54"/>
  <c r="W36" i="54"/>
  <c r="V150" i="54"/>
  <c r="V30" i="54"/>
  <c r="V28" i="54"/>
  <c r="W26" i="54"/>
  <c r="V21" i="54"/>
  <c r="V18" i="54"/>
  <c r="V13" i="54"/>
  <c r="W11" i="54"/>
  <c r="V155" i="54"/>
  <c r="V158" i="54"/>
  <c r="V162" i="54"/>
  <c r="V151" i="54"/>
  <c r="V153" i="54"/>
  <c r="V170" i="54"/>
  <c r="W171" i="54"/>
  <c r="V174" i="54"/>
  <c r="W130" i="54"/>
  <c r="V129" i="54"/>
  <c r="W9" i="54"/>
  <c r="V136" i="54"/>
  <c r="V161" i="54"/>
  <c r="V143" i="54"/>
  <c r="V148" i="54"/>
  <c r="W149" i="54"/>
  <c r="V152" i="54"/>
  <c r="V154" i="54"/>
  <c r="V160" i="54"/>
  <c r="V167" i="54"/>
  <c r="V144" i="54"/>
  <c r="W78" i="54"/>
  <c r="V85" i="54"/>
  <c r="W89" i="54"/>
  <c r="V74" i="54"/>
  <c r="W76" i="54"/>
  <c r="V84" i="54"/>
  <c r="V88" i="54"/>
  <c r="V95" i="54"/>
  <c r="V68" i="54"/>
  <c r="W82" i="54"/>
  <c r="V93" i="54"/>
  <c r="W10" i="54"/>
  <c r="V12" i="54"/>
  <c r="V24" i="54"/>
  <c r="V37" i="54"/>
  <c r="V39" i="54"/>
  <c r="V41" i="54"/>
  <c r="V43" i="54"/>
  <c r="V8" i="54"/>
  <c r="W44" i="54"/>
  <c r="J59" i="54"/>
  <c r="W73" i="54"/>
  <c r="V73" i="54"/>
  <c r="W7" i="54"/>
  <c r="V7" i="54"/>
  <c r="W25" i="54"/>
  <c r="V25" i="54"/>
  <c r="V35" i="54"/>
  <c r="W35" i="54"/>
  <c r="W16" i="54"/>
  <c r="V16" i="54"/>
  <c r="W19" i="54"/>
  <c r="V19" i="54"/>
  <c r="V32" i="54"/>
  <c r="W32" i="54"/>
  <c r="W14" i="54"/>
  <c r="V14" i="54"/>
  <c r="W34" i="54"/>
  <c r="V34" i="54"/>
  <c r="J121" i="54"/>
  <c r="W67" i="54"/>
  <c r="V67" i="54"/>
  <c r="W15" i="54"/>
  <c r="V15" i="54"/>
  <c r="W31" i="54"/>
  <c r="V31" i="54"/>
  <c r="V33" i="54"/>
  <c r="W33" i="54"/>
  <c r="W134" i="54"/>
  <c r="V134" i="54"/>
  <c r="J175" i="54"/>
  <c r="W138" i="54"/>
  <c r="V138" i="54"/>
  <c r="W142" i="54"/>
  <c r="V142" i="54"/>
  <c r="W147" i="54"/>
  <c r="V147" i="54"/>
  <c r="W164" i="54"/>
  <c r="V164" i="54"/>
  <c r="W6" i="54"/>
  <c r="V17" i="54"/>
  <c r="V22" i="54"/>
  <c r="V23" i="54"/>
  <c r="V29" i="54"/>
  <c r="V38" i="54"/>
  <c r="V42" i="54"/>
  <c r="V46" i="54"/>
  <c r="V50" i="54"/>
  <c r="V54" i="54"/>
  <c r="V58" i="54"/>
  <c r="V69" i="54"/>
  <c r="V70" i="54"/>
  <c r="V71" i="54"/>
  <c r="V72" i="54"/>
  <c r="W77" i="54"/>
  <c r="W81" i="54"/>
  <c r="V92" i="54"/>
  <c r="V96" i="54"/>
  <c r="V100" i="54"/>
  <c r="W111" i="54"/>
  <c r="W115" i="54"/>
  <c r="W118" i="54"/>
  <c r="V118" i="54"/>
  <c r="W120" i="54"/>
  <c r="V120" i="54"/>
  <c r="V131" i="54"/>
  <c r="V133" i="54"/>
  <c r="W139" i="54"/>
  <c r="V139" i="54"/>
  <c r="W156" i="54"/>
  <c r="V156" i="54"/>
  <c r="W165" i="54"/>
  <c r="V165" i="54"/>
  <c r="W114" i="54"/>
  <c r="W135" i="54"/>
  <c r="V137" i="54"/>
  <c r="W140" i="54"/>
  <c r="V140" i="54"/>
  <c r="W145" i="54"/>
  <c r="V145" i="54"/>
  <c r="W157" i="54"/>
  <c r="V157" i="54"/>
  <c r="W75" i="54"/>
  <c r="W79" i="54"/>
  <c r="W83" i="54"/>
  <c r="V90" i="54"/>
  <c r="V94" i="54"/>
  <c r="V98" i="54"/>
  <c r="W113" i="54"/>
  <c r="W117" i="54"/>
  <c r="W119" i="54"/>
  <c r="V119" i="54"/>
  <c r="V132" i="54"/>
  <c r="W141" i="54"/>
  <c r="V141" i="54"/>
  <c r="W146" i="54"/>
  <c r="V146" i="54"/>
  <c r="H175" i="53"/>
  <c r="W175" i="54" l="1"/>
  <c r="P8" i="54" s="1"/>
  <c r="V175" i="54"/>
  <c r="O8" i="54" s="1"/>
  <c r="V59" i="54"/>
  <c r="O4" i="54" s="1"/>
  <c r="W59" i="54"/>
  <c r="V121" i="54"/>
  <c r="O6" i="54" s="1"/>
  <c r="W121" i="54"/>
  <c r="P6" i="54" s="1"/>
  <c r="H173" i="53"/>
  <c r="H172" i="53"/>
  <c r="J91" i="53"/>
  <c r="J92" i="53"/>
  <c r="Q8" i="54" l="1"/>
  <c r="R8" i="54"/>
  <c r="Q6" i="54"/>
  <c r="R6" i="54"/>
  <c r="P4" i="54"/>
  <c r="P10" i="54" s="1"/>
  <c r="O10" i="54"/>
  <c r="R10" i="54" s="1"/>
  <c r="P12" i="54" s="1"/>
  <c r="Q4" i="54"/>
  <c r="Q10" i="54" s="1"/>
  <c r="R4" i="54"/>
  <c r="H171" i="53"/>
  <c r="H166" i="53"/>
  <c r="H90" i="53"/>
  <c r="H89" i="53"/>
  <c r="H35" i="53" l="1"/>
  <c r="H34" i="53"/>
  <c r="H33" i="53"/>
  <c r="H32" i="53"/>
  <c r="H165" i="53" l="1"/>
  <c r="H164" i="53"/>
  <c r="H160" i="53"/>
  <c r="H84" i="53"/>
  <c r="H31" i="53"/>
  <c r="H27" i="53"/>
  <c r="H25" i="53" l="1"/>
  <c r="H23" i="53"/>
  <c r="H156" i="53"/>
  <c r="H155" i="53"/>
  <c r="H153" i="53" l="1"/>
  <c r="H152" i="53"/>
  <c r="H151" i="53"/>
  <c r="H150" i="53"/>
  <c r="H75" i="53"/>
  <c r="H73" i="53"/>
  <c r="H19" i="53"/>
  <c r="H16" i="53"/>
  <c r="H15" i="53"/>
  <c r="H146" i="53" l="1"/>
  <c r="H14" i="53"/>
  <c r="H11" i="53"/>
  <c r="H145" i="53"/>
  <c r="J145" i="53" s="1"/>
  <c r="H144" i="53"/>
  <c r="H143" i="53"/>
  <c r="H142" i="53"/>
  <c r="H7" i="53"/>
  <c r="H69" i="53"/>
  <c r="H139" i="53"/>
  <c r="H67" i="53"/>
  <c r="J182" i="53"/>
  <c r="V182" i="53" s="1"/>
  <c r="J181" i="53"/>
  <c r="J180" i="53"/>
  <c r="J179" i="53"/>
  <c r="W179" i="53" s="1"/>
  <c r="W178" i="53"/>
  <c r="V178" i="53"/>
  <c r="J178" i="53"/>
  <c r="J177" i="53"/>
  <c r="V177" i="53" s="1"/>
  <c r="V176" i="53"/>
  <c r="J176" i="53"/>
  <c r="W176" i="53" s="1"/>
  <c r="J175" i="53"/>
  <c r="J174" i="53"/>
  <c r="J173" i="53"/>
  <c r="W173" i="53" s="1"/>
  <c r="J172" i="53"/>
  <c r="W172" i="53" s="1"/>
  <c r="J171" i="53"/>
  <c r="W171" i="53" s="1"/>
  <c r="J170" i="53"/>
  <c r="V170" i="53" s="1"/>
  <c r="J169" i="53"/>
  <c r="V169" i="53" s="1"/>
  <c r="J168" i="53"/>
  <c r="J167" i="53"/>
  <c r="J166" i="53"/>
  <c r="W166" i="53" s="1"/>
  <c r="J165" i="53"/>
  <c r="J164" i="53"/>
  <c r="J163" i="53"/>
  <c r="W163" i="53" s="1"/>
  <c r="J162" i="53"/>
  <c r="W162" i="53" s="1"/>
  <c r="J161" i="53"/>
  <c r="W161" i="53" s="1"/>
  <c r="J160" i="53"/>
  <c r="V160" i="53" s="1"/>
  <c r="J159" i="53"/>
  <c r="J158" i="53"/>
  <c r="J157" i="53"/>
  <c r="V157" i="53" s="1"/>
  <c r="J156" i="53"/>
  <c r="V156" i="53" s="1"/>
  <c r="J155" i="53"/>
  <c r="V155" i="53" s="1"/>
  <c r="J154" i="53"/>
  <c r="V154" i="53" s="1"/>
  <c r="J153" i="53"/>
  <c r="V153" i="53" s="1"/>
  <c r="J152" i="53"/>
  <c r="J151" i="53"/>
  <c r="W151" i="53" s="1"/>
  <c r="J150" i="53"/>
  <c r="W150" i="53" s="1"/>
  <c r="J149" i="53"/>
  <c r="V149" i="53" s="1"/>
  <c r="J148" i="53"/>
  <c r="J147" i="53"/>
  <c r="J146" i="53"/>
  <c r="W146" i="53" s="1"/>
  <c r="J144" i="53"/>
  <c r="J143" i="53"/>
  <c r="V143" i="53" s="1"/>
  <c r="B143" i="53"/>
  <c r="B144" i="53" s="1"/>
  <c r="B145" i="53" s="1"/>
  <c r="B146" i="53" s="1"/>
  <c r="B147" i="53" s="1"/>
  <c r="B148" i="53" s="1"/>
  <c r="B149" i="53" s="1"/>
  <c r="B150" i="53" s="1"/>
  <c r="B151" i="53" s="1"/>
  <c r="B152" i="53" s="1"/>
  <c r="B153" i="53" s="1"/>
  <c r="B154" i="53" s="1"/>
  <c r="B155" i="53" s="1"/>
  <c r="B156" i="53" s="1"/>
  <c r="B157" i="53" s="1"/>
  <c r="B158" i="53" s="1"/>
  <c r="B159" i="53" s="1"/>
  <c r="B160" i="53" s="1"/>
  <c r="B161" i="53" s="1"/>
  <c r="B162" i="53" s="1"/>
  <c r="B163" i="53" s="1"/>
  <c r="B164" i="53" s="1"/>
  <c r="B165" i="53" s="1"/>
  <c r="B166" i="53" s="1"/>
  <c r="B167" i="53" s="1"/>
  <c r="B168" i="53" s="1"/>
  <c r="B169" i="53" s="1"/>
  <c r="B170" i="53" s="1"/>
  <c r="B171" i="53" s="1"/>
  <c r="B172" i="53" s="1"/>
  <c r="B173" i="53" s="1"/>
  <c r="B174" i="53" s="1"/>
  <c r="B175" i="53" s="1"/>
  <c r="B176" i="53" s="1"/>
  <c r="B177" i="53" s="1"/>
  <c r="B178" i="53" s="1"/>
  <c r="B179" i="53" s="1"/>
  <c r="B180" i="53" s="1"/>
  <c r="B181" i="53" s="1"/>
  <c r="B182" i="53" s="1"/>
  <c r="J142" i="53"/>
  <c r="J141" i="53"/>
  <c r="J140" i="53"/>
  <c r="W140" i="53" s="1"/>
  <c r="J139" i="53"/>
  <c r="V139" i="53" s="1"/>
  <c r="B139" i="53"/>
  <c r="B140" i="53" s="1"/>
  <c r="B141" i="53" s="1"/>
  <c r="B142" i="53" s="1"/>
  <c r="J138" i="53"/>
  <c r="V138" i="53" s="1"/>
  <c r="B138" i="53"/>
  <c r="J137" i="53"/>
  <c r="W128" i="53"/>
  <c r="J128" i="53"/>
  <c r="V128" i="53" s="1"/>
  <c r="J127" i="53"/>
  <c r="V127" i="53" s="1"/>
  <c r="W126" i="53"/>
  <c r="J126" i="53"/>
  <c r="V126" i="53" s="1"/>
  <c r="J125" i="53"/>
  <c r="V125" i="53" s="1"/>
  <c r="W124" i="53"/>
  <c r="J124" i="53"/>
  <c r="V124" i="53" s="1"/>
  <c r="J123" i="53"/>
  <c r="V123" i="53" s="1"/>
  <c r="J122" i="53"/>
  <c r="V122" i="53" s="1"/>
  <c r="J121" i="53"/>
  <c r="V121" i="53" s="1"/>
  <c r="J120" i="53"/>
  <c r="V120" i="53" s="1"/>
  <c r="J119" i="53"/>
  <c r="V119" i="53" s="1"/>
  <c r="J118" i="53"/>
  <c r="V118" i="53" s="1"/>
  <c r="W117" i="53"/>
  <c r="J117" i="53"/>
  <c r="V117" i="53" s="1"/>
  <c r="J116" i="53"/>
  <c r="V116" i="53" s="1"/>
  <c r="W115" i="53"/>
  <c r="J115" i="53"/>
  <c r="V115" i="53" s="1"/>
  <c r="J114" i="53"/>
  <c r="V114" i="53" s="1"/>
  <c r="W113" i="53"/>
  <c r="J113" i="53"/>
  <c r="V113" i="53" s="1"/>
  <c r="B113" i="53"/>
  <c r="B114" i="53" s="1"/>
  <c r="B115" i="53" s="1"/>
  <c r="B116" i="53" s="1"/>
  <c r="B117" i="53" s="1"/>
  <c r="B118" i="53" s="1"/>
  <c r="B119" i="53" s="1"/>
  <c r="B120" i="53" s="1"/>
  <c r="B121" i="53" s="1"/>
  <c r="B122" i="53" s="1"/>
  <c r="B123" i="53" s="1"/>
  <c r="B124" i="53" s="1"/>
  <c r="B125" i="53" s="1"/>
  <c r="B126" i="53" s="1"/>
  <c r="B127" i="53" s="1"/>
  <c r="B128" i="53" s="1"/>
  <c r="J112" i="53"/>
  <c r="V112" i="53" s="1"/>
  <c r="B112" i="53"/>
  <c r="W111" i="53"/>
  <c r="J111" i="53"/>
  <c r="V111" i="53" s="1"/>
  <c r="J110" i="53"/>
  <c r="W110" i="53" s="1"/>
  <c r="J109" i="53"/>
  <c r="J108" i="53"/>
  <c r="J107" i="53"/>
  <c r="J106" i="53"/>
  <c r="J105" i="53"/>
  <c r="J104" i="53"/>
  <c r="J103" i="53"/>
  <c r="J102" i="53"/>
  <c r="J101" i="53"/>
  <c r="W101" i="53" s="1"/>
  <c r="J100" i="53"/>
  <c r="J99" i="53"/>
  <c r="V99" i="53" s="1"/>
  <c r="J98" i="53"/>
  <c r="V98" i="53" s="1"/>
  <c r="J97" i="53"/>
  <c r="J96" i="53"/>
  <c r="J95" i="53"/>
  <c r="J94" i="53"/>
  <c r="J93" i="53"/>
  <c r="W92" i="53"/>
  <c r="W91" i="53"/>
  <c r="J90" i="53"/>
  <c r="V90" i="53" s="1"/>
  <c r="J89" i="53"/>
  <c r="V89" i="53" s="1"/>
  <c r="J88" i="53"/>
  <c r="J87" i="53"/>
  <c r="J86" i="53"/>
  <c r="J85" i="53"/>
  <c r="J84" i="53"/>
  <c r="W84" i="53" s="1"/>
  <c r="J83" i="53"/>
  <c r="W83" i="53" s="1"/>
  <c r="J82" i="53"/>
  <c r="W82" i="53" s="1"/>
  <c r="J81" i="53"/>
  <c r="W81" i="53" s="1"/>
  <c r="J80" i="53"/>
  <c r="W80" i="53" s="1"/>
  <c r="W79" i="53"/>
  <c r="J79" i="53"/>
  <c r="V79" i="53" s="1"/>
  <c r="J78" i="53"/>
  <c r="V78" i="53" s="1"/>
  <c r="J77" i="53"/>
  <c r="V77" i="53" s="1"/>
  <c r="J76" i="53"/>
  <c r="J75" i="53"/>
  <c r="J74" i="53"/>
  <c r="J73" i="53"/>
  <c r="J72" i="53"/>
  <c r="J71" i="53"/>
  <c r="J70" i="53"/>
  <c r="J69" i="53"/>
  <c r="J68" i="53"/>
  <c r="B68" i="53"/>
  <c r="B69" i="53" s="1"/>
  <c r="B70" i="53" s="1"/>
  <c r="B71" i="53" s="1"/>
  <c r="B72" i="53" s="1"/>
  <c r="B73" i="53" s="1"/>
  <c r="B74" i="53" s="1"/>
  <c r="B75" i="53" s="1"/>
  <c r="B76" i="53" s="1"/>
  <c r="B77" i="53" s="1"/>
  <c r="B78" i="53" s="1"/>
  <c r="B79" i="53" s="1"/>
  <c r="B80" i="53" s="1"/>
  <c r="B81" i="53" s="1"/>
  <c r="B82" i="53" s="1"/>
  <c r="B83" i="53" s="1"/>
  <c r="B84" i="53" s="1"/>
  <c r="B85" i="53" s="1"/>
  <c r="B86" i="53" s="1"/>
  <c r="B87" i="53" s="1"/>
  <c r="B88" i="53" s="1"/>
  <c r="B89" i="53" s="1"/>
  <c r="B90" i="53" s="1"/>
  <c r="B91" i="53" s="1"/>
  <c r="B92" i="53" s="1"/>
  <c r="B93" i="53" s="1"/>
  <c r="B94" i="53" s="1"/>
  <c r="B95" i="53" s="1"/>
  <c r="B96" i="53" s="1"/>
  <c r="B97" i="53" s="1"/>
  <c r="B98" i="53" s="1"/>
  <c r="B99" i="53" s="1"/>
  <c r="B100" i="53" s="1"/>
  <c r="J67" i="53"/>
  <c r="W58" i="53"/>
  <c r="J58" i="53"/>
  <c r="V58" i="53" s="1"/>
  <c r="V57" i="53"/>
  <c r="J57" i="53"/>
  <c r="W57" i="53" s="1"/>
  <c r="J56" i="53"/>
  <c r="J55" i="53"/>
  <c r="W55" i="53" s="1"/>
  <c r="W54" i="53"/>
  <c r="J54" i="53"/>
  <c r="V54" i="53" s="1"/>
  <c r="J53" i="53"/>
  <c r="W53" i="53" s="1"/>
  <c r="J52" i="53"/>
  <c r="J51" i="53"/>
  <c r="W51" i="53" s="1"/>
  <c r="J50" i="53"/>
  <c r="V50" i="53" s="1"/>
  <c r="V49" i="53"/>
  <c r="J49" i="53"/>
  <c r="W49" i="53" s="1"/>
  <c r="J48" i="53"/>
  <c r="J47" i="53"/>
  <c r="W47" i="53" s="1"/>
  <c r="J46" i="53"/>
  <c r="V46" i="53" s="1"/>
  <c r="J45" i="53"/>
  <c r="W45" i="53" s="1"/>
  <c r="W44" i="53"/>
  <c r="J44" i="53"/>
  <c r="V44" i="53" s="1"/>
  <c r="J43" i="53"/>
  <c r="J42" i="53"/>
  <c r="J41" i="53"/>
  <c r="W41" i="53" s="1"/>
  <c r="J40" i="53"/>
  <c r="V40" i="53" s="1"/>
  <c r="J39" i="53"/>
  <c r="W39" i="53" s="1"/>
  <c r="J38" i="53"/>
  <c r="W38" i="53" s="1"/>
  <c r="W37" i="53"/>
  <c r="J37" i="53"/>
  <c r="V37" i="53" s="1"/>
  <c r="J36" i="53"/>
  <c r="J35" i="53"/>
  <c r="J34" i="53"/>
  <c r="J33" i="53"/>
  <c r="W33" i="53" s="1"/>
  <c r="J32" i="53"/>
  <c r="V32" i="53" s="1"/>
  <c r="J31" i="53"/>
  <c r="V31" i="53" s="1"/>
  <c r="J30" i="53"/>
  <c r="W30" i="53" s="1"/>
  <c r="J29" i="53"/>
  <c r="J28" i="53"/>
  <c r="J27" i="53"/>
  <c r="J26" i="53"/>
  <c r="W26" i="53" s="1"/>
  <c r="J25" i="53"/>
  <c r="V25" i="53" s="1"/>
  <c r="J24" i="53"/>
  <c r="W24" i="53" s="1"/>
  <c r="J23" i="53"/>
  <c r="J22" i="53"/>
  <c r="J21" i="53"/>
  <c r="J20" i="53"/>
  <c r="J19" i="53"/>
  <c r="J18" i="53"/>
  <c r="J17" i="53"/>
  <c r="V17" i="53" s="1"/>
  <c r="J16" i="53"/>
  <c r="W16" i="53" s="1"/>
  <c r="J15" i="53"/>
  <c r="W15" i="53" s="1"/>
  <c r="J14" i="53"/>
  <c r="J13" i="53"/>
  <c r="J12" i="53"/>
  <c r="J11" i="53"/>
  <c r="Q10" i="53"/>
  <c r="P10" i="53"/>
  <c r="O10" i="53"/>
  <c r="J10" i="53"/>
  <c r="V10" i="53" s="1"/>
  <c r="J9" i="53"/>
  <c r="R8" i="53"/>
  <c r="J8" i="53"/>
  <c r="V8" i="53" s="1"/>
  <c r="J7" i="53"/>
  <c r="N6" i="53"/>
  <c r="R6" i="53" s="1"/>
  <c r="J6" i="53"/>
  <c r="W6" i="53" s="1"/>
  <c r="N4" i="53"/>
  <c r="W145" i="53" l="1"/>
  <c r="V145" i="53"/>
  <c r="W50" i="53"/>
  <c r="V53" i="53"/>
  <c r="V110" i="53"/>
  <c r="W114" i="53"/>
  <c r="W119" i="53"/>
  <c r="W121" i="53"/>
  <c r="W123" i="53"/>
  <c r="W125" i="53"/>
  <c r="W127" i="53"/>
  <c r="V84" i="53"/>
  <c r="W116" i="53"/>
  <c r="W118" i="53"/>
  <c r="W112" i="53"/>
  <c r="W120" i="53"/>
  <c r="W122" i="53"/>
  <c r="V173" i="53"/>
  <c r="V39" i="53"/>
  <c r="V171" i="53"/>
  <c r="V82" i="53"/>
  <c r="V80" i="53"/>
  <c r="W25" i="53"/>
  <c r="W78" i="53"/>
  <c r="V150" i="53"/>
  <c r="W17" i="53"/>
  <c r="V24" i="53"/>
  <c r="W31" i="53"/>
  <c r="W8" i="53"/>
  <c r="V16" i="53"/>
  <c r="V30" i="53"/>
  <c r="W40" i="53"/>
  <c r="W46" i="53"/>
  <c r="V81" i="53"/>
  <c r="V91" i="53"/>
  <c r="V101" i="53"/>
  <c r="W90" i="53"/>
  <c r="W99" i="53"/>
  <c r="W139" i="53"/>
  <c r="W149" i="53"/>
  <c r="W157" i="53"/>
  <c r="W170" i="53"/>
  <c r="W177" i="53"/>
  <c r="W154" i="53"/>
  <c r="W156" i="53"/>
  <c r="V161" i="53"/>
  <c r="V163" i="53"/>
  <c r="V166" i="53"/>
  <c r="V172" i="53"/>
  <c r="V146" i="53"/>
  <c r="W153" i="53"/>
  <c r="W155" i="53"/>
  <c r="W13" i="53"/>
  <c r="V13" i="53"/>
  <c r="W7" i="53"/>
  <c r="J59" i="53"/>
  <c r="V7" i="53"/>
  <c r="V29" i="53"/>
  <c r="W29" i="53"/>
  <c r="V36" i="53"/>
  <c r="W36" i="53"/>
  <c r="V56" i="53"/>
  <c r="W56" i="53"/>
  <c r="W88" i="53"/>
  <c r="V88" i="53"/>
  <c r="W97" i="53"/>
  <c r="V97" i="53"/>
  <c r="W137" i="53"/>
  <c r="V137" i="53"/>
  <c r="J183" i="53"/>
  <c r="W180" i="53"/>
  <c r="V180" i="53"/>
  <c r="V15" i="53"/>
  <c r="W20" i="53"/>
  <c r="V20" i="53"/>
  <c r="V38" i="53"/>
  <c r="W52" i="53"/>
  <c r="V52" i="53"/>
  <c r="W85" i="53"/>
  <c r="V85" i="53"/>
  <c r="W147" i="53"/>
  <c r="V147" i="53"/>
  <c r="W9" i="53"/>
  <c r="V9" i="53"/>
  <c r="W12" i="53"/>
  <c r="V12" i="53"/>
  <c r="W27" i="53"/>
  <c r="V27" i="53"/>
  <c r="W35" i="53"/>
  <c r="V35" i="53"/>
  <c r="V45" i="53"/>
  <c r="V48" i="53"/>
  <c r="W48" i="53"/>
  <c r="V67" i="53"/>
  <c r="J129" i="53"/>
  <c r="W67" i="53"/>
  <c r="W86" i="53"/>
  <c r="V86" i="53"/>
  <c r="W95" i="53"/>
  <c r="V95" i="53"/>
  <c r="W141" i="53"/>
  <c r="V141" i="53"/>
  <c r="V144" i="53"/>
  <c r="W144" i="53"/>
  <c r="V148" i="53"/>
  <c r="W148" i="53"/>
  <c r="W158" i="53"/>
  <c r="V158" i="53"/>
  <c r="W164" i="53"/>
  <c r="V164" i="53"/>
  <c r="W168" i="53"/>
  <c r="V168" i="53"/>
  <c r="W174" i="53"/>
  <c r="V174" i="53"/>
  <c r="N10" i="53"/>
  <c r="R10" i="53" s="1"/>
  <c r="P12" i="53" s="1"/>
  <c r="R4" i="53"/>
  <c r="W10" i="53"/>
  <c r="W19" i="53"/>
  <c r="V19" i="53"/>
  <c r="W93" i="53"/>
  <c r="V93" i="53"/>
  <c r="W11" i="53"/>
  <c r="V11" i="53"/>
  <c r="W22" i="53"/>
  <c r="V22" i="53"/>
  <c r="W34" i="53"/>
  <c r="V34" i="53"/>
  <c r="V43" i="53"/>
  <c r="W43" i="53"/>
  <c r="W100" i="53"/>
  <c r="V100" i="53"/>
  <c r="W167" i="53"/>
  <c r="V167" i="53"/>
  <c r="W14" i="53"/>
  <c r="V14" i="53"/>
  <c r="W18" i="53"/>
  <c r="V18" i="53"/>
  <c r="V21" i="53"/>
  <c r="W21" i="53"/>
  <c r="V23" i="53"/>
  <c r="W23" i="53"/>
  <c r="W28" i="53"/>
  <c r="V28" i="53"/>
  <c r="W32" i="53"/>
  <c r="V42" i="53"/>
  <c r="W42" i="53"/>
  <c r="W152" i="53"/>
  <c r="V152" i="53"/>
  <c r="W159" i="53"/>
  <c r="V159" i="53"/>
  <c r="V165" i="53"/>
  <c r="W165" i="53"/>
  <c r="V175" i="53"/>
  <c r="W175" i="53"/>
  <c r="W69" i="53"/>
  <c r="V69" i="53"/>
  <c r="W73" i="53"/>
  <c r="V73" i="53"/>
  <c r="W75" i="53"/>
  <c r="V75" i="53"/>
  <c r="V6" i="53"/>
  <c r="V26" i="53"/>
  <c r="V33" i="53"/>
  <c r="V41" i="53"/>
  <c r="V47" i="53"/>
  <c r="V51" i="53"/>
  <c r="V55" i="53"/>
  <c r="W77" i="53"/>
  <c r="V83" i="53"/>
  <c r="W87" i="53"/>
  <c r="V87" i="53"/>
  <c r="V92" i="53"/>
  <c r="W94" i="53"/>
  <c r="V94" i="53"/>
  <c r="W96" i="53"/>
  <c r="V96" i="53"/>
  <c r="W143" i="53"/>
  <c r="W160" i="53"/>
  <c r="V162" i="53"/>
  <c r="W169" i="53"/>
  <c r="W182" i="53"/>
  <c r="W71" i="53"/>
  <c r="V71" i="53"/>
  <c r="W68" i="53"/>
  <c r="V68" i="53"/>
  <c r="W70" i="53"/>
  <c r="V70" i="53"/>
  <c r="W72" i="53"/>
  <c r="V72" i="53"/>
  <c r="W74" i="53"/>
  <c r="V74" i="53"/>
  <c r="W76" i="53"/>
  <c r="V76" i="53"/>
  <c r="W89" i="53"/>
  <c r="W98" i="53"/>
  <c r="W138" i="53"/>
  <c r="V140" i="53"/>
  <c r="W142" i="53"/>
  <c r="V142" i="53"/>
  <c r="V151" i="53"/>
  <c r="V179" i="53"/>
  <c r="W181" i="53"/>
  <c r="V181" i="53"/>
  <c r="H182" i="52"/>
  <c r="H180" i="52"/>
  <c r="H179" i="52"/>
  <c r="H102" i="52"/>
  <c r="H101" i="52"/>
  <c r="H45" i="52"/>
  <c r="H100" i="52"/>
  <c r="H176" i="52"/>
  <c r="H175" i="52"/>
  <c r="H174" i="52"/>
  <c r="H98" i="52"/>
  <c r="H43" i="52"/>
  <c r="W59" i="53" l="1"/>
  <c r="W183" i="53"/>
  <c r="V59" i="53"/>
  <c r="V129" i="53"/>
  <c r="W129" i="53"/>
  <c r="V183" i="53"/>
  <c r="H173" i="52"/>
  <c r="H39" i="52"/>
  <c r="H38" i="52"/>
  <c r="H170" i="52" l="1"/>
  <c r="H169" i="52"/>
  <c r="H168" i="52"/>
  <c r="H167" i="52"/>
  <c r="H166" i="52"/>
  <c r="H165" i="52"/>
  <c r="H164" i="52"/>
  <c r="H93" i="52"/>
  <c r="H92" i="52"/>
  <c r="H91" i="52"/>
  <c r="H89" i="52"/>
  <c r="H36" i="52" l="1"/>
  <c r="H34" i="52"/>
  <c r="H32" i="52"/>
  <c r="H28" i="52" l="1"/>
  <c r="H162" i="52"/>
  <c r="H161" i="52"/>
  <c r="H160" i="52"/>
  <c r="H159" i="52"/>
  <c r="H27" i="52"/>
  <c r="H23" i="52"/>
  <c r="H158" i="52"/>
  <c r="H157" i="52"/>
  <c r="H22" i="52"/>
  <c r="H21" i="52"/>
  <c r="H85" i="52"/>
  <c r="H83" i="52"/>
  <c r="H153" i="52" l="1"/>
  <c r="H152" i="52"/>
  <c r="H151" i="52"/>
  <c r="H149" i="52"/>
  <c r="J149" i="52" s="1"/>
  <c r="W149" i="52" s="1"/>
  <c r="H148" i="52"/>
  <c r="H147" i="52"/>
  <c r="H146" i="52"/>
  <c r="H144" i="52"/>
  <c r="H143" i="52"/>
  <c r="H141" i="52"/>
  <c r="H140" i="52"/>
  <c r="H139" i="52"/>
  <c r="J139" i="52" s="1"/>
  <c r="W139" i="52" s="1"/>
  <c r="H80" i="52"/>
  <c r="H138" i="52"/>
  <c r="H137" i="52"/>
  <c r="H77" i="52"/>
  <c r="H19" i="52"/>
  <c r="H14" i="52"/>
  <c r="H13" i="52"/>
  <c r="H10" i="52"/>
  <c r="H8" i="52"/>
  <c r="H7" i="52"/>
  <c r="J182" i="52"/>
  <c r="V182" i="52" s="1"/>
  <c r="J181" i="52"/>
  <c r="V181" i="52" s="1"/>
  <c r="J180" i="52"/>
  <c r="V180" i="52" s="1"/>
  <c r="J179" i="52"/>
  <c r="V179" i="52" s="1"/>
  <c r="J178" i="52"/>
  <c r="V178" i="52" s="1"/>
  <c r="J177" i="52"/>
  <c r="V177" i="52" s="1"/>
  <c r="J176" i="52"/>
  <c r="V176" i="52" s="1"/>
  <c r="J175" i="52"/>
  <c r="V175" i="52" s="1"/>
  <c r="J174" i="52"/>
  <c r="V174" i="52" s="1"/>
  <c r="J173" i="52"/>
  <c r="V173" i="52" s="1"/>
  <c r="J172" i="52"/>
  <c r="V172" i="52" s="1"/>
  <c r="J171" i="52"/>
  <c r="V171" i="52" s="1"/>
  <c r="J170" i="52"/>
  <c r="V170" i="52" s="1"/>
  <c r="J169" i="52"/>
  <c r="J168" i="52"/>
  <c r="W168" i="52" s="1"/>
  <c r="J167" i="52"/>
  <c r="V167" i="52" s="1"/>
  <c r="J166" i="52"/>
  <c r="W166" i="52" s="1"/>
  <c r="J165" i="52"/>
  <c r="V165" i="52" s="1"/>
  <c r="J164" i="52"/>
  <c r="V164" i="52" s="1"/>
  <c r="J163" i="52"/>
  <c r="V163" i="52" s="1"/>
  <c r="J162" i="52"/>
  <c r="V162" i="52" s="1"/>
  <c r="W161" i="52"/>
  <c r="J161" i="52"/>
  <c r="V161" i="52" s="1"/>
  <c r="J160" i="52"/>
  <c r="V160" i="52" s="1"/>
  <c r="J159" i="52"/>
  <c r="V159" i="52" s="1"/>
  <c r="J158" i="52"/>
  <c r="J157" i="52"/>
  <c r="W157" i="52" s="1"/>
  <c r="J156" i="52"/>
  <c r="W156" i="52" s="1"/>
  <c r="J155" i="52"/>
  <c r="W155" i="52" s="1"/>
  <c r="J154" i="52"/>
  <c r="V154" i="52" s="1"/>
  <c r="J153" i="52"/>
  <c r="J152" i="52"/>
  <c r="J151" i="52"/>
  <c r="W151" i="52" s="1"/>
  <c r="J150" i="52"/>
  <c r="W150" i="52" s="1"/>
  <c r="J148" i="52"/>
  <c r="W148" i="52" s="1"/>
  <c r="J147" i="52"/>
  <c r="W147" i="52" s="1"/>
  <c r="W146" i="52"/>
  <c r="J146" i="52"/>
  <c r="V146" i="52" s="1"/>
  <c r="J145" i="52"/>
  <c r="V145" i="52" s="1"/>
  <c r="J144" i="52"/>
  <c r="J143" i="52"/>
  <c r="W143" i="52" s="1"/>
  <c r="J142" i="52"/>
  <c r="W142" i="52" s="1"/>
  <c r="J141" i="52"/>
  <c r="W141" i="52" s="1"/>
  <c r="J140" i="52"/>
  <c r="W140" i="52" s="1"/>
  <c r="J138" i="52"/>
  <c r="V138" i="52" s="1"/>
  <c r="B138" i="52"/>
  <c r="B139" i="52" s="1"/>
  <c r="B140" i="52" s="1"/>
  <c r="B141" i="52" s="1"/>
  <c r="B142" i="52" s="1"/>
  <c r="B143" i="52" s="1"/>
  <c r="B144" i="52" s="1"/>
  <c r="B145" i="52" s="1"/>
  <c r="B146" i="52" s="1"/>
  <c r="B147" i="52" s="1"/>
  <c r="B148" i="52" s="1"/>
  <c r="B149" i="52" s="1"/>
  <c r="B150" i="52" s="1"/>
  <c r="B151" i="52" s="1"/>
  <c r="B152" i="52" s="1"/>
  <c r="B153" i="52" s="1"/>
  <c r="B154" i="52" s="1"/>
  <c r="B155" i="52" s="1"/>
  <c r="B156" i="52" s="1"/>
  <c r="B157" i="52" s="1"/>
  <c r="B158" i="52" s="1"/>
  <c r="B159" i="52" s="1"/>
  <c r="B160" i="52" s="1"/>
  <c r="B161" i="52" s="1"/>
  <c r="B162" i="52" s="1"/>
  <c r="B163" i="52" s="1"/>
  <c r="B164" i="52" s="1"/>
  <c r="B165" i="52" s="1"/>
  <c r="B166" i="52" s="1"/>
  <c r="B167" i="52" s="1"/>
  <c r="B168" i="52" s="1"/>
  <c r="B169" i="52" s="1"/>
  <c r="B170" i="52" s="1"/>
  <c r="B171" i="52" s="1"/>
  <c r="B172" i="52" s="1"/>
  <c r="B173" i="52" s="1"/>
  <c r="B174" i="52" s="1"/>
  <c r="B175" i="52" s="1"/>
  <c r="B176" i="52" s="1"/>
  <c r="B177" i="52" s="1"/>
  <c r="B178" i="52" s="1"/>
  <c r="B179" i="52" s="1"/>
  <c r="B180" i="52" s="1"/>
  <c r="B181" i="52" s="1"/>
  <c r="B182" i="52" s="1"/>
  <c r="J137" i="52"/>
  <c r="W137" i="52" s="1"/>
  <c r="J128" i="52"/>
  <c r="J127" i="52"/>
  <c r="J126" i="52"/>
  <c r="J125" i="52"/>
  <c r="J124" i="52"/>
  <c r="J123" i="52"/>
  <c r="J122" i="52"/>
  <c r="J121" i="52"/>
  <c r="J120" i="52"/>
  <c r="J119" i="52"/>
  <c r="J118" i="52"/>
  <c r="J117" i="52"/>
  <c r="J116" i="52"/>
  <c r="J115" i="52"/>
  <c r="J114" i="52"/>
  <c r="J113" i="52"/>
  <c r="J112" i="52"/>
  <c r="B112" i="52"/>
  <c r="B113" i="52" s="1"/>
  <c r="B114" i="52" s="1"/>
  <c r="B115" i="52" s="1"/>
  <c r="B116" i="52" s="1"/>
  <c r="B117" i="52" s="1"/>
  <c r="B118" i="52" s="1"/>
  <c r="B119" i="52" s="1"/>
  <c r="B120" i="52" s="1"/>
  <c r="B121" i="52" s="1"/>
  <c r="B122" i="52" s="1"/>
  <c r="B123" i="52" s="1"/>
  <c r="B124" i="52" s="1"/>
  <c r="B125" i="52" s="1"/>
  <c r="B126" i="52" s="1"/>
  <c r="B127" i="52" s="1"/>
  <c r="B128" i="52" s="1"/>
  <c r="J111" i="52"/>
  <c r="J110" i="52"/>
  <c r="V110" i="52" s="1"/>
  <c r="J109" i="52"/>
  <c r="J108" i="52"/>
  <c r="J107" i="52"/>
  <c r="J106" i="52"/>
  <c r="J105" i="52"/>
  <c r="J104" i="52"/>
  <c r="J103" i="52"/>
  <c r="J102" i="52"/>
  <c r="J101" i="52"/>
  <c r="V101" i="52" s="1"/>
  <c r="J100" i="52"/>
  <c r="W100" i="52" s="1"/>
  <c r="J99" i="52"/>
  <c r="J98" i="52"/>
  <c r="W98" i="52" s="1"/>
  <c r="J97" i="52"/>
  <c r="V97" i="52" s="1"/>
  <c r="J96" i="52"/>
  <c r="W96" i="52" s="1"/>
  <c r="J95" i="52"/>
  <c r="V95" i="52" s="1"/>
  <c r="J94" i="52"/>
  <c r="W94" i="52" s="1"/>
  <c r="J93" i="52"/>
  <c r="W93" i="52" s="1"/>
  <c r="J92" i="52"/>
  <c r="W92" i="52" s="1"/>
  <c r="J90" i="52"/>
  <c r="J89" i="52"/>
  <c r="W89" i="52" s="1"/>
  <c r="J88" i="52"/>
  <c r="W88" i="52" s="1"/>
  <c r="J87" i="52"/>
  <c r="W87" i="52" s="1"/>
  <c r="J86" i="52"/>
  <c r="W86" i="52" s="1"/>
  <c r="J85" i="52"/>
  <c r="W85" i="52" s="1"/>
  <c r="J84" i="52"/>
  <c r="V84" i="52" s="1"/>
  <c r="J83" i="52"/>
  <c r="W83" i="52" s="1"/>
  <c r="J82" i="52"/>
  <c r="V82" i="52" s="1"/>
  <c r="J81" i="52"/>
  <c r="W81" i="52" s="1"/>
  <c r="J80" i="52"/>
  <c r="W80" i="52" s="1"/>
  <c r="J79" i="52"/>
  <c r="W79" i="52" s="1"/>
  <c r="J78" i="52"/>
  <c r="V78" i="52" s="1"/>
  <c r="J77" i="52"/>
  <c r="V77" i="52" s="1"/>
  <c r="J76" i="52"/>
  <c r="W76" i="52" s="1"/>
  <c r="J75" i="52"/>
  <c r="V75" i="52" s="1"/>
  <c r="J74" i="52"/>
  <c r="J73" i="52"/>
  <c r="W73" i="52" s="1"/>
  <c r="J72" i="52"/>
  <c r="V72" i="52" s="1"/>
  <c r="J71" i="52"/>
  <c r="W71" i="52" s="1"/>
  <c r="J70" i="52"/>
  <c r="V70" i="52" s="1"/>
  <c r="J69" i="52"/>
  <c r="V69" i="52" s="1"/>
  <c r="B69" i="52"/>
  <c r="B70" i="52" s="1"/>
  <c r="B71" i="52" s="1"/>
  <c r="B72" i="52" s="1"/>
  <c r="B73" i="52" s="1"/>
  <c r="B74" i="52" s="1"/>
  <c r="B75" i="52" s="1"/>
  <c r="B76" i="52" s="1"/>
  <c r="B77" i="52" s="1"/>
  <c r="B78" i="52" s="1"/>
  <c r="B79" i="52" s="1"/>
  <c r="B80" i="52" s="1"/>
  <c r="B81" i="52" s="1"/>
  <c r="B82" i="52" s="1"/>
  <c r="B83" i="52" s="1"/>
  <c r="B84" i="52" s="1"/>
  <c r="B85" i="52" s="1"/>
  <c r="B86" i="52" s="1"/>
  <c r="B87" i="52" s="1"/>
  <c r="B88" i="52" s="1"/>
  <c r="B89" i="52" s="1"/>
  <c r="B90" i="52" s="1"/>
  <c r="B91" i="52" s="1"/>
  <c r="B92" i="52" s="1"/>
  <c r="B93" i="52" s="1"/>
  <c r="B94" i="52" s="1"/>
  <c r="B95" i="52" s="1"/>
  <c r="B96" i="52" s="1"/>
  <c r="B97" i="52" s="1"/>
  <c r="B98" i="52" s="1"/>
  <c r="B99" i="52" s="1"/>
  <c r="B100" i="52" s="1"/>
  <c r="J68" i="52"/>
  <c r="W68" i="52" s="1"/>
  <c r="B68" i="52"/>
  <c r="J67" i="52"/>
  <c r="W58" i="52"/>
  <c r="J58" i="52"/>
  <c r="V58" i="52" s="1"/>
  <c r="J57" i="52"/>
  <c r="W57" i="52" s="1"/>
  <c r="J56" i="52"/>
  <c r="W56" i="52" s="1"/>
  <c r="J55" i="52"/>
  <c r="W55" i="52" s="1"/>
  <c r="J54" i="52"/>
  <c r="V54" i="52" s="1"/>
  <c r="J53" i="52"/>
  <c r="W53" i="52" s="1"/>
  <c r="W52" i="52"/>
  <c r="J52" i="52"/>
  <c r="V52" i="52" s="1"/>
  <c r="J51" i="52"/>
  <c r="W51" i="52" s="1"/>
  <c r="W50" i="52"/>
  <c r="J50" i="52"/>
  <c r="V50" i="52" s="1"/>
  <c r="J49" i="52"/>
  <c r="V49" i="52" s="1"/>
  <c r="J48" i="52"/>
  <c r="W48" i="52" s="1"/>
  <c r="J47" i="52"/>
  <c r="W47" i="52" s="1"/>
  <c r="J46" i="52"/>
  <c r="V46" i="52" s="1"/>
  <c r="J45" i="52"/>
  <c r="W45" i="52" s="1"/>
  <c r="J44" i="52"/>
  <c r="W44" i="52" s="1"/>
  <c r="J43" i="52"/>
  <c r="J42" i="52"/>
  <c r="J41" i="52"/>
  <c r="W41" i="52" s="1"/>
  <c r="J40" i="52"/>
  <c r="V40" i="52" s="1"/>
  <c r="J39" i="52"/>
  <c r="V39" i="52" s="1"/>
  <c r="J38" i="52"/>
  <c r="W38" i="52" s="1"/>
  <c r="W37" i="52"/>
  <c r="J37" i="52"/>
  <c r="V37" i="52" s="1"/>
  <c r="J36" i="52"/>
  <c r="J35" i="52"/>
  <c r="J34" i="52"/>
  <c r="W34" i="52" s="1"/>
  <c r="J33" i="52"/>
  <c r="W33" i="52" s="1"/>
  <c r="J32" i="52"/>
  <c r="W32" i="52" s="1"/>
  <c r="J31" i="52"/>
  <c r="J30" i="52"/>
  <c r="J29" i="52"/>
  <c r="W29" i="52" s="1"/>
  <c r="J28" i="52"/>
  <c r="V28" i="52" s="1"/>
  <c r="J27" i="52"/>
  <c r="V27" i="52" s="1"/>
  <c r="J26" i="52"/>
  <c r="V26" i="52" s="1"/>
  <c r="J25" i="52"/>
  <c r="W25" i="52" s="1"/>
  <c r="J24" i="52"/>
  <c r="W24" i="52" s="1"/>
  <c r="J23" i="52"/>
  <c r="W23" i="52" s="1"/>
  <c r="J22" i="52"/>
  <c r="J21" i="52"/>
  <c r="W21" i="52" s="1"/>
  <c r="J20" i="52"/>
  <c r="W20" i="52" s="1"/>
  <c r="J19" i="52"/>
  <c r="W19" i="52" s="1"/>
  <c r="J18" i="52"/>
  <c r="J17" i="52"/>
  <c r="W17" i="52" s="1"/>
  <c r="J16" i="52"/>
  <c r="V16" i="52" s="1"/>
  <c r="J15" i="52"/>
  <c r="W15" i="52" s="1"/>
  <c r="J14" i="52"/>
  <c r="W14" i="52" s="1"/>
  <c r="J13" i="52"/>
  <c r="J12" i="52"/>
  <c r="W12" i="52" s="1"/>
  <c r="J11" i="52"/>
  <c r="Q10" i="52"/>
  <c r="P10" i="52"/>
  <c r="J10" i="52"/>
  <c r="W10" i="52" s="1"/>
  <c r="J9" i="52"/>
  <c r="W9" i="52" s="1"/>
  <c r="R8" i="52"/>
  <c r="J8" i="52"/>
  <c r="W8" i="52" s="1"/>
  <c r="J7" i="52"/>
  <c r="V7" i="52" s="1"/>
  <c r="N6" i="52"/>
  <c r="R6" i="52" s="1"/>
  <c r="J6" i="52"/>
  <c r="W6" i="52" s="1"/>
  <c r="N4" i="52"/>
  <c r="V57" i="52" l="1"/>
  <c r="W49" i="52"/>
  <c r="V53" i="52"/>
  <c r="V55" i="52"/>
  <c r="W110" i="52"/>
  <c r="W138" i="52"/>
  <c r="W182" i="52"/>
  <c r="W181" i="52"/>
  <c r="W180" i="52"/>
  <c r="W179" i="52"/>
  <c r="W178" i="52"/>
  <c r="W177" i="52"/>
  <c r="W176" i="52"/>
  <c r="W175" i="52"/>
  <c r="W174" i="52"/>
  <c r="W95" i="52"/>
  <c r="W167" i="52"/>
  <c r="W165" i="52"/>
  <c r="W163" i="52"/>
  <c r="V86" i="52"/>
  <c r="V94" i="52"/>
  <c r="W27" i="52"/>
  <c r="V25" i="52"/>
  <c r="V85" i="52"/>
  <c r="V151" i="52"/>
  <c r="V149" i="52"/>
  <c r="V142" i="52"/>
  <c r="V139" i="52"/>
  <c r="W75" i="52"/>
  <c r="V71" i="52"/>
  <c r="W78" i="52"/>
  <c r="V81" i="52"/>
  <c r="W82" i="52"/>
  <c r="V89" i="52"/>
  <c r="W72" i="52"/>
  <c r="V137" i="52"/>
  <c r="V68" i="52"/>
  <c r="V15" i="52"/>
  <c r="V14" i="52"/>
  <c r="V141" i="52"/>
  <c r="V148" i="52"/>
  <c r="W171" i="52"/>
  <c r="W173" i="52"/>
  <c r="V140" i="52"/>
  <c r="V147" i="52"/>
  <c r="V157" i="52"/>
  <c r="W160" i="52"/>
  <c r="W162" i="52"/>
  <c r="W164" i="52"/>
  <c r="W172" i="52"/>
  <c r="W77" i="52"/>
  <c r="V80" i="52"/>
  <c r="V93" i="52"/>
  <c r="N10" i="52"/>
  <c r="W70" i="52"/>
  <c r="V79" i="52"/>
  <c r="V83" i="52"/>
  <c r="W84" i="52"/>
  <c r="V87" i="52"/>
  <c r="V92" i="52"/>
  <c r="V96" i="52"/>
  <c r="W97" i="52"/>
  <c r="V100" i="52"/>
  <c r="W101" i="52"/>
  <c r="V88" i="52"/>
  <c r="W69" i="52"/>
  <c r="V76" i="52"/>
  <c r="V9" i="52"/>
  <c r="V12" i="52"/>
  <c r="V20" i="52"/>
  <c r="V24" i="52"/>
  <c r="V33" i="52"/>
  <c r="V45" i="52"/>
  <c r="V47" i="52"/>
  <c r="V10" i="52"/>
  <c r="W16" i="52"/>
  <c r="V19" i="52"/>
  <c r="V23" i="52"/>
  <c r="V32" i="52"/>
  <c r="V38" i="52"/>
  <c r="V44" i="52"/>
  <c r="V8" i="52"/>
  <c r="V13" i="52"/>
  <c r="W13" i="52"/>
  <c r="W30" i="52"/>
  <c r="V30" i="52"/>
  <c r="V90" i="52"/>
  <c r="W90" i="52"/>
  <c r="W99" i="52"/>
  <c r="V99" i="52"/>
  <c r="W31" i="52"/>
  <c r="V31" i="52"/>
  <c r="V43" i="52"/>
  <c r="W43" i="52"/>
  <c r="V74" i="52"/>
  <c r="W74" i="52"/>
  <c r="V6" i="52"/>
  <c r="J59" i="52"/>
  <c r="V22" i="52"/>
  <c r="W22" i="52"/>
  <c r="W28" i="52"/>
  <c r="W67" i="52"/>
  <c r="V67" i="52"/>
  <c r="W152" i="52"/>
  <c r="V152" i="52"/>
  <c r="W158" i="52"/>
  <c r="V158" i="52"/>
  <c r="W169" i="52"/>
  <c r="V169" i="52"/>
  <c r="V35" i="52"/>
  <c r="W35" i="52"/>
  <c r="W40" i="52"/>
  <c r="W7" i="52"/>
  <c r="V18" i="52"/>
  <c r="W18" i="52"/>
  <c r="W26" i="52"/>
  <c r="W11" i="52"/>
  <c r="V11" i="52"/>
  <c r="W36" i="52"/>
  <c r="V36" i="52"/>
  <c r="W39" i="52"/>
  <c r="V42" i="52"/>
  <c r="W42" i="52"/>
  <c r="W144" i="52"/>
  <c r="V144" i="52"/>
  <c r="J91" i="52"/>
  <c r="J129" i="52" s="1"/>
  <c r="W114" i="52"/>
  <c r="V114" i="52"/>
  <c r="W118" i="52"/>
  <c r="V118" i="52"/>
  <c r="W122" i="52"/>
  <c r="V122" i="52"/>
  <c r="W128" i="52"/>
  <c r="V128" i="52"/>
  <c r="W159" i="52"/>
  <c r="V17" i="52"/>
  <c r="V21" i="52"/>
  <c r="V29" i="52"/>
  <c r="V34" i="52"/>
  <c r="V41" i="52"/>
  <c r="W46" i="52"/>
  <c r="V48" i="52"/>
  <c r="V51" i="52"/>
  <c r="W54" i="52"/>
  <c r="V56" i="52"/>
  <c r="V73" i="52"/>
  <c r="V98" i="52"/>
  <c r="W145" i="52"/>
  <c r="V150" i="52"/>
  <c r="V155" i="52"/>
  <c r="V156" i="52"/>
  <c r="V166" i="52"/>
  <c r="W170" i="52"/>
  <c r="W153" i="52"/>
  <c r="V153" i="52"/>
  <c r="W112" i="52"/>
  <c r="V112" i="52"/>
  <c r="W116" i="52"/>
  <c r="V116" i="52"/>
  <c r="W120" i="52"/>
  <c r="V120" i="52"/>
  <c r="W124" i="52"/>
  <c r="V124" i="52"/>
  <c r="W126" i="52"/>
  <c r="V126" i="52"/>
  <c r="V143" i="52"/>
  <c r="V168" i="52"/>
  <c r="W111" i="52"/>
  <c r="V111" i="52"/>
  <c r="W113" i="52"/>
  <c r="V113" i="52"/>
  <c r="W115" i="52"/>
  <c r="V115" i="52"/>
  <c r="W117" i="52"/>
  <c r="V117" i="52"/>
  <c r="W119" i="52"/>
  <c r="V119" i="52"/>
  <c r="W121" i="52"/>
  <c r="V121" i="52"/>
  <c r="W123" i="52"/>
  <c r="V123" i="52"/>
  <c r="W125" i="52"/>
  <c r="V125" i="52"/>
  <c r="W127" i="52"/>
  <c r="V127" i="52"/>
  <c r="W154" i="52"/>
  <c r="J183" i="52"/>
  <c r="H45" i="51"/>
  <c r="H43" i="51"/>
  <c r="W183" i="52" l="1"/>
  <c r="V183" i="52"/>
  <c r="W59" i="52"/>
  <c r="V59" i="52"/>
  <c r="V91" i="52"/>
  <c r="V129" i="52" s="1"/>
  <c r="W91" i="52"/>
  <c r="W129" i="52" s="1"/>
  <c r="H97" i="51"/>
  <c r="H40" i="51"/>
  <c r="H39" i="51"/>
  <c r="R4" i="52" l="1"/>
  <c r="O10" i="52"/>
  <c r="R10" i="52" s="1"/>
  <c r="P12" i="52" s="1"/>
  <c r="H170" i="51"/>
  <c r="H169" i="51"/>
  <c r="H168" i="51"/>
  <c r="H166" i="51"/>
  <c r="H92" i="51"/>
  <c r="H90" i="51"/>
  <c r="H36" i="51"/>
  <c r="H159" i="51" l="1"/>
  <c r="H158" i="51"/>
  <c r="H156" i="51"/>
  <c r="H155" i="51"/>
  <c r="H154" i="51"/>
  <c r="G88" i="51"/>
  <c r="H87" i="51"/>
  <c r="H30" i="51"/>
  <c r="H28" i="51"/>
  <c r="H27" i="51"/>
  <c r="H26" i="51"/>
  <c r="H24" i="51"/>
  <c r="H152" i="51" l="1"/>
  <c r="H149" i="51"/>
  <c r="H77" i="51"/>
  <c r="H78" i="51"/>
  <c r="H76" i="51"/>
  <c r="H146" i="51"/>
  <c r="H145" i="51"/>
  <c r="H16" i="51"/>
  <c r="H13" i="51" l="1"/>
  <c r="H71" i="51"/>
  <c r="H144" i="51"/>
  <c r="H143" i="51"/>
  <c r="H70" i="51" l="1"/>
  <c r="H69" i="51"/>
  <c r="H67" i="51"/>
  <c r="H11" i="51"/>
  <c r="J11" i="51" s="1"/>
  <c r="W11" i="51" s="1"/>
  <c r="H10" i="51"/>
  <c r="J10" i="51" s="1"/>
  <c r="V10" i="51" s="1"/>
  <c r="H9" i="51"/>
  <c r="H7" i="51"/>
  <c r="H6" i="51"/>
  <c r="W182" i="51"/>
  <c r="J182" i="51"/>
  <c r="V182" i="51" s="1"/>
  <c r="J181" i="51"/>
  <c r="V181" i="51" s="1"/>
  <c r="W180" i="51"/>
  <c r="J180" i="51"/>
  <c r="V180" i="51" s="1"/>
  <c r="J179" i="51"/>
  <c r="V179" i="51" s="1"/>
  <c r="J178" i="51"/>
  <c r="V178" i="51" s="1"/>
  <c r="J177" i="51"/>
  <c r="V177" i="51" s="1"/>
  <c r="W176" i="51"/>
  <c r="J176" i="51"/>
  <c r="V176" i="51" s="1"/>
  <c r="J175" i="51"/>
  <c r="V175" i="51" s="1"/>
  <c r="W174" i="51"/>
  <c r="J174" i="51"/>
  <c r="V174" i="51" s="1"/>
  <c r="J173" i="51"/>
  <c r="V173" i="51" s="1"/>
  <c r="J172" i="51"/>
  <c r="V172" i="51" s="1"/>
  <c r="J171" i="51"/>
  <c r="V171" i="51" s="1"/>
  <c r="J170" i="51"/>
  <c r="V170" i="51" s="1"/>
  <c r="J169" i="51"/>
  <c r="V169" i="51" s="1"/>
  <c r="J168" i="51"/>
  <c r="V168" i="51" s="1"/>
  <c r="J167" i="51"/>
  <c r="V167" i="51" s="1"/>
  <c r="J166" i="51"/>
  <c r="V166" i="51" s="1"/>
  <c r="J165" i="51"/>
  <c r="V165" i="51" s="1"/>
  <c r="J164" i="51"/>
  <c r="V164" i="51" s="1"/>
  <c r="J163" i="51"/>
  <c r="J162" i="51"/>
  <c r="W162" i="51" s="1"/>
  <c r="J161" i="51"/>
  <c r="W161" i="51" s="1"/>
  <c r="J160" i="51"/>
  <c r="W160" i="51" s="1"/>
  <c r="J159" i="51"/>
  <c r="W159" i="51" s="1"/>
  <c r="J158" i="51"/>
  <c r="V158" i="51" s="1"/>
  <c r="J157" i="51"/>
  <c r="V157" i="51" s="1"/>
  <c r="J156" i="51"/>
  <c r="V156" i="51" s="1"/>
  <c r="J155" i="51"/>
  <c r="V155" i="51" s="1"/>
  <c r="J154" i="51"/>
  <c r="V154" i="51" s="1"/>
  <c r="J153" i="51"/>
  <c r="V153" i="51" s="1"/>
  <c r="J152" i="51"/>
  <c r="J151" i="51"/>
  <c r="W151" i="51" s="1"/>
  <c r="J150" i="51"/>
  <c r="W150" i="51" s="1"/>
  <c r="J149" i="51"/>
  <c r="W149" i="51" s="1"/>
  <c r="J148" i="51"/>
  <c r="W148" i="51" s="1"/>
  <c r="J147" i="51"/>
  <c r="V147" i="51" s="1"/>
  <c r="J146" i="51"/>
  <c r="V146" i="51" s="1"/>
  <c r="J145" i="51"/>
  <c r="J144" i="51"/>
  <c r="W144" i="51" s="1"/>
  <c r="J143" i="51"/>
  <c r="W143" i="51" s="1"/>
  <c r="J142" i="51"/>
  <c r="V142" i="51" s="1"/>
  <c r="J141" i="51"/>
  <c r="W141" i="51" s="1"/>
  <c r="J140" i="51"/>
  <c r="W140" i="51" s="1"/>
  <c r="J139" i="51"/>
  <c r="V139" i="51" s="1"/>
  <c r="J138" i="51"/>
  <c r="B138" i="51"/>
  <c r="B139" i="51" s="1"/>
  <c r="B140" i="51" s="1"/>
  <c r="B141" i="51" s="1"/>
  <c r="B142" i="51" s="1"/>
  <c r="B143" i="51" s="1"/>
  <c r="B144" i="51" s="1"/>
  <c r="B145" i="51" s="1"/>
  <c r="B146" i="51" s="1"/>
  <c r="B147" i="51" s="1"/>
  <c r="B148" i="51" s="1"/>
  <c r="B149" i="51" s="1"/>
  <c r="B150" i="51" s="1"/>
  <c r="B151" i="51" s="1"/>
  <c r="B152" i="51" s="1"/>
  <c r="B153" i="51" s="1"/>
  <c r="B154" i="51" s="1"/>
  <c r="B155" i="51" s="1"/>
  <c r="B156" i="51" s="1"/>
  <c r="B157" i="51" s="1"/>
  <c r="B158" i="51" s="1"/>
  <c r="B159" i="51" s="1"/>
  <c r="B160" i="51" s="1"/>
  <c r="B161" i="51" s="1"/>
  <c r="B162" i="51" s="1"/>
  <c r="B163" i="51" s="1"/>
  <c r="B164" i="51" s="1"/>
  <c r="B165" i="51" s="1"/>
  <c r="B166" i="51" s="1"/>
  <c r="B167" i="51" s="1"/>
  <c r="B168" i="51" s="1"/>
  <c r="B169" i="51" s="1"/>
  <c r="B170" i="51" s="1"/>
  <c r="B171" i="51" s="1"/>
  <c r="B172" i="51" s="1"/>
  <c r="B173" i="51" s="1"/>
  <c r="B174" i="51" s="1"/>
  <c r="B175" i="51" s="1"/>
  <c r="B176" i="51" s="1"/>
  <c r="B177" i="51" s="1"/>
  <c r="B178" i="51" s="1"/>
  <c r="B179" i="51" s="1"/>
  <c r="B180" i="51" s="1"/>
  <c r="B181" i="51" s="1"/>
  <c r="B182" i="51" s="1"/>
  <c r="J137" i="51"/>
  <c r="W137" i="51" s="1"/>
  <c r="J128" i="51"/>
  <c r="J127" i="51"/>
  <c r="J126" i="51"/>
  <c r="J125" i="51"/>
  <c r="J124" i="51"/>
  <c r="J123" i="51"/>
  <c r="J122" i="51"/>
  <c r="J121" i="51"/>
  <c r="J120" i="51"/>
  <c r="J119" i="51"/>
  <c r="J118" i="51"/>
  <c r="J117" i="51"/>
  <c r="J116" i="51"/>
  <c r="J115" i="51"/>
  <c r="J114" i="51"/>
  <c r="J113" i="51"/>
  <c r="J112" i="51"/>
  <c r="B112" i="51"/>
  <c r="B113" i="51" s="1"/>
  <c r="B114" i="51" s="1"/>
  <c r="B115" i="51" s="1"/>
  <c r="B116" i="51" s="1"/>
  <c r="B117" i="51" s="1"/>
  <c r="B118" i="51" s="1"/>
  <c r="B119" i="51" s="1"/>
  <c r="B120" i="51" s="1"/>
  <c r="B121" i="51" s="1"/>
  <c r="B122" i="51" s="1"/>
  <c r="B123" i="51" s="1"/>
  <c r="B124" i="51" s="1"/>
  <c r="B125" i="51" s="1"/>
  <c r="B126" i="51" s="1"/>
  <c r="B127" i="51" s="1"/>
  <c r="B128" i="51" s="1"/>
  <c r="J111" i="51"/>
  <c r="V110" i="51"/>
  <c r="J110" i="51"/>
  <c r="W110" i="51" s="1"/>
  <c r="J109" i="51"/>
  <c r="J108" i="51"/>
  <c r="J107" i="51"/>
  <c r="J106" i="51"/>
  <c r="J105" i="51"/>
  <c r="J104" i="51"/>
  <c r="J103" i="51"/>
  <c r="J102" i="51"/>
  <c r="J101" i="51"/>
  <c r="W101" i="51" s="1"/>
  <c r="J100" i="51"/>
  <c r="W100" i="51" s="1"/>
  <c r="J99" i="51"/>
  <c r="J98" i="51"/>
  <c r="W98" i="51" s="1"/>
  <c r="J97" i="51"/>
  <c r="J96" i="51"/>
  <c r="W96" i="51" s="1"/>
  <c r="J95" i="51"/>
  <c r="J94" i="51"/>
  <c r="W94" i="51" s="1"/>
  <c r="J93" i="51"/>
  <c r="J92" i="51"/>
  <c r="W92" i="51" s="1"/>
  <c r="J91" i="51"/>
  <c r="J90" i="51"/>
  <c r="W90" i="51" s="1"/>
  <c r="J89" i="51"/>
  <c r="J88" i="51"/>
  <c r="W88" i="51" s="1"/>
  <c r="J87" i="51"/>
  <c r="J86" i="51"/>
  <c r="W86" i="51" s="1"/>
  <c r="J85" i="51"/>
  <c r="W85" i="51" s="1"/>
  <c r="J84" i="51"/>
  <c r="V84" i="51" s="1"/>
  <c r="J83" i="51"/>
  <c r="V83" i="51" s="1"/>
  <c r="J82" i="51"/>
  <c r="J81" i="51"/>
  <c r="J80" i="51"/>
  <c r="W80" i="51" s="1"/>
  <c r="J79" i="51"/>
  <c r="J78" i="51"/>
  <c r="J77" i="51"/>
  <c r="W77" i="51" s="1"/>
  <c r="J76" i="51"/>
  <c r="W76" i="51" s="1"/>
  <c r="J75" i="51"/>
  <c r="W75" i="51" s="1"/>
  <c r="J74" i="51"/>
  <c r="J73" i="51"/>
  <c r="W73" i="51" s="1"/>
  <c r="J72" i="51"/>
  <c r="J71" i="51"/>
  <c r="V71" i="51" s="1"/>
  <c r="J70" i="51"/>
  <c r="W70" i="51" s="1"/>
  <c r="J69" i="51"/>
  <c r="V69" i="51" s="1"/>
  <c r="J68" i="51"/>
  <c r="W68" i="51" s="1"/>
  <c r="B68" i="51"/>
  <c r="B69" i="51" s="1"/>
  <c r="B70" i="51" s="1"/>
  <c r="B71" i="51" s="1"/>
  <c r="B72" i="51" s="1"/>
  <c r="B73" i="51" s="1"/>
  <c r="B74" i="51" s="1"/>
  <c r="B75" i="51" s="1"/>
  <c r="B76" i="51" s="1"/>
  <c r="B77" i="51" s="1"/>
  <c r="B78" i="51" s="1"/>
  <c r="B79" i="51" s="1"/>
  <c r="B80" i="51" s="1"/>
  <c r="B81" i="51" s="1"/>
  <c r="B82" i="51" s="1"/>
  <c r="B83" i="51" s="1"/>
  <c r="B84" i="51" s="1"/>
  <c r="B85" i="51" s="1"/>
  <c r="B86" i="51" s="1"/>
  <c r="B87" i="51" s="1"/>
  <c r="B88" i="51" s="1"/>
  <c r="B89" i="51" s="1"/>
  <c r="B90" i="51" s="1"/>
  <c r="B91" i="51" s="1"/>
  <c r="B92" i="51" s="1"/>
  <c r="B93" i="51" s="1"/>
  <c r="B94" i="51" s="1"/>
  <c r="B95" i="51" s="1"/>
  <c r="B96" i="51" s="1"/>
  <c r="B97" i="51" s="1"/>
  <c r="B98" i="51" s="1"/>
  <c r="B99" i="51" s="1"/>
  <c r="B100" i="51" s="1"/>
  <c r="J67" i="51"/>
  <c r="W67" i="51" s="1"/>
  <c r="J58" i="51"/>
  <c r="W58" i="51" s="1"/>
  <c r="W57" i="51"/>
  <c r="V57" i="51"/>
  <c r="J57" i="51"/>
  <c r="J56" i="51"/>
  <c r="W56" i="51" s="1"/>
  <c r="J55" i="51"/>
  <c r="V55" i="51" s="1"/>
  <c r="W54" i="51"/>
  <c r="V54" i="51"/>
  <c r="J54" i="51"/>
  <c r="J53" i="51"/>
  <c r="W53" i="51" s="1"/>
  <c r="J52" i="51"/>
  <c r="W52" i="51" s="1"/>
  <c r="J51" i="51"/>
  <c r="V51" i="51" s="1"/>
  <c r="J50" i="51"/>
  <c r="W50" i="51" s="1"/>
  <c r="J49" i="51"/>
  <c r="W49" i="51" s="1"/>
  <c r="J48" i="51"/>
  <c r="W48" i="51" s="1"/>
  <c r="J47" i="51"/>
  <c r="V47" i="51" s="1"/>
  <c r="W46" i="51"/>
  <c r="V46" i="51"/>
  <c r="J46" i="51"/>
  <c r="J45" i="51"/>
  <c r="W45" i="51" s="1"/>
  <c r="J44" i="51"/>
  <c r="W44" i="51" s="1"/>
  <c r="J43" i="51"/>
  <c r="V43" i="51" s="1"/>
  <c r="J42" i="51"/>
  <c r="V42" i="51" s="1"/>
  <c r="J41" i="51"/>
  <c r="W41" i="51" s="1"/>
  <c r="J40" i="51"/>
  <c r="J39" i="51"/>
  <c r="W39" i="51" s="1"/>
  <c r="J38" i="51"/>
  <c r="V38" i="51" s="1"/>
  <c r="J37" i="51"/>
  <c r="W37" i="51" s="1"/>
  <c r="J36" i="51"/>
  <c r="J35" i="51"/>
  <c r="W35" i="51" s="1"/>
  <c r="J34" i="51"/>
  <c r="W34" i="51" s="1"/>
  <c r="J33" i="51"/>
  <c r="W33" i="51" s="1"/>
  <c r="J32" i="51"/>
  <c r="J31" i="51"/>
  <c r="W31" i="51" s="1"/>
  <c r="J30" i="51"/>
  <c r="W30" i="51" s="1"/>
  <c r="J29" i="51"/>
  <c r="W29" i="51" s="1"/>
  <c r="J28" i="51"/>
  <c r="W28" i="51" s="1"/>
  <c r="J27" i="51"/>
  <c r="V27" i="51" s="1"/>
  <c r="J26" i="51"/>
  <c r="J25" i="51"/>
  <c r="J24" i="51"/>
  <c r="J23" i="51"/>
  <c r="J22" i="51"/>
  <c r="J21" i="51"/>
  <c r="J20" i="51"/>
  <c r="J19" i="51"/>
  <c r="J18" i="51"/>
  <c r="W18" i="51" s="1"/>
  <c r="J17" i="51"/>
  <c r="W17" i="51" s="1"/>
  <c r="J16" i="51"/>
  <c r="W16" i="51" s="1"/>
  <c r="J15" i="51"/>
  <c r="J14" i="51"/>
  <c r="J13" i="51"/>
  <c r="J12" i="51"/>
  <c r="P10" i="51"/>
  <c r="J9" i="51"/>
  <c r="W9" i="51" s="1"/>
  <c r="N8" i="51"/>
  <c r="R8" i="51" s="1"/>
  <c r="J8" i="51"/>
  <c r="W8" i="51" s="1"/>
  <c r="J7" i="51"/>
  <c r="V7" i="51" s="1"/>
  <c r="N6" i="51"/>
  <c r="R6" i="51" s="1"/>
  <c r="J6" i="51"/>
  <c r="N4" i="51"/>
  <c r="V58" i="51" l="1"/>
  <c r="V101" i="51"/>
  <c r="V140" i="51"/>
  <c r="V151" i="51"/>
  <c r="W154" i="51"/>
  <c r="W173" i="51"/>
  <c r="W175" i="51"/>
  <c r="W177" i="51"/>
  <c r="W179" i="51"/>
  <c r="W181" i="51"/>
  <c r="V50" i="51"/>
  <c r="V52" i="51"/>
  <c r="V49" i="51"/>
  <c r="V30" i="51"/>
  <c r="W47" i="51"/>
  <c r="W55" i="51"/>
  <c r="W178" i="51"/>
  <c r="V44" i="51"/>
  <c r="W42" i="51"/>
  <c r="V41" i="51"/>
  <c r="W172" i="51"/>
  <c r="W171" i="51"/>
  <c r="W170" i="51"/>
  <c r="W169" i="51"/>
  <c r="W168" i="51"/>
  <c r="W167" i="51"/>
  <c r="W166" i="51"/>
  <c r="W165" i="51"/>
  <c r="W38" i="51"/>
  <c r="V37" i="51"/>
  <c r="V34" i="51"/>
  <c r="V162" i="51"/>
  <c r="V159" i="51"/>
  <c r="W158" i="51"/>
  <c r="W157" i="51"/>
  <c r="W156" i="51"/>
  <c r="V85" i="51"/>
  <c r="W84" i="51"/>
  <c r="V28" i="51"/>
  <c r="W27" i="51"/>
  <c r="V149" i="51"/>
  <c r="V17" i="51"/>
  <c r="W147" i="51"/>
  <c r="V16" i="51"/>
  <c r="V144" i="51"/>
  <c r="W142" i="51"/>
  <c r="V141" i="51"/>
  <c r="W71" i="51"/>
  <c r="W139" i="51"/>
  <c r="V148" i="51"/>
  <c r="V160" i="51"/>
  <c r="W155" i="51"/>
  <c r="W164" i="51"/>
  <c r="W83" i="51"/>
  <c r="V75" i="51"/>
  <c r="V67" i="51"/>
  <c r="V9" i="51"/>
  <c r="W10" i="51"/>
  <c r="V29" i="51"/>
  <c r="V33" i="51"/>
  <c r="V8" i="51"/>
  <c r="W15" i="51"/>
  <c r="V15" i="51"/>
  <c r="W23" i="51"/>
  <c r="V23" i="51"/>
  <c r="W72" i="51"/>
  <c r="V72" i="51"/>
  <c r="W93" i="51"/>
  <c r="V93" i="51"/>
  <c r="W112" i="51"/>
  <c r="V112" i="51"/>
  <c r="W152" i="51"/>
  <c r="V152" i="51"/>
  <c r="W20" i="51"/>
  <c r="V20" i="51"/>
  <c r="W26" i="51"/>
  <c r="V26" i="51"/>
  <c r="W36" i="51"/>
  <c r="V36" i="51"/>
  <c r="W120" i="51"/>
  <c r="V120" i="51"/>
  <c r="W145" i="51"/>
  <c r="V145" i="51"/>
  <c r="W163" i="51"/>
  <c r="V163" i="51"/>
  <c r="W13" i="51"/>
  <c r="V13" i="51"/>
  <c r="V79" i="51"/>
  <c r="W79" i="51"/>
  <c r="W87" i="51"/>
  <c r="V87" i="51"/>
  <c r="W91" i="51"/>
  <c r="V91" i="51"/>
  <c r="W99" i="51"/>
  <c r="V99" i="51"/>
  <c r="N10" i="51"/>
  <c r="W19" i="51"/>
  <c r="V19" i="51"/>
  <c r="W89" i="51"/>
  <c r="V89" i="51"/>
  <c r="W97" i="51"/>
  <c r="V97" i="51"/>
  <c r="V6" i="51"/>
  <c r="J59" i="51"/>
  <c r="W7" i="51"/>
  <c r="W12" i="51"/>
  <c r="V12" i="51"/>
  <c r="V24" i="51"/>
  <c r="W24" i="51"/>
  <c r="W32" i="51"/>
  <c r="V32" i="51"/>
  <c r="V40" i="51"/>
  <c r="W40" i="51"/>
  <c r="V78" i="51"/>
  <c r="W78" i="51"/>
  <c r="W81" i="51"/>
  <c r="V81" i="51"/>
  <c r="W116" i="51"/>
  <c r="V116" i="51"/>
  <c r="W124" i="51"/>
  <c r="V124" i="51"/>
  <c r="W21" i="51"/>
  <c r="V21" i="51"/>
  <c r="W82" i="51"/>
  <c r="V82" i="51"/>
  <c r="W95" i="51"/>
  <c r="V95" i="51"/>
  <c r="W6" i="51"/>
  <c r="W14" i="51"/>
  <c r="V14" i="51"/>
  <c r="W22" i="51"/>
  <c r="V22" i="51"/>
  <c r="W25" i="51"/>
  <c r="V25" i="51"/>
  <c r="V68" i="51"/>
  <c r="J129" i="51"/>
  <c r="W74" i="51"/>
  <c r="V74" i="51"/>
  <c r="W114" i="51"/>
  <c r="V114" i="51"/>
  <c r="W118" i="51"/>
  <c r="V118" i="51"/>
  <c r="W122" i="51"/>
  <c r="V122" i="51"/>
  <c r="W126" i="51"/>
  <c r="V126" i="51"/>
  <c r="W146" i="51"/>
  <c r="W153" i="51"/>
  <c r="V161" i="51"/>
  <c r="V11" i="51"/>
  <c r="V18" i="51"/>
  <c r="V31" i="51"/>
  <c r="V35" i="51"/>
  <c r="V39" i="51"/>
  <c r="W43" i="51"/>
  <c r="V45" i="51"/>
  <c r="V48" i="51"/>
  <c r="W51" i="51"/>
  <c r="V53" i="51"/>
  <c r="V56" i="51"/>
  <c r="V70" i="51"/>
  <c r="V73" i="51"/>
  <c r="V77" i="51"/>
  <c r="V80" i="51"/>
  <c r="W111" i="51"/>
  <c r="V111" i="51"/>
  <c r="W113" i="51"/>
  <c r="V113" i="51"/>
  <c r="W115" i="51"/>
  <c r="V115" i="51"/>
  <c r="W117" i="51"/>
  <c r="V117" i="51"/>
  <c r="W119" i="51"/>
  <c r="V119" i="51"/>
  <c r="W121" i="51"/>
  <c r="V121" i="51"/>
  <c r="W123" i="51"/>
  <c r="V123" i="51"/>
  <c r="W125" i="51"/>
  <c r="V125" i="51"/>
  <c r="W127" i="51"/>
  <c r="V127" i="51"/>
  <c r="V143" i="51"/>
  <c r="V150" i="51"/>
  <c r="W128" i="51"/>
  <c r="V128" i="51"/>
  <c r="W138" i="51"/>
  <c r="V138" i="51"/>
  <c r="V137" i="51"/>
  <c r="W69" i="51"/>
  <c r="V76" i="51"/>
  <c r="V86" i="51"/>
  <c r="V88" i="51"/>
  <c r="V90" i="51"/>
  <c r="V92" i="51"/>
  <c r="V94" i="51"/>
  <c r="V96" i="51"/>
  <c r="V98" i="51"/>
  <c r="V100" i="51"/>
  <c r="J183" i="51"/>
  <c r="H164" i="50"/>
  <c r="H163" i="50"/>
  <c r="H86" i="50"/>
  <c r="W183" i="51" l="1"/>
  <c r="W129" i="51"/>
  <c r="V129" i="51"/>
  <c r="V183" i="51"/>
  <c r="V59" i="51"/>
  <c r="O4" i="51" s="1"/>
  <c r="W59" i="51"/>
  <c r="H84" i="50"/>
  <c r="H160" i="50"/>
  <c r="H159" i="50"/>
  <c r="H83" i="50"/>
  <c r="H82" i="50"/>
  <c r="H29" i="50"/>
  <c r="H28" i="50"/>
  <c r="H81" i="50"/>
  <c r="H80" i="50"/>
  <c r="H26" i="50"/>
  <c r="H153" i="50"/>
  <c r="H79" i="50"/>
  <c r="H78" i="50"/>
  <c r="H25" i="50"/>
  <c r="O10" i="51" l="1"/>
  <c r="R10" i="51" s="1"/>
  <c r="P12" i="51" s="1"/>
  <c r="R4" i="51"/>
  <c r="Q10" i="51"/>
  <c r="H152" i="50"/>
  <c r="H23" i="50"/>
  <c r="H22" i="50"/>
  <c r="H21" i="50" l="1"/>
  <c r="H20" i="50"/>
  <c r="H19" i="50"/>
  <c r="H14" i="50"/>
  <c r="H150" i="50"/>
  <c r="H147" i="50"/>
  <c r="H146" i="50"/>
  <c r="H145" i="50"/>
  <c r="H143" i="50"/>
  <c r="H72" i="50"/>
  <c r="H71" i="50"/>
  <c r="H70" i="50"/>
  <c r="H68" i="50"/>
  <c r="H13" i="50"/>
  <c r="H141" i="50" l="1"/>
  <c r="H139" i="50"/>
  <c r="H138" i="50"/>
  <c r="H7" i="50"/>
  <c r="J7" i="50" s="1"/>
  <c r="V7" i="50" s="1"/>
  <c r="H137" i="50"/>
  <c r="J182" i="50"/>
  <c r="V182" i="50" s="1"/>
  <c r="W181" i="50"/>
  <c r="J181" i="50"/>
  <c r="V181" i="50" s="1"/>
  <c r="J180" i="50"/>
  <c r="V180" i="50" s="1"/>
  <c r="W179" i="50"/>
  <c r="J179" i="50"/>
  <c r="V179" i="50" s="1"/>
  <c r="J178" i="50"/>
  <c r="V178" i="50" s="1"/>
  <c r="W177" i="50"/>
  <c r="J177" i="50"/>
  <c r="V177" i="50" s="1"/>
  <c r="J176" i="50"/>
  <c r="V176" i="50" s="1"/>
  <c r="W175" i="50"/>
  <c r="J175" i="50"/>
  <c r="V175" i="50" s="1"/>
  <c r="J174" i="50"/>
  <c r="V174" i="50" s="1"/>
  <c r="W173" i="50"/>
  <c r="J173" i="50"/>
  <c r="V173" i="50" s="1"/>
  <c r="J172" i="50"/>
  <c r="V172" i="50" s="1"/>
  <c r="J171" i="50"/>
  <c r="V171" i="50" s="1"/>
  <c r="J170" i="50"/>
  <c r="J169" i="50"/>
  <c r="J168" i="50"/>
  <c r="W168" i="50" s="1"/>
  <c r="J167" i="50"/>
  <c r="W167" i="50" s="1"/>
  <c r="J166" i="50"/>
  <c r="V166" i="50" s="1"/>
  <c r="J165" i="50"/>
  <c r="W165" i="50" s="1"/>
  <c r="J164" i="50"/>
  <c r="J163" i="50"/>
  <c r="J162" i="50"/>
  <c r="J161" i="50"/>
  <c r="W161" i="50" s="1"/>
  <c r="J160" i="50"/>
  <c r="V160" i="50" s="1"/>
  <c r="J159" i="50"/>
  <c r="V159" i="50" s="1"/>
  <c r="J158" i="50"/>
  <c r="W158" i="50" s="1"/>
  <c r="J157" i="50"/>
  <c r="W157" i="50" s="1"/>
  <c r="J156" i="50"/>
  <c r="J155" i="50"/>
  <c r="J154" i="50"/>
  <c r="W154" i="50" s="1"/>
  <c r="J153" i="50"/>
  <c r="V153" i="50" s="1"/>
  <c r="J152" i="50"/>
  <c r="V152" i="50" s="1"/>
  <c r="J151" i="50"/>
  <c r="W151" i="50" s="1"/>
  <c r="J150" i="50"/>
  <c r="W150" i="50" s="1"/>
  <c r="J149" i="50"/>
  <c r="W149" i="50" s="1"/>
  <c r="J148" i="50"/>
  <c r="W148" i="50" s="1"/>
  <c r="J147" i="50"/>
  <c r="J146" i="50"/>
  <c r="J145" i="50"/>
  <c r="J144" i="50"/>
  <c r="J143" i="50"/>
  <c r="J142" i="50"/>
  <c r="J141" i="50"/>
  <c r="J140" i="50"/>
  <c r="W140" i="50" s="1"/>
  <c r="J139" i="50"/>
  <c r="W139" i="50" s="1"/>
  <c r="V138" i="50"/>
  <c r="J138" i="50"/>
  <c r="W138" i="50" s="1"/>
  <c r="B138" i="50"/>
  <c r="B139" i="50" s="1"/>
  <c r="B140" i="50" s="1"/>
  <c r="B141" i="50" s="1"/>
  <c r="B142" i="50" s="1"/>
  <c r="B143" i="50" s="1"/>
  <c r="B144" i="50" s="1"/>
  <c r="B145" i="50" s="1"/>
  <c r="B146" i="50" s="1"/>
  <c r="B147" i="50" s="1"/>
  <c r="B148" i="50" s="1"/>
  <c r="B149" i="50" s="1"/>
  <c r="B150" i="50" s="1"/>
  <c r="B151" i="50" s="1"/>
  <c r="B152" i="50" s="1"/>
  <c r="B153" i="50" s="1"/>
  <c r="B154" i="50" s="1"/>
  <c r="B155" i="50" s="1"/>
  <c r="B156" i="50" s="1"/>
  <c r="B157" i="50" s="1"/>
  <c r="B158" i="50" s="1"/>
  <c r="B159" i="50" s="1"/>
  <c r="B160" i="50" s="1"/>
  <c r="B161" i="50" s="1"/>
  <c r="B162" i="50" s="1"/>
  <c r="B163" i="50" s="1"/>
  <c r="B164" i="50" s="1"/>
  <c r="B165" i="50" s="1"/>
  <c r="B166" i="50" s="1"/>
  <c r="B167" i="50" s="1"/>
  <c r="B168" i="50" s="1"/>
  <c r="B169" i="50" s="1"/>
  <c r="B170" i="50" s="1"/>
  <c r="B171" i="50" s="1"/>
  <c r="B172" i="50" s="1"/>
  <c r="B173" i="50" s="1"/>
  <c r="B174" i="50" s="1"/>
  <c r="B175" i="50" s="1"/>
  <c r="B176" i="50" s="1"/>
  <c r="B177" i="50" s="1"/>
  <c r="B178" i="50" s="1"/>
  <c r="B179" i="50" s="1"/>
  <c r="B180" i="50" s="1"/>
  <c r="B181" i="50" s="1"/>
  <c r="B182" i="50" s="1"/>
  <c r="J137" i="50"/>
  <c r="V137" i="50" s="1"/>
  <c r="V128" i="50"/>
  <c r="J128" i="50"/>
  <c r="W128" i="50" s="1"/>
  <c r="V127" i="50"/>
  <c r="J127" i="50"/>
  <c r="W127" i="50" s="1"/>
  <c r="V126" i="50"/>
  <c r="J126" i="50"/>
  <c r="W126" i="50" s="1"/>
  <c r="V125" i="50"/>
  <c r="J125" i="50"/>
  <c r="W125" i="50" s="1"/>
  <c r="V124" i="50"/>
  <c r="J124" i="50"/>
  <c r="W124" i="50" s="1"/>
  <c r="V123" i="50"/>
  <c r="J123" i="50"/>
  <c r="W123" i="50" s="1"/>
  <c r="V122" i="50"/>
  <c r="J122" i="50"/>
  <c r="W122" i="50" s="1"/>
  <c r="V121" i="50"/>
  <c r="J121" i="50"/>
  <c r="W121" i="50" s="1"/>
  <c r="V120" i="50"/>
  <c r="J120" i="50"/>
  <c r="W120" i="50" s="1"/>
  <c r="V119" i="50"/>
  <c r="J119" i="50"/>
  <c r="W119" i="50" s="1"/>
  <c r="V118" i="50"/>
  <c r="J118" i="50"/>
  <c r="W118" i="50" s="1"/>
  <c r="V117" i="50"/>
  <c r="J117" i="50"/>
  <c r="W117" i="50" s="1"/>
  <c r="V116" i="50"/>
  <c r="J116" i="50"/>
  <c r="W116" i="50" s="1"/>
  <c r="V115" i="50"/>
  <c r="J115" i="50"/>
  <c r="W115" i="50" s="1"/>
  <c r="V114" i="50"/>
  <c r="J114" i="50"/>
  <c r="W114" i="50" s="1"/>
  <c r="V113" i="50"/>
  <c r="J113" i="50"/>
  <c r="W113" i="50" s="1"/>
  <c r="V112" i="50"/>
  <c r="J112" i="50"/>
  <c r="W112" i="50" s="1"/>
  <c r="B112" i="50"/>
  <c r="B113" i="50" s="1"/>
  <c r="B114" i="50" s="1"/>
  <c r="B115" i="50" s="1"/>
  <c r="B116" i="50" s="1"/>
  <c r="B117" i="50" s="1"/>
  <c r="B118" i="50" s="1"/>
  <c r="B119" i="50" s="1"/>
  <c r="B120" i="50" s="1"/>
  <c r="B121" i="50" s="1"/>
  <c r="B122" i="50" s="1"/>
  <c r="B123" i="50" s="1"/>
  <c r="B124" i="50" s="1"/>
  <c r="B125" i="50" s="1"/>
  <c r="B126" i="50" s="1"/>
  <c r="B127" i="50" s="1"/>
  <c r="B128" i="50" s="1"/>
  <c r="J111" i="50"/>
  <c r="W111" i="50" s="1"/>
  <c r="J110" i="50"/>
  <c r="V110" i="50" s="1"/>
  <c r="J109" i="50"/>
  <c r="J108" i="50"/>
  <c r="J107" i="50"/>
  <c r="J106" i="50"/>
  <c r="J105" i="50"/>
  <c r="J104" i="50"/>
  <c r="J103" i="50"/>
  <c r="J102" i="50"/>
  <c r="V101" i="50"/>
  <c r="J101" i="50"/>
  <c r="W101" i="50" s="1"/>
  <c r="J100" i="50"/>
  <c r="J99" i="50"/>
  <c r="V99" i="50" s="1"/>
  <c r="V98" i="50"/>
  <c r="J98" i="50"/>
  <c r="W98" i="50" s="1"/>
  <c r="J97" i="50"/>
  <c r="W97" i="50" s="1"/>
  <c r="J96" i="50"/>
  <c r="V96" i="50" s="1"/>
  <c r="J95" i="50"/>
  <c r="V95" i="50" s="1"/>
  <c r="J94" i="50"/>
  <c r="W94" i="50" s="1"/>
  <c r="J93" i="50"/>
  <c r="W93" i="50" s="1"/>
  <c r="J92" i="50"/>
  <c r="V92" i="50" s="1"/>
  <c r="J91" i="50"/>
  <c r="V91" i="50" s="1"/>
  <c r="J90" i="50"/>
  <c r="W90" i="50" s="1"/>
  <c r="J89" i="50"/>
  <c r="W89" i="50" s="1"/>
  <c r="J88" i="50"/>
  <c r="V88" i="50" s="1"/>
  <c r="J87" i="50"/>
  <c r="V87" i="50" s="1"/>
  <c r="J86" i="50"/>
  <c r="W86" i="50" s="1"/>
  <c r="J85" i="50"/>
  <c r="V85" i="50" s="1"/>
  <c r="J84" i="50"/>
  <c r="W84" i="50" s="1"/>
  <c r="J83" i="50"/>
  <c r="V83" i="50" s="1"/>
  <c r="J82" i="50"/>
  <c r="V82" i="50" s="1"/>
  <c r="V81" i="50"/>
  <c r="J81" i="50"/>
  <c r="W81" i="50" s="1"/>
  <c r="J80" i="50"/>
  <c r="W80" i="50" s="1"/>
  <c r="J79" i="50"/>
  <c r="W79" i="50" s="1"/>
  <c r="J78" i="50"/>
  <c r="W78" i="50" s="1"/>
  <c r="J77" i="50"/>
  <c r="W77" i="50" s="1"/>
  <c r="J76" i="50"/>
  <c r="W76" i="50" s="1"/>
  <c r="J75" i="50"/>
  <c r="J74" i="50"/>
  <c r="J73" i="50"/>
  <c r="W73" i="50" s="1"/>
  <c r="J72" i="50"/>
  <c r="W72" i="50" s="1"/>
  <c r="J71" i="50"/>
  <c r="J70" i="50"/>
  <c r="V70" i="50" s="1"/>
  <c r="J69" i="50"/>
  <c r="V69" i="50" s="1"/>
  <c r="J68" i="50"/>
  <c r="W68" i="50" s="1"/>
  <c r="B68" i="50"/>
  <c r="B69" i="50" s="1"/>
  <c r="B70" i="50" s="1"/>
  <c r="B71" i="50" s="1"/>
  <c r="B72" i="50" s="1"/>
  <c r="B73" i="50" s="1"/>
  <c r="B74" i="50" s="1"/>
  <c r="B75" i="50" s="1"/>
  <c r="B76" i="50" s="1"/>
  <c r="B77" i="50" s="1"/>
  <c r="B78" i="50" s="1"/>
  <c r="B79" i="50" s="1"/>
  <c r="B80" i="50" s="1"/>
  <c r="B81" i="50" s="1"/>
  <c r="B82" i="50" s="1"/>
  <c r="B83" i="50" s="1"/>
  <c r="B84" i="50" s="1"/>
  <c r="B85" i="50" s="1"/>
  <c r="B86" i="50" s="1"/>
  <c r="B87" i="50" s="1"/>
  <c r="B88" i="50" s="1"/>
  <c r="B89" i="50" s="1"/>
  <c r="B90" i="50" s="1"/>
  <c r="B91" i="50" s="1"/>
  <c r="B92" i="50" s="1"/>
  <c r="B93" i="50" s="1"/>
  <c r="B94" i="50" s="1"/>
  <c r="B95" i="50" s="1"/>
  <c r="B96" i="50" s="1"/>
  <c r="B97" i="50" s="1"/>
  <c r="B98" i="50" s="1"/>
  <c r="B99" i="50" s="1"/>
  <c r="B100" i="50" s="1"/>
  <c r="J67" i="50"/>
  <c r="W67" i="50" s="1"/>
  <c r="V58" i="50"/>
  <c r="J58" i="50"/>
  <c r="W58" i="50" s="1"/>
  <c r="J57" i="50"/>
  <c r="W57" i="50" s="1"/>
  <c r="J56" i="50"/>
  <c r="W56" i="50" s="1"/>
  <c r="W55" i="50"/>
  <c r="J55" i="50"/>
  <c r="V55" i="50" s="1"/>
  <c r="V54" i="50"/>
  <c r="J54" i="50"/>
  <c r="W54" i="50" s="1"/>
  <c r="J53" i="50"/>
  <c r="W53" i="50" s="1"/>
  <c r="J52" i="50"/>
  <c r="W52" i="50" s="1"/>
  <c r="W51" i="50"/>
  <c r="J51" i="50"/>
  <c r="V51" i="50" s="1"/>
  <c r="V50" i="50"/>
  <c r="J50" i="50"/>
  <c r="W50" i="50" s="1"/>
  <c r="J49" i="50"/>
  <c r="W49" i="50" s="1"/>
  <c r="J48" i="50"/>
  <c r="W48" i="50" s="1"/>
  <c r="W47" i="50"/>
  <c r="J47" i="50"/>
  <c r="V47" i="50" s="1"/>
  <c r="V46" i="50"/>
  <c r="J46" i="50"/>
  <c r="W46" i="50" s="1"/>
  <c r="J45" i="50"/>
  <c r="W45" i="50" s="1"/>
  <c r="J44" i="50"/>
  <c r="W44" i="50" s="1"/>
  <c r="J43" i="50"/>
  <c r="V43" i="50" s="1"/>
  <c r="J42" i="50"/>
  <c r="V42" i="50" s="1"/>
  <c r="V41" i="50"/>
  <c r="J41" i="50"/>
  <c r="W41" i="50" s="1"/>
  <c r="J40" i="50"/>
  <c r="W40" i="50" s="1"/>
  <c r="J39" i="50"/>
  <c r="W39" i="50" s="1"/>
  <c r="J38" i="50"/>
  <c r="V38" i="50" s="1"/>
  <c r="J37" i="50"/>
  <c r="W37" i="50" s="1"/>
  <c r="J36" i="50"/>
  <c r="W36" i="50" s="1"/>
  <c r="J35" i="50"/>
  <c r="W35" i="50" s="1"/>
  <c r="J34" i="50"/>
  <c r="V34" i="50" s="1"/>
  <c r="J33" i="50"/>
  <c r="V33" i="50" s="1"/>
  <c r="J32" i="50"/>
  <c r="W32" i="50" s="1"/>
  <c r="J31" i="50"/>
  <c r="W31" i="50" s="1"/>
  <c r="J30" i="50"/>
  <c r="W30" i="50" s="1"/>
  <c r="J29" i="50"/>
  <c r="W29" i="50" s="1"/>
  <c r="J28" i="50"/>
  <c r="W28" i="50" s="1"/>
  <c r="J27" i="50"/>
  <c r="V27" i="50" s="1"/>
  <c r="J26" i="50"/>
  <c r="V26" i="50" s="1"/>
  <c r="J25" i="50"/>
  <c r="J24" i="50"/>
  <c r="J23" i="50"/>
  <c r="W23" i="50" s="1"/>
  <c r="J22" i="50"/>
  <c r="W22" i="50" s="1"/>
  <c r="J21" i="50"/>
  <c r="J20" i="50"/>
  <c r="J19" i="50"/>
  <c r="W19" i="50" s="1"/>
  <c r="J18" i="50"/>
  <c r="V18" i="50" s="1"/>
  <c r="J17" i="50"/>
  <c r="J16" i="50"/>
  <c r="V16" i="50" s="1"/>
  <c r="J15" i="50"/>
  <c r="W15" i="50" s="1"/>
  <c r="J14" i="50"/>
  <c r="W14" i="50" s="1"/>
  <c r="W13" i="50"/>
  <c r="J13" i="50"/>
  <c r="V13" i="50" s="1"/>
  <c r="J12" i="50"/>
  <c r="W12" i="50" s="1"/>
  <c r="J11" i="50"/>
  <c r="P10" i="50"/>
  <c r="J10" i="50"/>
  <c r="W10" i="50" s="1"/>
  <c r="J9" i="50"/>
  <c r="W9" i="50" s="1"/>
  <c r="W8" i="50"/>
  <c r="N8" i="50"/>
  <c r="J8" i="50"/>
  <c r="V8" i="50" s="1"/>
  <c r="N6" i="50"/>
  <c r="R6" i="50" s="1"/>
  <c r="J6" i="50"/>
  <c r="V6" i="50" s="1"/>
  <c r="N4" i="50"/>
  <c r="V14" i="50" l="1"/>
  <c r="V37" i="50"/>
  <c r="V48" i="50"/>
  <c r="V52" i="50"/>
  <c r="V56" i="50"/>
  <c r="W87" i="50"/>
  <c r="V89" i="50"/>
  <c r="V111" i="50"/>
  <c r="W174" i="50"/>
  <c r="W176" i="50"/>
  <c r="W178" i="50"/>
  <c r="W180" i="50"/>
  <c r="W182" i="50"/>
  <c r="W88" i="50"/>
  <c r="V90" i="50"/>
  <c r="W110" i="50"/>
  <c r="V32" i="50"/>
  <c r="W85" i="50"/>
  <c r="W83" i="50"/>
  <c r="V23" i="50"/>
  <c r="W16" i="50"/>
  <c r="W69" i="50"/>
  <c r="V67" i="50"/>
  <c r="V12" i="50"/>
  <c r="V140" i="50"/>
  <c r="V139" i="50"/>
  <c r="W7" i="50"/>
  <c r="V149" i="50"/>
  <c r="V151" i="50"/>
  <c r="W153" i="50"/>
  <c r="V158" i="50"/>
  <c r="W160" i="50"/>
  <c r="W166" i="50"/>
  <c r="V168" i="50"/>
  <c r="W171" i="50"/>
  <c r="V148" i="50"/>
  <c r="V150" i="50"/>
  <c r="W152" i="50"/>
  <c r="V154" i="50"/>
  <c r="V157" i="50"/>
  <c r="W159" i="50"/>
  <c r="V165" i="50"/>
  <c r="V167" i="50"/>
  <c r="W172" i="50"/>
  <c r="N10" i="50"/>
  <c r="V79" i="50"/>
  <c r="W91" i="50"/>
  <c r="V93" i="50"/>
  <c r="V68" i="50"/>
  <c r="W70" i="50"/>
  <c r="V77" i="50"/>
  <c r="W82" i="50"/>
  <c r="V84" i="50"/>
  <c r="V86" i="50"/>
  <c r="W92" i="50"/>
  <c r="V94" i="50"/>
  <c r="V9" i="50"/>
  <c r="V10" i="50"/>
  <c r="V19" i="50"/>
  <c r="W27" i="50"/>
  <c r="W34" i="50"/>
  <c r="W38" i="50"/>
  <c r="W42" i="50"/>
  <c r="V44" i="50"/>
  <c r="W18" i="50"/>
  <c r="W26" i="50"/>
  <c r="V28" i="50"/>
  <c r="W33" i="50"/>
  <c r="V35" i="50"/>
  <c r="V39" i="50"/>
  <c r="W43" i="50"/>
  <c r="V11" i="50"/>
  <c r="W11" i="50"/>
  <c r="W20" i="50"/>
  <c r="V20" i="50"/>
  <c r="W75" i="50"/>
  <c r="V75" i="50"/>
  <c r="W74" i="50"/>
  <c r="V74" i="50"/>
  <c r="V17" i="50"/>
  <c r="W17" i="50"/>
  <c r="V25" i="50"/>
  <c r="W25" i="50"/>
  <c r="V71" i="50"/>
  <c r="W71" i="50"/>
  <c r="W21" i="50"/>
  <c r="V21" i="50"/>
  <c r="J59" i="50"/>
  <c r="V24" i="50"/>
  <c r="W24" i="50"/>
  <c r="W141" i="50"/>
  <c r="V141" i="50"/>
  <c r="W6" i="50"/>
  <c r="V15" i="50"/>
  <c r="V22" i="50"/>
  <c r="V29" i="50"/>
  <c r="V30" i="50"/>
  <c r="V31" i="50"/>
  <c r="V36" i="50"/>
  <c r="V40" i="50"/>
  <c r="V45" i="50"/>
  <c r="V49" i="50"/>
  <c r="V53" i="50"/>
  <c r="V57" i="50"/>
  <c r="V72" i="50"/>
  <c r="V73" i="50"/>
  <c r="V76" i="50"/>
  <c r="V80" i="50"/>
  <c r="W95" i="50"/>
  <c r="V97" i="50"/>
  <c r="W99" i="50"/>
  <c r="J129" i="50"/>
  <c r="W142" i="50"/>
  <c r="V142" i="50"/>
  <c r="W146" i="50"/>
  <c r="V146" i="50"/>
  <c r="W156" i="50"/>
  <c r="V156" i="50"/>
  <c r="W162" i="50"/>
  <c r="V162" i="50"/>
  <c r="W170" i="50"/>
  <c r="V170" i="50"/>
  <c r="W155" i="50"/>
  <c r="V155" i="50"/>
  <c r="W100" i="50"/>
  <c r="V100" i="50"/>
  <c r="J183" i="50"/>
  <c r="W143" i="50"/>
  <c r="V143" i="50"/>
  <c r="W147" i="50"/>
  <c r="V147" i="50"/>
  <c r="W163" i="50"/>
  <c r="V163" i="50"/>
  <c r="W145" i="50"/>
  <c r="V145" i="50"/>
  <c r="W169" i="50"/>
  <c r="V169" i="50"/>
  <c r="V78" i="50"/>
  <c r="W96" i="50"/>
  <c r="W144" i="50"/>
  <c r="V144" i="50"/>
  <c r="V161" i="50"/>
  <c r="W164" i="50"/>
  <c r="V164" i="50"/>
  <c r="W137" i="50"/>
  <c r="H171" i="49"/>
  <c r="H170" i="49"/>
  <c r="H169" i="49"/>
  <c r="H99" i="49"/>
  <c r="H43" i="49"/>
  <c r="V129" i="50" l="1"/>
  <c r="V59" i="50"/>
  <c r="O4" i="50" s="1"/>
  <c r="Q4" i="50" s="1"/>
  <c r="Q10" i="50" s="1"/>
  <c r="V183" i="50"/>
  <c r="R8" i="50" s="1"/>
  <c r="W129" i="50"/>
  <c r="W59" i="50"/>
  <c r="W183" i="50"/>
  <c r="H97" i="49"/>
  <c r="H167" i="49"/>
  <c r="H166" i="49"/>
  <c r="H95" i="49"/>
  <c r="H164" i="49"/>
  <c r="H162" i="49"/>
  <c r="H93" i="49"/>
  <c r="H34" i="49"/>
  <c r="R4" i="50" l="1"/>
  <c r="O10" i="50"/>
  <c r="R10" i="50" s="1"/>
  <c r="P12" i="50" s="1"/>
  <c r="H161" i="49"/>
  <c r="H159" i="49"/>
  <c r="H156" i="49"/>
  <c r="H155" i="49"/>
  <c r="H154" i="49"/>
  <c r="J93" i="49"/>
  <c r="J90" i="49"/>
  <c r="H91" i="49"/>
  <c r="H89" i="49"/>
  <c r="J89" i="49" s="1"/>
  <c r="H87" i="49"/>
  <c r="H31" i="49"/>
  <c r="H30" i="49"/>
  <c r="H27" i="49"/>
  <c r="H25" i="49"/>
  <c r="H24" i="49"/>
  <c r="H152" i="49" l="1"/>
  <c r="H86" i="49"/>
  <c r="H85" i="49"/>
  <c r="H84" i="49" l="1"/>
  <c r="H21" i="49"/>
  <c r="H20" i="49"/>
  <c r="H82" i="49"/>
  <c r="H17" i="49"/>
  <c r="H147" i="49"/>
  <c r="H75" i="49" l="1"/>
  <c r="H74" i="49"/>
  <c r="H72" i="49"/>
  <c r="H71" i="49"/>
  <c r="H69" i="49"/>
  <c r="H11" i="49"/>
  <c r="H141" i="49" l="1"/>
  <c r="J182" i="49"/>
  <c r="W182" i="49" s="1"/>
  <c r="J181" i="49"/>
  <c r="W181" i="49" s="1"/>
  <c r="W180" i="49"/>
  <c r="J180" i="49"/>
  <c r="V180" i="49" s="1"/>
  <c r="V179" i="49"/>
  <c r="J179" i="49"/>
  <c r="W179" i="49" s="1"/>
  <c r="J178" i="49"/>
  <c r="W178" i="49" s="1"/>
  <c r="J177" i="49"/>
  <c r="W177" i="49" s="1"/>
  <c r="W176" i="49"/>
  <c r="J176" i="49"/>
  <c r="V176" i="49" s="1"/>
  <c r="V175" i="49"/>
  <c r="J175" i="49"/>
  <c r="W175" i="49" s="1"/>
  <c r="J174" i="49"/>
  <c r="W174" i="49" s="1"/>
  <c r="J173" i="49"/>
  <c r="W173" i="49" s="1"/>
  <c r="W172" i="49"/>
  <c r="J172" i="49"/>
  <c r="V172" i="49" s="1"/>
  <c r="V171" i="49"/>
  <c r="J171" i="49"/>
  <c r="W171" i="49" s="1"/>
  <c r="J170" i="49"/>
  <c r="W170" i="49" s="1"/>
  <c r="J169" i="49"/>
  <c r="V169" i="49" s="1"/>
  <c r="J168" i="49"/>
  <c r="V168" i="49" s="1"/>
  <c r="J167" i="49"/>
  <c r="J166" i="49"/>
  <c r="J165" i="49"/>
  <c r="J164" i="49"/>
  <c r="W164" i="49" s="1"/>
  <c r="J163" i="49"/>
  <c r="W163" i="49" s="1"/>
  <c r="J162" i="49"/>
  <c r="W162" i="49" s="1"/>
  <c r="J161" i="49"/>
  <c r="V161" i="49" s="1"/>
  <c r="V160" i="49"/>
  <c r="J160" i="49"/>
  <c r="W160" i="49" s="1"/>
  <c r="J159" i="49"/>
  <c r="V159" i="49" s="1"/>
  <c r="J158" i="49"/>
  <c r="J157" i="49"/>
  <c r="J156" i="49"/>
  <c r="J155" i="49"/>
  <c r="J154" i="49"/>
  <c r="W154" i="49" s="1"/>
  <c r="J153" i="49"/>
  <c r="W153" i="49" s="1"/>
  <c r="J152" i="49"/>
  <c r="W152" i="49" s="1"/>
  <c r="J151" i="49"/>
  <c r="W151" i="49" s="1"/>
  <c r="V150" i="49"/>
  <c r="J150" i="49"/>
  <c r="W150" i="49" s="1"/>
  <c r="J149" i="49"/>
  <c r="W149" i="49" s="1"/>
  <c r="J148" i="49"/>
  <c r="W148" i="49" s="1"/>
  <c r="J147" i="49"/>
  <c r="W147" i="49" s="1"/>
  <c r="J146" i="49"/>
  <c r="W146" i="49" s="1"/>
  <c r="J145" i="49"/>
  <c r="V145" i="49" s="1"/>
  <c r="J144" i="49"/>
  <c r="J143" i="49"/>
  <c r="J142" i="49"/>
  <c r="J141" i="49"/>
  <c r="W141" i="49" s="1"/>
  <c r="J140" i="49"/>
  <c r="W140" i="49" s="1"/>
  <c r="W139" i="49"/>
  <c r="J139" i="49"/>
  <c r="V139" i="49" s="1"/>
  <c r="J138" i="49"/>
  <c r="W138" i="49" s="1"/>
  <c r="B138" i="49"/>
  <c r="B139" i="49" s="1"/>
  <c r="B140" i="49" s="1"/>
  <c r="B141" i="49" s="1"/>
  <c r="B142" i="49" s="1"/>
  <c r="B143" i="49" s="1"/>
  <c r="B144" i="49" s="1"/>
  <c r="B145" i="49" s="1"/>
  <c r="B146" i="49" s="1"/>
  <c r="B147" i="49" s="1"/>
  <c r="B148" i="49" s="1"/>
  <c r="B149" i="49" s="1"/>
  <c r="B150" i="49" s="1"/>
  <c r="B151" i="49" s="1"/>
  <c r="B152" i="49" s="1"/>
  <c r="B153" i="49" s="1"/>
  <c r="B154" i="49" s="1"/>
  <c r="B155" i="49" s="1"/>
  <c r="B156" i="49" s="1"/>
  <c r="B157" i="49" s="1"/>
  <c r="B158" i="49" s="1"/>
  <c r="B159" i="49" s="1"/>
  <c r="B160" i="49" s="1"/>
  <c r="B161" i="49" s="1"/>
  <c r="B162" i="49" s="1"/>
  <c r="B163" i="49" s="1"/>
  <c r="B164" i="49" s="1"/>
  <c r="B165" i="49" s="1"/>
  <c r="B166" i="49" s="1"/>
  <c r="B167" i="49" s="1"/>
  <c r="B168" i="49" s="1"/>
  <c r="B169" i="49" s="1"/>
  <c r="B170" i="49" s="1"/>
  <c r="B171" i="49" s="1"/>
  <c r="B172" i="49" s="1"/>
  <c r="B173" i="49" s="1"/>
  <c r="B174" i="49" s="1"/>
  <c r="B175" i="49" s="1"/>
  <c r="B176" i="49" s="1"/>
  <c r="B177" i="49" s="1"/>
  <c r="B178" i="49" s="1"/>
  <c r="B179" i="49" s="1"/>
  <c r="B180" i="49" s="1"/>
  <c r="B181" i="49" s="1"/>
  <c r="B182" i="49" s="1"/>
  <c r="J137" i="49"/>
  <c r="W137" i="49" s="1"/>
  <c r="J128" i="49"/>
  <c r="W128" i="49" s="1"/>
  <c r="J127" i="49"/>
  <c r="W127" i="49" s="1"/>
  <c r="J126" i="49"/>
  <c r="W126" i="49" s="1"/>
  <c r="J125" i="49"/>
  <c r="W125" i="49" s="1"/>
  <c r="J124" i="49"/>
  <c r="W124" i="49" s="1"/>
  <c r="J123" i="49"/>
  <c r="W123" i="49" s="1"/>
  <c r="J122" i="49"/>
  <c r="W122" i="49" s="1"/>
  <c r="J121" i="49"/>
  <c r="W121" i="49" s="1"/>
  <c r="J120" i="49"/>
  <c r="W120" i="49" s="1"/>
  <c r="J119" i="49"/>
  <c r="W119" i="49" s="1"/>
  <c r="J118" i="49"/>
  <c r="W118" i="49" s="1"/>
  <c r="J117" i="49"/>
  <c r="W117" i="49" s="1"/>
  <c r="J116" i="49"/>
  <c r="W116" i="49" s="1"/>
  <c r="J115" i="49"/>
  <c r="W115" i="49" s="1"/>
  <c r="J114" i="49"/>
  <c r="W114" i="49" s="1"/>
  <c r="J113" i="49"/>
  <c r="W113" i="49" s="1"/>
  <c r="J112" i="49"/>
  <c r="W112" i="49" s="1"/>
  <c r="B112" i="49"/>
  <c r="B113" i="49" s="1"/>
  <c r="B114" i="49" s="1"/>
  <c r="B115" i="49" s="1"/>
  <c r="B116" i="49" s="1"/>
  <c r="B117" i="49" s="1"/>
  <c r="B118" i="49" s="1"/>
  <c r="B119" i="49" s="1"/>
  <c r="B120" i="49" s="1"/>
  <c r="B121" i="49" s="1"/>
  <c r="B122" i="49" s="1"/>
  <c r="B123" i="49" s="1"/>
  <c r="B124" i="49" s="1"/>
  <c r="B125" i="49" s="1"/>
  <c r="B126" i="49" s="1"/>
  <c r="B127" i="49" s="1"/>
  <c r="B128" i="49" s="1"/>
  <c r="J111" i="49"/>
  <c r="W111" i="49" s="1"/>
  <c r="J110" i="49"/>
  <c r="J109" i="49"/>
  <c r="J108" i="49"/>
  <c r="J107" i="49"/>
  <c r="J106" i="49"/>
  <c r="J105" i="49"/>
  <c r="J104" i="49"/>
  <c r="J103" i="49"/>
  <c r="J102" i="49"/>
  <c r="J101" i="49"/>
  <c r="W101" i="49" s="1"/>
  <c r="J100" i="49"/>
  <c r="V100" i="49" s="1"/>
  <c r="J99" i="49"/>
  <c r="W99" i="49" s="1"/>
  <c r="J98" i="49"/>
  <c r="W98" i="49" s="1"/>
  <c r="J97" i="49"/>
  <c r="V97" i="49" s="1"/>
  <c r="J96" i="49"/>
  <c r="J95" i="49"/>
  <c r="J94" i="49"/>
  <c r="J92" i="49"/>
  <c r="J91" i="49"/>
  <c r="W91" i="49" s="1"/>
  <c r="W90" i="49"/>
  <c r="W89" i="49"/>
  <c r="J88" i="49"/>
  <c r="V88" i="49" s="1"/>
  <c r="J87" i="49"/>
  <c r="W87" i="49" s="1"/>
  <c r="J86" i="49"/>
  <c r="V86" i="49" s="1"/>
  <c r="J85" i="49"/>
  <c r="J84" i="49"/>
  <c r="J83" i="49"/>
  <c r="W83" i="49" s="1"/>
  <c r="J82" i="49"/>
  <c r="W82" i="49" s="1"/>
  <c r="J81" i="49"/>
  <c r="V81" i="49" s="1"/>
  <c r="J80" i="49"/>
  <c r="V80" i="49" s="1"/>
  <c r="J79" i="49"/>
  <c r="W79" i="49" s="1"/>
  <c r="J78" i="49"/>
  <c r="V78" i="49" s="1"/>
  <c r="J77" i="49"/>
  <c r="J76" i="49"/>
  <c r="W76" i="49" s="1"/>
  <c r="J75" i="49"/>
  <c r="W75" i="49" s="1"/>
  <c r="J74" i="49"/>
  <c r="V74" i="49" s="1"/>
  <c r="J73" i="49"/>
  <c r="W73" i="49" s="1"/>
  <c r="J72" i="49"/>
  <c r="W72" i="49" s="1"/>
  <c r="J71" i="49"/>
  <c r="W71" i="49" s="1"/>
  <c r="J70" i="49"/>
  <c r="V70" i="49" s="1"/>
  <c r="J69" i="49"/>
  <c r="V69" i="49" s="1"/>
  <c r="J68" i="49"/>
  <c r="V68" i="49" s="1"/>
  <c r="B68" i="49"/>
  <c r="B69" i="49" s="1"/>
  <c r="B70" i="49" s="1"/>
  <c r="B71" i="49" s="1"/>
  <c r="B72" i="49" s="1"/>
  <c r="B73" i="49" s="1"/>
  <c r="B74" i="49" s="1"/>
  <c r="B75" i="49" s="1"/>
  <c r="B76" i="49" s="1"/>
  <c r="B77" i="49" s="1"/>
  <c r="B78" i="49" s="1"/>
  <c r="B79" i="49" s="1"/>
  <c r="B80" i="49" s="1"/>
  <c r="B81" i="49" s="1"/>
  <c r="B82" i="49" s="1"/>
  <c r="B83" i="49" s="1"/>
  <c r="B84" i="49" s="1"/>
  <c r="B85" i="49" s="1"/>
  <c r="B86" i="49" s="1"/>
  <c r="B87" i="49" s="1"/>
  <c r="B88" i="49" s="1"/>
  <c r="B89" i="49" s="1"/>
  <c r="B90" i="49" s="1"/>
  <c r="B91" i="49" s="1"/>
  <c r="B92" i="49" s="1"/>
  <c r="B93" i="49" s="1"/>
  <c r="B94" i="49" s="1"/>
  <c r="B95" i="49" s="1"/>
  <c r="B96" i="49" s="1"/>
  <c r="B97" i="49" s="1"/>
  <c r="B98" i="49" s="1"/>
  <c r="B99" i="49" s="1"/>
  <c r="B100" i="49" s="1"/>
  <c r="J67" i="49"/>
  <c r="V67" i="49" s="1"/>
  <c r="W58" i="49"/>
  <c r="V58" i="49"/>
  <c r="J58" i="49"/>
  <c r="J57" i="49"/>
  <c r="W57" i="49" s="1"/>
  <c r="J56" i="49"/>
  <c r="W56" i="49" s="1"/>
  <c r="J55" i="49"/>
  <c r="V55" i="49" s="1"/>
  <c r="W54" i="49"/>
  <c r="J54" i="49"/>
  <c r="V54" i="49" s="1"/>
  <c r="J53" i="49"/>
  <c r="W53" i="49" s="1"/>
  <c r="V52" i="49"/>
  <c r="J52" i="49"/>
  <c r="W52" i="49" s="1"/>
  <c r="J51" i="49"/>
  <c r="V51" i="49" s="1"/>
  <c r="W50" i="49"/>
  <c r="V50" i="49"/>
  <c r="J50" i="49"/>
  <c r="J49" i="49"/>
  <c r="W49" i="49" s="1"/>
  <c r="J48" i="49"/>
  <c r="W48" i="49" s="1"/>
  <c r="J47" i="49"/>
  <c r="V47" i="49" s="1"/>
  <c r="W46" i="49"/>
  <c r="J46" i="49"/>
  <c r="V46" i="49" s="1"/>
  <c r="J45" i="49"/>
  <c r="W45" i="49" s="1"/>
  <c r="J44" i="49"/>
  <c r="W44" i="49" s="1"/>
  <c r="J43" i="49"/>
  <c r="V43" i="49" s="1"/>
  <c r="J42" i="49"/>
  <c r="W42" i="49" s="1"/>
  <c r="J41" i="49"/>
  <c r="W41" i="49" s="1"/>
  <c r="J40" i="49"/>
  <c r="J39" i="49"/>
  <c r="W39" i="49" s="1"/>
  <c r="J38" i="49"/>
  <c r="W38" i="49" s="1"/>
  <c r="J37" i="49"/>
  <c r="W37" i="49" s="1"/>
  <c r="J36" i="49"/>
  <c r="V36" i="49" s="1"/>
  <c r="J35" i="49"/>
  <c r="V35" i="49" s="1"/>
  <c r="J34" i="49"/>
  <c r="W34" i="49" s="1"/>
  <c r="J33" i="49"/>
  <c r="V33" i="49" s="1"/>
  <c r="J32" i="49"/>
  <c r="V32" i="49" s="1"/>
  <c r="J31" i="49"/>
  <c r="W31" i="49" s="1"/>
  <c r="J30" i="49"/>
  <c r="W30" i="49" s="1"/>
  <c r="J29" i="49"/>
  <c r="W29" i="49" s="1"/>
  <c r="J28" i="49"/>
  <c r="W28" i="49" s="1"/>
  <c r="J27" i="49"/>
  <c r="W27" i="49" s="1"/>
  <c r="J26" i="49"/>
  <c r="W26" i="49" s="1"/>
  <c r="J25" i="49"/>
  <c r="W25" i="49" s="1"/>
  <c r="J24" i="49"/>
  <c r="J23" i="49"/>
  <c r="J22" i="49"/>
  <c r="J21" i="49"/>
  <c r="W21" i="49" s="1"/>
  <c r="J20" i="49"/>
  <c r="W20" i="49" s="1"/>
  <c r="J19" i="49"/>
  <c r="W19" i="49" s="1"/>
  <c r="J18" i="49"/>
  <c r="W18" i="49" s="1"/>
  <c r="J17" i="49"/>
  <c r="W17" i="49" s="1"/>
  <c r="J16" i="49"/>
  <c r="W16" i="49" s="1"/>
  <c r="J15" i="49"/>
  <c r="V15" i="49" s="1"/>
  <c r="J14" i="49"/>
  <c r="W14" i="49" s="1"/>
  <c r="J13" i="49"/>
  <c r="W13" i="49" s="1"/>
  <c r="J12" i="49"/>
  <c r="W12" i="49" s="1"/>
  <c r="J11" i="49"/>
  <c r="V11" i="49" s="1"/>
  <c r="P10" i="49"/>
  <c r="J10" i="49"/>
  <c r="W10" i="49" s="1"/>
  <c r="J9" i="49"/>
  <c r="V9" i="49" s="1"/>
  <c r="N8" i="49"/>
  <c r="J8" i="49"/>
  <c r="V8" i="49" s="1"/>
  <c r="J7" i="49"/>
  <c r="W7" i="49" s="1"/>
  <c r="V6" i="49"/>
  <c r="N6" i="49"/>
  <c r="R6" i="49" s="1"/>
  <c r="J6" i="49"/>
  <c r="W6" i="49" s="1"/>
  <c r="N4" i="49"/>
  <c r="V49" i="49" l="1"/>
  <c r="V57" i="49"/>
  <c r="V115" i="49"/>
  <c r="V174" i="49"/>
  <c r="V178" i="49"/>
  <c r="V182" i="49"/>
  <c r="W47" i="49"/>
  <c r="W55" i="49"/>
  <c r="V123" i="49"/>
  <c r="V173" i="49"/>
  <c r="V177" i="49"/>
  <c r="V181" i="49"/>
  <c r="V170" i="49"/>
  <c r="V44" i="49"/>
  <c r="V42" i="49"/>
  <c r="W169" i="49"/>
  <c r="V38" i="49"/>
  <c r="W36" i="49"/>
  <c r="W35" i="49"/>
  <c r="V34" i="49"/>
  <c r="W161" i="49"/>
  <c r="V73" i="49"/>
  <c r="V99" i="49"/>
  <c r="V101" i="49"/>
  <c r="V111" i="49"/>
  <c r="V113" i="49"/>
  <c r="V121" i="49"/>
  <c r="V119" i="49"/>
  <c r="V127" i="49"/>
  <c r="W100" i="49"/>
  <c r="V117" i="49"/>
  <c r="V125" i="49"/>
  <c r="V91" i="49"/>
  <c r="V89" i="49"/>
  <c r="W88" i="49"/>
  <c r="V87" i="49"/>
  <c r="V28" i="49"/>
  <c r="V149" i="49"/>
  <c r="W81" i="49"/>
  <c r="W80" i="49"/>
  <c r="V146" i="49"/>
  <c r="W78" i="49"/>
  <c r="V79" i="49"/>
  <c r="W74" i="49"/>
  <c r="V20" i="49"/>
  <c r="V16" i="49"/>
  <c r="V12" i="49"/>
  <c r="W11" i="49"/>
  <c r="V140" i="49"/>
  <c r="W8" i="49"/>
  <c r="V7" i="49"/>
  <c r="V137" i="49"/>
  <c r="V138" i="49"/>
  <c r="V148" i="49"/>
  <c r="V152" i="49"/>
  <c r="V147" i="49"/>
  <c r="V151" i="49"/>
  <c r="W159" i="49"/>
  <c r="V162" i="49"/>
  <c r="W69" i="49"/>
  <c r="V72" i="49"/>
  <c r="V82" i="49"/>
  <c r="V90" i="49"/>
  <c r="V98" i="49"/>
  <c r="N10" i="49"/>
  <c r="W68" i="49"/>
  <c r="V76" i="49"/>
  <c r="W97" i="49"/>
  <c r="V10" i="49"/>
  <c r="V13" i="49"/>
  <c r="V17" i="49"/>
  <c r="V21" i="49"/>
  <c r="V29" i="49"/>
  <c r="V37" i="49"/>
  <c r="V41" i="49"/>
  <c r="V22" i="49"/>
  <c r="W22" i="49"/>
  <c r="V23" i="49"/>
  <c r="W23" i="49"/>
  <c r="W77" i="49"/>
  <c r="V77" i="49"/>
  <c r="W165" i="49"/>
  <c r="V165" i="49"/>
  <c r="W92" i="49"/>
  <c r="V92" i="49"/>
  <c r="V24" i="49"/>
  <c r="W24" i="49"/>
  <c r="W40" i="49"/>
  <c r="V40" i="49"/>
  <c r="W155" i="49"/>
  <c r="V155" i="49"/>
  <c r="W142" i="49"/>
  <c r="V142" i="49"/>
  <c r="V19" i="49"/>
  <c r="V26" i="49"/>
  <c r="V27" i="49"/>
  <c r="V31" i="49"/>
  <c r="J59" i="49"/>
  <c r="V71" i="49"/>
  <c r="V75" i="49"/>
  <c r="W94" i="49"/>
  <c r="V94" i="49"/>
  <c r="W110" i="49"/>
  <c r="V110" i="49"/>
  <c r="V154" i="49"/>
  <c r="W158" i="49"/>
  <c r="V158" i="49"/>
  <c r="W166" i="49"/>
  <c r="V166" i="49"/>
  <c r="W9" i="49"/>
  <c r="V14" i="49"/>
  <c r="W15" i="49"/>
  <c r="V18" i="49"/>
  <c r="V25" i="49"/>
  <c r="V30" i="49"/>
  <c r="W32" i="49"/>
  <c r="W33" i="49"/>
  <c r="V39" i="49"/>
  <c r="W43" i="49"/>
  <c r="V45" i="49"/>
  <c r="V48" i="49"/>
  <c r="W51" i="49"/>
  <c r="V53" i="49"/>
  <c r="V56" i="49"/>
  <c r="W70" i="49"/>
  <c r="V83" i="49"/>
  <c r="W85" i="49"/>
  <c r="V85" i="49"/>
  <c r="V112" i="49"/>
  <c r="V114" i="49"/>
  <c r="V116" i="49"/>
  <c r="V118" i="49"/>
  <c r="V120" i="49"/>
  <c r="V122" i="49"/>
  <c r="V124" i="49"/>
  <c r="V126" i="49"/>
  <c r="V128" i="49"/>
  <c r="V141" i="49"/>
  <c r="W143" i="49"/>
  <c r="V143" i="49"/>
  <c r="W168" i="49"/>
  <c r="W84" i="49"/>
  <c r="V84" i="49"/>
  <c r="W144" i="49"/>
  <c r="V144" i="49"/>
  <c r="W86" i="49"/>
  <c r="W96" i="49"/>
  <c r="V96" i="49"/>
  <c r="W156" i="49"/>
  <c r="V156" i="49"/>
  <c r="V164" i="49"/>
  <c r="J129" i="49"/>
  <c r="W67" i="49"/>
  <c r="W93" i="49"/>
  <c r="V93" i="49"/>
  <c r="W95" i="49"/>
  <c r="V95" i="49"/>
  <c r="W145" i="49"/>
  <c r="V153" i="49"/>
  <c r="W157" i="49"/>
  <c r="V157" i="49"/>
  <c r="V163" i="49"/>
  <c r="W167" i="49"/>
  <c r="V167" i="49"/>
  <c r="J183" i="49"/>
  <c r="N4" i="48"/>
  <c r="H100" i="48"/>
  <c r="H168" i="48"/>
  <c r="V129" i="49" l="1"/>
  <c r="W59" i="49"/>
  <c r="V183" i="49"/>
  <c r="O8" i="49" s="1"/>
  <c r="R8" i="49" s="1"/>
  <c r="W183" i="49"/>
  <c r="V59" i="49"/>
  <c r="O4" i="49" s="1"/>
  <c r="Q4" i="49" s="1"/>
  <c r="W129" i="49"/>
  <c r="H97" i="48"/>
  <c r="H40" i="48"/>
  <c r="O10" i="49" l="1"/>
  <c r="R10" i="49" s="1"/>
  <c r="P12" i="49" s="1"/>
  <c r="Q10" i="49"/>
  <c r="R4" i="49"/>
  <c r="H165" i="48"/>
  <c r="H163" i="48"/>
  <c r="H161" i="48"/>
  <c r="H159" i="48"/>
  <c r="H92" i="48"/>
  <c r="H91" i="48"/>
  <c r="H88" i="48"/>
  <c r="H37" i="48"/>
  <c r="H36" i="48"/>
  <c r="H35" i="48"/>
  <c r="H33" i="48"/>
  <c r="H32" i="48"/>
  <c r="H27" i="48" l="1"/>
  <c r="H24" i="48"/>
  <c r="H23" i="48"/>
  <c r="H22" i="48"/>
  <c r="H155" i="48"/>
  <c r="H153" i="48"/>
  <c r="H86" i="48"/>
  <c r="H84" i="48"/>
  <c r="H83" i="48"/>
  <c r="H80" i="48"/>
  <c r="H78" i="48" l="1"/>
  <c r="H77" i="48"/>
  <c r="H75" i="48"/>
  <c r="H148" i="48"/>
  <c r="H145" i="48"/>
  <c r="H142" i="48" l="1"/>
  <c r="H141" i="48"/>
  <c r="H139" i="48"/>
  <c r="H73" i="48"/>
  <c r="H71" i="48"/>
  <c r="H68" i="48"/>
  <c r="J182" i="48" l="1"/>
  <c r="W182" i="48" s="1"/>
  <c r="J181" i="48"/>
  <c r="W181" i="48" s="1"/>
  <c r="J180" i="48"/>
  <c r="W180" i="48" s="1"/>
  <c r="J179" i="48"/>
  <c r="W179" i="48" s="1"/>
  <c r="J178" i="48"/>
  <c r="W178" i="48" s="1"/>
  <c r="J177" i="48"/>
  <c r="W177" i="48" s="1"/>
  <c r="W176" i="48"/>
  <c r="J176" i="48"/>
  <c r="V176" i="48" s="1"/>
  <c r="J175" i="48"/>
  <c r="W175" i="48" s="1"/>
  <c r="J174" i="48"/>
  <c r="W174" i="48" s="1"/>
  <c r="J173" i="48"/>
  <c r="W173" i="48" s="1"/>
  <c r="J172" i="48"/>
  <c r="V172" i="48" s="1"/>
  <c r="J171" i="48"/>
  <c r="J170" i="48"/>
  <c r="J169" i="48"/>
  <c r="J168" i="48"/>
  <c r="W168" i="48" s="1"/>
  <c r="J167" i="48"/>
  <c r="W167" i="48" s="1"/>
  <c r="J166" i="48"/>
  <c r="W166" i="48" s="1"/>
  <c r="J165" i="48"/>
  <c r="W165" i="48" s="1"/>
  <c r="J164" i="48"/>
  <c r="W164" i="48" s="1"/>
  <c r="J163" i="48"/>
  <c r="J162" i="48"/>
  <c r="J161" i="48"/>
  <c r="V161" i="48" s="1"/>
  <c r="J160" i="48"/>
  <c r="J159" i="48"/>
  <c r="V159" i="48" s="1"/>
  <c r="J158" i="48"/>
  <c r="V158" i="48" s="1"/>
  <c r="J157" i="48"/>
  <c r="W157" i="48" s="1"/>
  <c r="J156" i="48"/>
  <c r="W156" i="48" s="1"/>
  <c r="J155" i="48"/>
  <c r="W155" i="48" s="1"/>
  <c r="J154" i="48"/>
  <c r="J153" i="48"/>
  <c r="V153" i="48" s="1"/>
  <c r="J152" i="48"/>
  <c r="W152" i="48" s="1"/>
  <c r="J151" i="48"/>
  <c r="W151" i="48" s="1"/>
  <c r="J150" i="48"/>
  <c r="V150" i="48" s="1"/>
  <c r="J149" i="48"/>
  <c r="V149" i="48" s="1"/>
  <c r="J148" i="48"/>
  <c r="V148" i="48" s="1"/>
  <c r="J147" i="48"/>
  <c r="V147" i="48" s="1"/>
  <c r="J146" i="48"/>
  <c r="J145" i="48"/>
  <c r="V145" i="48" s="1"/>
  <c r="J144" i="48"/>
  <c r="V144" i="48" s="1"/>
  <c r="J143" i="48"/>
  <c r="W143" i="48" s="1"/>
  <c r="J142" i="48"/>
  <c r="W142" i="48" s="1"/>
  <c r="J141" i="48"/>
  <c r="W141" i="48" s="1"/>
  <c r="J140" i="48"/>
  <c r="V140" i="48" s="1"/>
  <c r="J139" i="48"/>
  <c r="V139" i="48" s="1"/>
  <c r="B139" i="48"/>
  <c r="B140" i="48" s="1"/>
  <c r="B141" i="48" s="1"/>
  <c r="B142" i="48" s="1"/>
  <c r="B143" i="48" s="1"/>
  <c r="B144" i="48" s="1"/>
  <c r="B145" i="48" s="1"/>
  <c r="B146" i="48" s="1"/>
  <c r="B147" i="48" s="1"/>
  <c r="B148" i="48" s="1"/>
  <c r="B149" i="48" s="1"/>
  <c r="B150" i="48" s="1"/>
  <c r="B151" i="48" s="1"/>
  <c r="B152" i="48" s="1"/>
  <c r="B153" i="48" s="1"/>
  <c r="B154" i="48" s="1"/>
  <c r="B155" i="48" s="1"/>
  <c r="B156" i="48" s="1"/>
  <c r="B157" i="48" s="1"/>
  <c r="B158" i="48" s="1"/>
  <c r="B159" i="48" s="1"/>
  <c r="B160" i="48" s="1"/>
  <c r="B161" i="48" s="1"/>
  <c r="B162" i="48" s="1"/>
  <c r="B163" i="48" s="1"/>
  <c r="B164" i="48" s="1"/>
  <c r="B165" i="48" s="1"/>
  <c r="B166" i="48" s="1"/>
  <c r="B167" i="48" s="1"/>
  <c r="B168" i="48" s="1"/>
  <c r="B169" i="48" s="1"/>
  <c r="B170" i="48" s="1"/>
  <c r="B171" i="48" s="1"/>
  <c r="B172" i="48" s="1"/>
  <c r="B173" i="48" s="1"/>
  <c r="B174" i="48" s="1"/>
  <c r="B175" i="48" s="1"/>
  <c r="B176" i="48" s="1"/>
  <c r="B177" i="48" s="1"/>
  <c r="B178" i="48" s="1"/>
  <c r="B179" i="48" s="1"/>
  <c r="B180" i="48" s="1"/>
  <c r="B181" i="48" s="1"/>
  <c r="B182" i="48" s="1"/>
  <c r="J138" i="48"/>
  <c r="V138" i="48" s="1"/>
  <c r="B138" i="48"/>
  <c r="J137" i="48"/>
  <c r="W137" i="48" s="1"/>
  <c r="W128" i="48"/>
  <c r="J128" i="48"/>
  <c r="V128" i="48" s="1"/>
  <c r="J127" i="48"/>
  <c r="W127" i="48" s="1"/>
  <c r="J126" i="48"/>
  <c r="J125" i="48"/>
  <c r="V125" i="48" s="1"/>
  <c r="W124" i="48"/>
  <c r="J124" i="48"/>
  <c r="V124" i="48" s="1"/>
  <c r="J123" i="48"/>
  <c r="W123" i="48" s="1"/>
  <c r="J122" i="48"/>
  <c r="J121" i="48"/>
  <c r="V121" i="48" s="1"/>
  <c r="W120" i="48"/>
  <c r="V120" i="48"/>
  <c r="J120" i="48"/>
  <c r="J119" i="48"/>
  <c r="W119" i="48" s="1"/>
  <c r="J118" i="48"/>
  <c r="W117" i="48"/>
  <c r="J117" i="48"/>
  <c r="V117" i="48" s="1"/>
  <c r="J116" i="48"/>
  <c r="W116" i="48" s="1"/>
  <c r="J115" i="48"/>
  <c r="W115" i="48" s="1"/>
  <c r="J114" i="48"/>
  <c r="J113" i="48"/>
  <c r="V113" i="48" s="1"/>
  <c r="J112" i="48"/>
  <c r="W112" i="48" s="1"/>
  <c r="B112" i="48"/>
  <c r="B113" i="48" s="1"/>
  <c r="B114" i="48" s="1"/>
  <c r="B115" i="48" s="1"/>
  <c r="B116" i="48" s="1"/>
  <c r="B117" i="48" s="1"/>
  <c r="B118" i="48" s="1"/>
  <c r="B119" i="48" s="1"/>
  <c r="B120" i="48" s="1"/>
  <c r="B121" i="48" s="1"/>
  <c r="B122" i="48" s="1"/>
  <c r="B123" i="48" s="1"/>
  <c r="B124" i="48" s="1"/>
  <c r="B125" i="48" s="1"/>
  <c r="B126" i="48" s="1"/>
  <c r="B127" i="48" s="1"/>
  <c r="B128" i="48" s="1"/>
  <c r="J111" i="48"/>
  <c r="W111" i="48" s="1"/>
  <c r="J110" i="48"/>
  <c r="J109" i="48"/>
  <c r="J108" i="48"/>
  <c r="J107" i="48"/>
  <c r="J106" i="48"/>
  <c r="J105" i="48"/>
  <c r="J104" i="48"/>
  <c r="J103" i="48"/>
  <c r="J102" i="48"/>
  <c r="J101" i="48"/>
  <c r="V101" i="48" s="1"/>
  <c r="J100" i="48"/>
  <c r="W100" i="48" s="1"/>
  <c r="J99" i="48"/>
  <c r="W99" i="48" s="1"/>
  <c r="J98" i="48"/>
  <c r="W98" i="48" s="1"/>
  <c r="J97" i="48"/>
  <c r="W97" i="48" s="1"/>
  <c r="J96" i="48"/>
  <c r="W96" i="48" s="1"/>
  <c r="J95" i="48"/>
  <c r="J94" i="48"/>
  <c r="J93" i="48"/>
  <c r="W93" i="48" s="1"/>
  <c r="J92" i="48"/>
  <c r="W92" i="48" s="1"/>
  <c r="J91" i="48"/>
  <c r="W91" i="48" s="1"/>
  <c r="J90" i="48"/>
  <c r="W90" i="48" s="1"/>
  <c r="J89" i="48"/>
  <c r="W89" i="48" s="1"/>
  <c r="J88" i="48"/>
  <c r="V88" i="48" s="1"/>
  <c r="J87" i="48"/>
  <c r="J86" i="48"/>
  <c r="J85" i="48"/>
  <c r="W85" i="48" s="1"/>
  <c r="J84" i="48"/>
  <c r="W84" i="48" s="1"/>
  <c r="J83" i="48"/>
  <c r="V83" i="48" s="1"/>
  <c r="J82" i="48"/>
  <c r="V82" i="48" s="1"/>
  <c r="J81" i="48"/>
  <c r="V81" i="48" s="1"/>
  <c r="J80" i="48"/>
  <c r="W80" i="48" s="1"/>
  <c r="J79" i="48"/>
  <c r="W79" i="48" s="1"/>
  <c r="J78" i="48"/>
  <c r="J77" i="48"/>
  <c r="W77" i="48" s="1"/>
  <c r="J76" i="48"/>
  <c r="W76" i="48" s="1"/>
  <c r="J75" i="48"/>
  <c r="W75" i="48" s="1"/>
  <c r="J74" i="48"/>
  <c r="W74" i="48" s="1"/>
  <c r="J73" i="48"/>
  <c r="J72" i="48"/>
  <c r="V72" i="48" s="1"/>
  <c r="J71" i="48"/>
  <c r="J70" i="48"/>
  <c r="J69" i="48"/>
  <c r="B69" i="48"/>
  <c r="B70" i="48" s="1"/>
  <c r="B71" i="48" s="1"/>
  <c r="B72" i="48" s="1"/>
  <c r="B73" i="48" s="1"/>
  <c r="B74" i="48" s="1"/>
  <c r="B75" i="48" s="1"/>
  <c r="B76" i="48" s="1"/>
  <c r="B77" i="48" s="1"/>
  <c r="B78" i="48" s="1"/>
  <c r="B79" i="48" s="1"/>
  <c r="B80" i="48" s="1"/>
  <c r="B81" i="48" s="1"/>
  <c r="B82" i="48" s="1"/>
  <c r="B83" i="48" s="1"/>
  <c r="B84" i="48" s="1"/>
  <c r="B85" i="48" s="1"/>
  <c r="B86" i="48" s="1"/>
  <c r="B87" i="48" s="1"/>
  <c r="B88" i="48" s="1"/>
  <c r="B89" i="48" s="1"/>
  <c r="B90" i="48" s="1"/>
  <c r="B91" i="48" s="1"/>
  <c r="B92" i="48" s="1"/>
  <c r="B93" i="48" s="1"/>
  <c r="B94" i="48" s="1"/>
  <c r="B95" i="48" s="1"/>
  <c r="B96" i="48" s="1"/>
  <c r="B97" i="48" s="1"/>
  <c r="B98" i="48" s="1"/>
  <c r="B99" i="48" s="1"/>
  <c r="B100" i="48" s="1"/>
  <c r="J68" i="48"/>
  <c r="B68" i="48"/>
  <c r="J67" i="48"/>
  <c r="V67" i="48" s="1"/>
  <c r="J58" i="48"/>
  <c r="W57" i="48"/>
  <c r="J57" i="48"/>
  <c r="V57" i="48" s="1"/>
  <c r="V56" i="48"/>
  <c r="J56" i="48"/>
  <c r="W56" i="48" s="1"/>
  <c r="J55" i="48"/>
  <c r="W55" i="48" s="1"/>
  <c r="J54" i="48"/>
  <c r="W53" i="48"/>
  <c r="J53" i="48"/>
  <c r="V53" i="48" s="1"/>
  <c r="V52" i="48"/>
  <c r="J52" i="48"/>
  <c r="W52" i="48" s="1"/>
  <c r="J51" i="48"/>
  <c r="W51" i="48" s="1"/>
  <c r="J50" i="48"/>
  <c r="W49" i="48"/>
  <c r="J49" i="48"/>
  <c r="V49" i="48" s="1"/>
  <c r="V48" i="48"/>
  <c r="J48" i="48"/>
  <c r="W48" i="48" s="1"/>
  <c r="J47" i="48"/>
  <c r="W47" i="48" s="1"/>
  <c r="J46" i="48"/>
  <c r="J45" i="48"/>
  <c r="V45" i="48" s="1"/>
  <c r="J44" i="48"/>
  <c r="V44" i="48" s="1"/>
  <c r="J43" i="48"/>
  <c r="V43" i="48" s="1"/>
  <c r="J42" i="48"/>
  <c r="W42" i="48" s="1"/>
  <c r="J41" i="48"/>
  <c r="W41" i="48" s="1"/>
  <c r="J40" i="48"/>
  <c r="W40" i="48" s="1"/>
  <c r="J39" i="48"/>
  <c r="J38" i="48"/>
  <c r="J37" i="48"/>
  <c r="V37" i="48" s="1"/>
  <c r="J36" i="48"/>
  <c r="W36" i="48" s="1"/>
  <c r="J35" i="48"/>
  <c r="W35" i="48" s="1"/>
  <c r="J34" i="48"/>
  <c r="W34" i="48" s="1"/>
  <c r="J33" i="48"/>
  <c r="V33" i="48" s="1"/>
  <c r="J32" i="48"/>
  <c r="W32" i="48" s="1"/>
  <c r="J31" i="48"/>
  <c r="W31" i="48" s="1"/>
  <c r="J30" i="48"/>
  <c r="J29" i="48"/>
  <c r="V29" i="48" s="1"/>
  <c r="J28" i="48"/>
  <c r="W28" i="48" s="1"/>
  <c r="J27" i="48"/>
  <c r="W27" i="48" s="1"/>
  <c r="J26" i="48"/>
  <c r="J25" i="48"/>
  <c r="V25" i="48" s="1"/>
  <c r="J24" i="48"/>
  <c r="V24" i="48" s="1"/>
  <c r="J23" i="48"/>
  <c r="V23" i="48" s="1"/>
  <c r="J22" i="48"/>
  <c r="W22" i="48" s="1"/>
  <c r="J21" i="48"/>
  <c r="J20" i="48"/>
  <c r="J19" i="48"/>
  <c r="V19" i="48" s="1"/>
  <c r="J18" i="48"/>
  <c r="V18" i="48" s="1"/>
  <c r="J17" i="48"/>
  <c r="W17" i="48" s="1"/>
  <c r="J16" i="48"/>
  <c r="W16" i="48" s="1"/>
  <c r="J15" i="48"/>
  <c r="J14" i="48"/>
  <c r="V14" i="48" s="1"/>
  <c r="J13" i="48"/>
  <c r="W13" i="48" s="1"/>
  <c r="J12" i="48"/>
  <c r="W12" i="48" s="1"/>
  <c r="J11" i="48"/>
  <c r="W11" i="48" s="1"/>
  <c r="J10" i="48"/>
  <c r="J9" i="48"/>
  <c r="W9" i="48" s="1"/>
  <c r="N8" i="48"/>
  <c r="J8" i="48"/>
  <c r="W8" i="48" s="1"/>
  <c r="J7" i="48"/>
  <c r="V7" i="48" s="1"/>
  <c r="N6" i="48"/>
  <c r="R6" i="48" s="1"/>
  <c r="J6" i="48"/>
  <c r="W18" i="48" l="1"/>
  <c r="V92" i="48"/>
  <c r="W113" i="48"/>
  <c r="V116" i="48"/>
  <c r="V127" i="48"/>
  <c r="W172" i="48"/>
  <c r="V175" i="48"/>
  <c r="V180" i="48"/>
  <c r="V51" i="48"/>
  <c r="V55" i="48"/>
  <c r="V111" i="48"/>
  <c r="V112" i="48"/>
  <c r="W125" i="48"/>
  <c r="W101" i="48"/>
  <c r="W121" i="48"/>
  <c r="W140" i="48"/>
  <c r="V143" i="48"/>
  <c r="V100" i="48"/>
  <c r="V99" i="48"/>
  <c r="V98" i="48"/>
  <c r="W33" i="48"/>
  <c r="W29" i="48"/>
  <c r="W25" i="48"/>
  <c r="W24" i="48"/>
  <c r="W23" i="48"/>
  <c r="W43" i="48"/>
  <c r="W153" i="48"/>
  <c r="W150" i="48"/>
  <c r="V84" i="48"/>
  <c r="W83" i="48"/>
  <c r="V80" i="48"/>
  <c r="W19" i="48"/>
  <c r="W72" i="48"/>
  <c r="W14" i="48"/>
  <c r="V12" i="48"/>
  <c r="V11" i="48"/>
  <c r="W7" i="48"/>
  <c r="V13" i="48"/>
  <c r="V17" i="48"/>
  <c r="V28" i="48"/>
  <c r="V32" i="48"/>
  <c r="V35" i="48"/>
  <c r="W37" i="48"/>
  <c r="V42" i="48"/>
  <c r="V34" i="48"/>
  <c r="V41" i="48"/>
  <c r="W44" i="48"/>
  <c r="V47" i="48"/>
  <c r="J59" i="48"/>
  <c r="V16" i="48"/>
  <c r="V27" i="48"/>
  <c r="V31" i="48"/>
  <c r="V76" i="48"/>
  <c r="W82" i="48"/>
  <c r="V89" i="48"/>
  <c r="V97" i="48"/>
  <c r="N10" i="48"/>
  <c r="W88" i="48"/>
  <c r="V96" i="48"/>
  <c r="W149" i="48"/>
  <c r="W158" i="48"/>
  <c r="W161" i="48"/>
  <c r="V167" i="48"/>
  <c r="V174" i="48"/>
  <c r="V165" i="48"/>
  <c r="V173" i="48"/>
  <c r="W139" i="48"/>
  <c r="V142" i="48"/>
  <c r="V152" i="48"/>
  <c r="V156" i="48"/>
  <c r="W138" i="48"/>
  <c r="V141" i="48"/>
  <c r="W144" i="48"/>
  <c r="V151" i="48"/>
  <c r="W148" i="48"/>
  <c r="V155" i="48"/>
  <c r="V87" i="48"/>
  <c r="W87" i="48"/>
  <c r="W169" i="48"/>
  <c r="V169" i="48"/>
  <c r="W68" i="48"/>
  <c r="V68" i="48"/>
  <c r="V95" i="48"/>
  <c r="W95" i="48"/>
  <c r="W71" i="48"/>
  <c r="V71" i="48"/>
  <c r="W86" i="48"/>
  <c r="V86" i="48"/>
  <c r="W118" i="48"/>
  <c r="V118" i="48"/>
  <c r="W122" i="48"/>
  <c r="V122" i="48"/>
  <c r="V9" i="48"/>
  <c r="W20" i="48"/>
  <c r="V20" i="48"/>
  <c r="V22" i="48"/>
  <c r="W26" i="48"/>
  <c r="V26" i="48"/>
  <c r="W30" i="48"/>
  <c r="V30" i="48"/>
  <c r="V36" i="48"/>
  <c r="W38" i="48"/>
  <c r="V38" i="48"/>
  <c r="V40" i="48"/>
  <c r="W45" i="48"/>
  <c r="V75" i="48"/>
  <c r="V79" i="48"/>
  <c r="V91" i="48"/>
  <c r="W147" i="48"/>
  <c r="V157" i="48"/>
  <c r="W162" i="48"/>
  <c r="V162" i="48"/>
  <c r="V164" i="48"/>
  <c r="V171" i="48"/>
  <c r="W171" i="48"/>
  <c r="V178" i="48"/>
  <c r="W6" i="48"/>
  <c r="W69" i="48"/>
  <c r="V69" i="48"/>
  <c r="W73" i="48"/>
  <c r="V73" i="48"/>
  <c r="W114" i="48"/>
  <c r="V114" i="48"/>
  <c r="W126" i="48"/>
  <c r="V126" i="48"/>
  <c r="W160" i="48"/>
  <c r="V160" i="48"/>
  <c r="V8" i="48"/>
  <c r="W15" i="48"/>
  <c r="V15" i="48"/>
  <c r="W46" i="48"/>
  <c r="V46" i="48"/>
  <c r="W50" i="48"/>
  <c r="V50" i="48"/>
  <c r="W54" i="48"/>
  <c r="V54" i="48"/>
  <c r="W58" i="48"/>
  <c r="V58" i="48"/>
  <c r="J129" i="48"/>
  <c r="W67" i="48"/>
  <c r="W70" i="48"/>
  <c r="V70" i="48"/>
  <c r="V74" i="48"/>
  <c r="W81" i="48"/>
  <c r="V90" i="48"/>
  <c r="W110" i="48"/>
  <c r="V110" i="48"/>
  <c r="V115" i="48"/>
  <c r="V119" i="48"/>
  <c r="V123" i="48"/>
  <c r="J183" i="48"/>
  <c r="V137" i="48"/>
  <c r="W154" i="48"/>
  <c r="V154" i="48"/>
  <c r="V6" i="48"/>
  <c r="W10" i="48"/>
  <c r="V10" i="48"/>
  <c r="W21" i="48"/>
  <c r="V21" i="48"/>
  <c r="W39" i="48"/>
  <c r="V39" i="48"/>
  <c r="W78" i="48"/>
  <c r="V78" i="48"/>
  <c r="W94" i="48"/>
  <c r="V94" i="48"/>
  <c r="V146" i="48"/>
  <c r="W146" i="48"/>
  <c r="W163" i="48"/>
  <c r="V163" i="48"/>
  <c r="V182" i="48"/>
  <c r="V77" i="48"/>
  <c r="V85" i="48"/>
  <c r="V93" i="48"/>
  <c r="W145" i="48"/>
  <c r="W159" i="48"/>
  <c r="V166" i="48"/>
  <c r="V168" i="48"/>
  <c r="W170" i="48"/>
  <c r="V170" i="48"/>
  <c r="V177" i="48"/>
  <c r="V179" i="48"/>
  <c r="V181" i="48"/>
  <c r="H177" i="47"/>
  <c r="H173" i="47"/>
  <c r="H171" i="47"/>
  <c r="H169" i="47"/>
  <c r="H96" i="47"/>
  <c r="H95" i="47"/>
  <c r="H91" i="47"/>
  <c r="H45" i="47"/>
  <c r="H44" i="47"/>
  <c r="H42" i="47"/>
  <c r="H39" i="47"/>
  <c r="W183" i="48" l="1"/>
  <c r="V59" i="48"/>
  <c r="O4" i="48" s="1"/>
  <c r="R4" i="48" s="1"/>
  <c r="V129" i="48"/>
  <c r="W59" i="48"/>
  <c r="V183" i="48"/>
  <c r="O8" i="48" s="1"/>
  <c r="R8" i="48" s="1"/>
  <c r="W129" i="48"/>
  <c r="H36" i="47"/>
  <c r="H35" i="47"/>
  <c r="H34" i="47"/>
  <c r="H32" i="47"/>
  <c r="H90" i="47"/>
  <c r="H89" i="47"/>
  <c r="H87" i="47"/>
  <c r="H84" i="47"/>
  <c r="H162" i="47"/>
  <c r="H161" i="47"/>
  <c r="H160" i="47"/>
  <c r="P10" i="48" l="1"/>
  <c r="O10" i="48"/>
  <c r="R10" i="48" s="1"/>
  <c r="P12" i="48" s="1"/>
  <c r="Q4" i="48"/>
  <c r="Q10" i="48" s="1"/>
  <c r="H158" i="47"/>
  <c r="H83" i="47"/>
  <c r="H25" i="47" l="1"/>
  <c r="H157" i="47"/>
  <c r="H152" i="47"/>
  <c r="H82" i="47"/>
  <c r="H81" i="47"/>
  <c r="H21" i="47"/>
  <c r="H149" i="47"/>
  <c r="H75" i="47"/>
  <c r="H17" i="47"/>
  <c r="H144" i="47" l="1"/>
  <c r="H143" i="47"/>
  <c r="H142" i="47"/>
  <c r="J142" i="47" s="1"/>
  <c r="V142" i="47" s="1"/>
  <c r="H139" i="47"/>
  <c r="H72" i="47"/>
  <c r="H68" i="47"/>
  <c r="H67" i="47"/>
  <c r="H10" i="47"/>
  <c r="J10" i="47" s="1"/>
  <c r="H9" i="47"/>
  <c r="H6" i="47"/>
  <c r="J182" i="47"/>
  <c r="V182" i="47" s="1"/>
  <c r="J181" i="47"/>
  <c r="V181" i="47" s="1"/>
  <c r="J180" i="47"/>
  <c r="V180" i="47" s="1"/>
  <c r="J179" i="47"/>
  <c r="V179" i="47" s="1"/>
  <c r="J178" i="47"/>
  <c r="V178" i="47" s="1"/>
  <c r="J177" i="47"/>
  <c r="J176" i="47"/>
  <c r="J175" i="47"/>
  <c r="J174" i="47"/>
  <c r="J173" i="47"/>
  <c r="J172" i="47"/>
  <c r="W172" i="47" s="1"/>
  <c r="J171" i="47"/>
  <c r="W171" i="47" s="1"/>
  <c r="J170" i="47"/>
  <c r="W170" i="47" s="1"/>
  <c r="J169" i="47"/>
  <c r="W169" i="47" s="1"/>
  <c r="J168" i="47"/>
  <c r="V168" i="47" s="1"/>
  <c r="J167" i="47"/>
  <c r="V167" i="47" s="1"/>
  <c r="J166" i="47"/>
  <c r="W166" i="47" s="1"/>
  <c r="J165" i="47"/>
  <c r="W165" i="47" s="1"/>
  <c r="J164" i="47"/>
  <c r="V164" i="47" s="1"/>
  <c r="J163" i="47"/>
  <c r="W163" i="47" s="1"/>
  <c r="J162" i="47"/>
  <c r="W162" i="47" s="1"/>
  <c r="J161" i="47"/>
  <c r="W161" i="47" s="1"/>
  <c r="J160" i="47"/>
  <c r="V160" i="47" s="1"/>
  <c r="J159" i="47"/>
  <c r="W159" i="47" s="1"/>
  <c r="J158" i="47"/>
  <c r="W158" i="47" s="1"/>
  <c r="J157" i="47"/>
  <c r="V157" i="47" s="1"/>
  <c r="J156" i="47"/>
  <c r="V156" i="47" s="1"/>
  <c r="J155" i="47"/>
  <c r="V155" i="47" s="1"/>
  <c r="J154" i="47"/>
  <c r="J153" i="47"/>
  <c r="J152" i="47"/>
  <c r="J151" i="47"/>
  <c r="W151" i="47" s="1"/>
  <c r="J150" i="47"/>
  <c r="W150" i="47" s="1"/>
  <c r="J149" i="47"/>
  <c r="W149" i="47" s="1"/>
  <c r="J148" i="47"/>
  <c r="W148" i="47" s="1"/>
  <c r="J147" i="47"/>
  <c r="W147" i="47" s="1"/>
  <c r="J146" i="47"/>
  <c r="W146" i="47" s="1"/>
  <c r="J145" i="47"/>
  <c r="W145" i="47" s="1"/>
  <c r="J144" i="47"/>
  <c r="V144" i="47" s="1"/>
  <c r="J143" i="47"/>
  <c r="V143" i="47" s="1"/>
  <c r="J141" i="47"/>
  <c r="V141" i="47" s="1"/>
  <c r="J140" i="47"/>
  <c r="V140" i="47" s="1"/>
  <c r="J139" i="47"/>
  <c r="V139" i="47" s="1"/>
  <c r="J138" i="47"/>
  <c r="V138" i="47" s="1"/>
  <c r="B138" i="47"/>
  <c r="B139" i="47" s="1"/>
  <c r="B140" i="47" s="1"/>
  <c r="B141" i="47" s="1"/>
  <c r="B142" i="47" s="1"/>
  <c r="B143" i="47" s="1"/>
  <c r="B144" i="47" s="1"/>
  <c r="B145" i="47" s="1"/>
  <c r="B146" i="47" s="1"/>
  <c r="B147" i="47" s="1"/>
  <c r="B148" i="47" s="1"/>
  <c r="B149" i="47" s="1"/>
  <c r="B150" i="47" s="1"/>
  <c r="B151" i="47" s="1"/>
  <c r="B152" i="47" s="1"/>
  <c r="B153" i="47" s="1"/>
  <c r="B154" i="47" s="1"/>
  <c r="B155" i="47" s="1"/>
  <c r="B156" i="47" s="1"/>
  <c r="B157" i="47" s="1"/>
  <c r="B158" i="47" s="1"/>
  <c r="B159" i="47" s="1"/>
  <c r="B160" i="47" s="1"/>
  <c r="B161" i="47" s="1"/>
  <c r="B162" i="47" s="1"/>
  <c r="B163" i="47" s="1"/>
  <c r="B164" i="47" s="1"/>
  <c r="B165" i="47" s="1"/>
  <c r="B166" i="47" s="1"/>
  <c r="B167" i="47" s="1"/>
  <c r="B168" i="47" s="1"/>
  <c r="B169" i="47" s="1"/>
  <c r="B170" i="47" s="1"/>
  <c r="B171" i="47" s="1"/>
  <c r="B172" i="47" s="1"/>
  <c r="B173" i="47" s="1"/>
  <c r="B174" i="47" s="1"/>
  <c r="B175" i="47" s="1"/>
  <c r="B176" i="47" s="1"/>
  <c r="B177" i="47" s="1"/>
  <c r="B178" i="47" s="1"/>
  <c r="B179" i="47" s="1"/>
  <c r="B180" i="47" s="1"/>
  <c r="B181" i="47" s="1"/>
  <c r="B182" i="47" s="1"/>
  <c r="J137" i="47"/>
  <c r="V137" i="47" s="1"/>
  <c r="W128" i="47"/>
  <c r="J128" i="47"/>
  <c r="V128" i="47" s="1"/>
  <c r="V127" i="47"/>
  <c r="J127" i="47"/>
  <c r="W127" i="47" s="1"/>
  <c r="J126" i="47"/>
  <c r="W126" i="47" s="1"/>
  <c r="V125" i="47"/>
  <c r="J125" i="47"/>
  <c r="W125" i="47" s="1"/>
  <c r="W124" i="47"/>
  <c r="J124" i="47"/>
  <c r="V124" i="47" s="1"/>
  <c r="V123" i="47"/>
  <c r="J123" i="47"/>
  <c r="W123" i="47" s="1"/>
  <c r="J122" i="47"/>
  <c r="W122" i="47" s="1"/>
  <c r="V121" i="47"/>
  <c r="J121" i="47"/>
  <c r="W121" i="47" s="1"/>
  <c r="W120" i="47"/>
  <c r="J120" i="47"/>
  <c r="V120" i="47" s="1"/>
  <c r="V119" i="47"/>
  <c r="J119" i="47"/>
  <c r="W119" i="47" s="1"/>
  <c r="J118" i="47"/>
  <c r="W118" i="47" s="1"/>
  <c r="W117" i="47"/>
  <c r="V117" i="47"/>
  <c r="J117" i="47"/>
  <c r="W116" i="47"/>
  <c r="J116" i="47"/>
  <c r="V116" i="47" s="1"/>
  <c r="V115" i="47"/>
  <c r="J115" i="47"/>
  <c r="W115" i="47" s="1"/>
  <c r="J114" i="47"/>
  <c r="W114" i="47" s="1"/>
  <c r="W113" i="47"/>
  <c r="V113" i="47"/>
  <c r="J113" i="47"/>
  <c r="W112" i="47"/>
  <c r="J112" i="47"/>
  <c r="V112" i="47" s="1"/>
  <c r="B112" i="47"/>
  <c r="B113" i="47" s="1"/>
  <c r="B114" i="47" s="1"/>
  <c r="B115" i="47" s="1"/>
  <c r="B116" i="47" s="1"/>
  <c r="B117" i="47" s="1"/>
  <c r="B118" i="47" s="1"/>
  <c r="B119" i="47" s="1"/>
  <c r="B120" i="47" s="1"/>
  <c r="B121" i="47" s="1"/>
  <c r="B122" i="47" s="1"/>
  <c r="B123" i="47" s="1"/>
  <c r="B124" i="47" s="1"/>
  <c r="B125" i="47" s="1"/>
  <c r="B126" i="47" s="1"/>
  <c r="B127" i="47" s="1"/>
  <c r="B128" i="47" s="1"/>
  <c r="W111" i="47"/>
  <c r="J111" i="47"/>
  <c r="V111" i="47" s="1"/>
  <c r="J110" i="47"/>
  <c r="W110" i="47" s="1"/>
  <c r="J109" i="47"/>
  <c r="J108" i="47"/>
  <c r="J107" i="47"/>
  <c r="J106" i="47"/>
  <c r="J105" i="47"/>
  <c r="J104" i="47"/>
  <c r="J103" i="47"/>
  <c r="J102" i="47"/>
  <c r="J101" i="47"/>
  <c r="W101" i="47" s="1"/>
  <c r="J100" i="47"/>
  <c r="J99" i="47"/>
  <c r="W99" i="47" s="1"/>
  <c r="J98" i="47"/>
  <c r="W98" i="47" s="1"/>
  <c r="J97" i="47"/>
  <c r="W97" i="47" s="1"/>
  <c r="J96" i="47"/>
  <c r="V96" i="47" s="1"/>
  <c r="J95" i="47"/>
  <c r="V95" i="47" s="1"/>
  <c r="J94" i="47"/>
  <c r="J93" i="47"/>
  <c r="W93" i="47" s="1"/>
  <c r="J92" i="47"/>
  <c r="W92" i="47" s="1"/>
  <c r="J91" i="47"/>
  <c r="W91" i="47" s="1"/>
  <c r="J90" i="47"/>
  <c r="V90" i="47" s="1"/>
  <c r="J89" i="47"/>
  <c r="V89" i="47" s="1"/>
  <c r="J88" i="47"/>
  <c r="J87" i="47"/>
  <c r="J86" i="47"/>
  <c r="W86" i="47" s="1"/>
  <c r="J85" i="47"/>
  <c r="W85" i="47" s="1"/>
  <c r="J84" i="47"/>
  <c r="W84" i="47" s="1"/>
  <c r="J83" i="47"/>
  <c r="W83" i="47" s="1"/>
  <c r="J82" i="47"/>
  <c r="W82" i="47" s="1"/>
  <c r="J81" i="47"/>
  <c r="W81" i="47" s="1"/>
  <c r="J80" i="47"/>
  <c r="W80" i="47" s="1"/>
  <c r="J79" i="47"/>
  <c r="V79" i="47" s="1"/>
  <c r="J78" i="47"/>
  <c r="W78" i="47" s="1"/>
  <c r="J77" i="47"/>
  <c r="W77" i="47" s="1"/>
  <c r="J76" i="47"/>
  <c r="W76" i="47" s="1"/>
  <c r="W75" i="47"/>
  <c r="J75" i="47"/>
  <c r="V75" i="47" s="1"/>
  <c r="W74" i="47"/>
  <c r="J74" i="47"/>
  <c r="V74" i="47" s="1"/>
  <c r="J73" i="47"/>
  <c r="V73" i="47" s="1"/>
  <c r="J72" i="47"/>
  <c r="V71" i="47"/>
  <c r="J71" i="47"/>
  <c r="W71" i="47" s="1"/>
  <c r="J70" i="47"/>
  <c r="W70" i="47" s="1"/>
  <c r="J69" i="47"/>
  <c r="W69" i="47" s="1"/>
  <c r="J68" i="47"/>
  <c r="W68" i="47" s="1"/>
  <c r="B68" i="47"/>
  <c r="B69" i="47" s="1"/>
  <c r="B70" i="47" s="1"/>
  <c r="B71" i="47" s="1"/>
  <c r="B72" i="47" s="1"/>
  <c r="B73" i="47" s="1"/>
  <c r="B74" i="47" s="1"/>
  <c r="B75" i="47" s="1"/>
  <c r="B76" i="47" s="1"/>
  <c r="B77" i="47" s="1"/>
  <c r="B78" i="47" s="1"/>
  <c r="B79" i="47" s="1"/>
  <c r="B80" i="47" s="1"/>
  <c r="B81" i="47" s="1"/>
  <c r="B82" i="47" s="1"/>
  <c r="B83" i="47" s="1"/>
  <c r="B84" i="47" s="1"/>
  <c r="B85" i="47" s="1"/>
  <c r="B86" i="47" s="1"/>
  <c r="B87" i="47" s="1"/>
  <c r="B88" i="47" s="1"/>
  <c r="B89" i="47" s="1"/>
  <c r="B90" i="47" s="1"/>
  <c r="B91" i="47" s="1"/>
  <c r="B92" i="47" s="1"/>
  <c r="B93" i="47" s="1"/>
  <c r="B94" i="47" s="1"/>
  <c r="B95" i="47" s="1"/>
  <c r="B96" i="47" s="1"/>
  <c r="B97" i="47" s="1"/>
  <c r="B98" i="47" s="1"/>
  <c r="B99" i="47" s="1"/>
  <c r="B100" i="47" s="1"/>
  <c r="J67" i="47"/>
  <c r="V67" i="47" s="1"/>
  <c r="J58" i="47"/>
  <c r="W58" i="47" s="1"/>
  <c r="J57" i="47"/>
  <c r="W57" i="47" s="1"/>
  <c r="J56" i="47"/>
  <c r="W56" i="47" s="1"/>
  <c r="J55" i="47"/>
  <c r="W55" i="47" s="1"/>
  <c r="J54" i="47"/>
  <c r="W54" i="47" s="1"/>
  <c r="J53" i="47"/>
  <c r="W53" i="47" s="1"/>
  <c r="J52" i="47"/>
  <c r="W52" i="47" s="1"/>
  <c r="J51" i="47"/>
  <c r="W51" i="47" s="1"/>
  <c r="J50" i="47"/>
  <c r="W50" i="47" s="1"/>
  <c r="J49" i="47"/>
  <c r="W49" i="47" s="1"/>
  <c r="J48" i="47"/>
  <c r="W48" i="47" s="1"/>
  <c r="J47" i="47"/>
  <c r="V47" i="47" s="1"/>
  <c r="J46" i="47"/>
  <c r="W46" i="47" s="1"/>
  <c r="J45" i="47"/>
  <c r="V45" i="47" s="1"/>
  <c r="J44" i="47"/>
  <c r="W44" i="47" s="1"/>
  <c r="J43" i="47"/>
  <c r="J42" i="47"/>
  <c r="W42" i="47" s="1"/>
  <c r="J41" i="47"/>
  <c r="V41" i="47" s="1"/>
  <c r="J40" i="47"/>
  <c r="V40" i="47" s="1"/>
  <c r="J39" i="47"/>
  <c r="W39" i="47" s="1"/>
  <c r="J38" i="47"/>
  <c r="W38" i="47" s="1"/>
  <c r="J37" i="47"/>
  <c r="V37" i="47" s="1"/>
  <c r="J36" i="47"/>
  <c r="V36" i="47" s="1"/>
  <c r="J35" i="47"/>
  <c r="W35" i="47" s="1"/>
  <c r="J34" i="47"/>
  <c r="W34" i="47" s="1"/>
  <c r="J33" i="47"/>
  <c r="V33" i="47" s="1"/>
  <c r="J32" i="47"/>
  <c r="V32" i="47" s="1"/>
  <c r="J31" i="47"/>
  <c r="V31" i="47" s="1"/>
  <c r="J30" i="47"/>
  <c r="W30" i="47" s="1"/>
  <c r="J29" i="47"/>
  <c r="W29" i="47" s="1"/>
  <c r="J28" i="47"/>
  <c r="J27" i="47"/>
  <c r="J26" i="47"/>
  <c r="J25" i="47"/>
  <c r="V25" i="47" s="1"/>
  <c r="J24" i="47"/>
  <c r="W24" i="47" s="1"/>
  <c r="J23" i="47"/>
  <c r="V23" i="47" s="1"/>
  <c r="J22" i="47"/>
  <c r="W22" i="47" s="1"/>
  <c r="J21" i="47"/>
  <c r="J20" i="47"/>
  <c r="V20" i="47" s="1"/>
  <c r="J19" i="47"/>
  <c r="J18" i="47"/>
  <c r="W18" i="47" s="1"/>
  <c r="J17" i="47"/>
  <c r="W17" i="47" s="1"/>
  <c r="J16" i="47"/>
  <c r="W16" i="47" s="1"/>
  <c r="J15" i="47"/>
  <c r="V15" i="47" s="1"/>
  <c r="J14" i="47"/>
  <c r="W14" i="47" s="1"/>
  <c r="J13" i="47"/>
  <c r="V13" i="47" s="1"/>
  <c r="J12" i="47"/>
  <c r="W12" i="47" s="1"/>
  <c r="J11" i="47"/>
  <c r="W11" i="47" s="1"/>
  <c r="J9" i="47"/>
  <c r="N8" i="47"/>
  <c r="J8" i="47"/>
  <c r="W7" i="47"/>
  <c r="J7" i="47"/>
  <c r="V7" i="47" s="1"/>
  <c r="N6" i="47"/>
  <c r="R6" i="47" s="1"/>
  <c r="J6" i="47"/>
  <c r="W6" i="47" s="1"/>
  <c r="N4" i="47"/>
  <c r="W15" i="47" l="1"/>
  <c r="V51" i="47"/>
  <c r="V55" i="47"/>
  <c r="W79" i="47"/>
  <c r="V110" i="47"/>
  <c r="V114" i="47"/>
  <c r="V118" i="47"/>
  <c r="V122" i="47"/>
  <c r="V126" i="47"/>
  <c r="W180" i="47"/>
  <c r="W182" i="47"/>
  <c r="W47" i="47"/>
  <c r="V50" i="47"/>
  <c r="V54" i="47"/>
  <c r="V58" i="47"/>
  <c r="V149" i="47"/>
  <c r="W164" i="47"/>
  <c r="W168" i="47"/>
  <c r="W179" i="47"/>
  <c r="W181" i="47"/>
  <c r="V171" i="47"/>
  <c r="V169" i="47"/>
  <c r="W96" i="47"/>
  <c r="V46" i="47"/>
  <c r="W41" i="47"/>
  <c r="V38" i="47"/>
  <c r="W37" i="47"/>
  <c r="W33" i="47"/>
  <c r="W32" i="47"/>
  <c r="W90" i="47"/>
  <c r="W167" i="47"/>
  <c r="V165" i="47"/>
  <c r="V163" i="47"/>
  <c r="V161" i="47"/>
  <c r="W160" i="47"/>
  <c r="V159" i="47"/>
  <c r="V78" i="47"/>
  <c r="W25" i="47"/>
  <c r="V81" i="47"/>
  <c r="W20" i="47"/>
  <c r="V18" i="47"/>
  <c r="W139" i="47"/>
  <c r="W141" i="47"/>
  <c r="W143" i="47"/>
  <c r="V145" i="47"/>
  <c r="V147" i="47"/>
  <c r="W156" i="47"/>
  <c r="V158" i="47"/>
  <c r="V162" i="47"/>
  <c r="V166" i="47"/>
  <c r="V170" i="47"/>
  <c r="N10" i="47"/>
  <c r="W138" i="47"/>
  <c r="W140" i="47"/>
  <c r="W142" i="47"/>
  <c r="W144" i="47"/>
  <c r="V151" i="47"/>
  <c r="W157" i="47"/>
  <c r="V77" i="47"/>
  <c r="V85" i="47"/>
  <c r="V92" i="47"/>
  <c r="W95" i="47"/>
  <c r="V98" i="47"/>
  <c r="V76" i="47"/>
  <c r="V83" i="47"/>
  <c r="V91" i="47"/>
  <c r="V97" i="47"/>
  <c r="V14" i="47"/>
  <c r="V24" i="47"/>
  <c r="V34" i="47"/>
  <c r="V42" i="47"/>
  <c r="V27" i="47"/>
  <c r="W27" i="47"/>
  <c r="V43" i="47"/>
  <c r="W43" i="47"/>
  <c r="V10" i="47"/>
  <c r="W10" i="47"/>
  <c r="W152" i="47"/>
  <c r="V152" i="47"/>
  <c r="W173" i="47"/>
  <c r="V173" i="47"/>
  <c r="W19" i="47"/>
  <c r="V19" i="47"/>
  <c r="W9" i="47"/>
  <c r="V9" i="47"/>
  <c r="V28" i="47"/>
  <c r="W28" i="47"/>
  <c r="W8" i="47"/>
  <c r="V8" i="47"/>
  <c r="V21" i="47"/>
  <c r="W21" i="47"/>
  <c r="V26" i="47"/>
  <c r="W26" i="47"/>
  <c r="V6" i="47"/>
  <c r="W87" i="47"/>
  <c r="V87" i="47"/>
  <c r="W153" i="47"/>
  <c r="V153" i="47"/>
  <c r="V17" i="47"/>
  <c r="V30" i="47"/>
  <c r="V49" i="47"/>
  <c r="V53" i="47"/>
  <c r="V57" i="47"/>
  <c r="W89" i="47"/>
  <c r="V99" i="47"/>
  <c r="V172" i="47"/>
  <c r="W174" i="47"/>
  <c r="V174" i="47"/>
  <c r="W176" i="47"/>
  <c r="V176" i="47"/>
  <c r="V11" i="47"/>
  <c r="V12" i="47"/>
  <c r="W13" i="47"/>
  <c r="V16" i="47"/>
  <c r="V22" i="47"/>
  <c r="W23" i="47"/>
  <c r="V29" i="47"/>
  <c r="W31" i="47"/>
  <c r="V35" i="47"/>
  <c r="W36" i="47"/>
  <c r="V39" i="47"/>
  <c r="W40" i="47"/>
  <c r="V44" i="47"/>
  <c r="W45" i="47"/>
  <c r="V48" i="47"/>
  <c r="V52" i="47"/>
  <c r="V56" i="47"/>
  <c r="J59" i="47"/>
  <c r="V68" i="47"/>
  <c r="V69" i="47"/>
  <c r="W73" i="47"/>
  <c r="V80" i="47"/>
  <c r="V82" i="47"/>
  <c r="V84" i="47"/>
  <c r="V86" i="47"/>
  <c r="W88" i="47"/>
  <c r="V88" i="47"/>
  <c r="V93" i="47"/>
  <c r="W137" i="47"/>
  <c r="V146" i="47"/>
  <c r="V148" i="47"/>
  <c r="V150" i="47"/>
  <c r="W154" i="47"/>
  <c r="V154" i="47"/>
  <c r="W178" i="47"/>
  <c r="W94" i="47"/>
  <c r="V94" i="47"/>
  <c r="J129" i="47"/>
  <c r="V70" i="47"/>
  <c r="V101" i="47"/>
  <c r="W155" i="47"/>
  <c r="W67" i="47"/>
  <c r="W72" i="47"/>
  <c r="V72" i="47"/>
  <c r="W100" i="47"/>
  <c r="V100" i="47"/>
  <c r="W175" i="47"/>
  <c r="V175" i="47"/>
  <c r="W177" i="47"/>
  <c r="V177" i="47"/>
  <c r="J183" i="47"/>
  <c r="H102" i="46"/>
  <c r="H178" i="46"/>
  <c r="H173" i="46"/>
  <c r="H100" i="46"/>
  <c r="H43" i="46"/>
  <c r="V183" i="47" l="1"/>
  <c r="O8" i="47" s="1"/>
  <c r="R8" i="47" s="1"/>
  <c r="V129" i="47"/>
  <c r="W59" i="47"/>
  <c r="P4" i="47" s="1"/>
  <c r="W129" i="47"/>
  <c r="P6" i="47" s="1"/>
  <c r="V59" i="47"/>
  <c r="O4" i="47" s="1"/>
  <c r="W183" i="47"/>
  <c r="H97" i="46"/>
  <c r="H98" i="46"/>
  <c r="P10" i="47" l="1"/>
  <c r="O10" i="47"/>
  <c r="R10" i="47" s="1"/>
  <c r="P12" i="47" s="1"/>
  <c r="R4" i="47"/>
  <c r="Q4" i="47"/>
  <c r="Q10" i="47" s="1"/>
  <c r="H95" i="46"/>
  <c r="H94" i="46"/>
  <c r="H92" i="46"/>
  <c r="H90" i="46"/>
  <c r="H89" i="46"/>
  <c r="H87" i="46"/>
  <c r="H80" i="46"/>
  <c r="H75" i="46"/>
  <c r="H73" i="46"/>
  <c r="H72" i="46"/>
  <c r="H172" i="46" l="1"/>
  <c r="H33" i="46" l="1"/>
  <c r="H157" i="46" l="1"/>
  <c r="H155" i="46"/>
  <c r="H31" i="46"/>
  <c r="H28" i="46"/>
  <c r="H27" i="46"/>
  <c r="H26" i="46"/>
  <c r="H21" i="46" l="1"/>
  <c r="H19" i="46"/>
  <c r="H10" i="46"/>
  <c r="H9" i="46"/>
  <c r="H8" i="46"/>
  <c r="H152" i="46"/>
  <c r="H146" i="46"/>
  <c r="H144" i="46"/>
  <c r="H137" i="46" l="1"/>
  <c r="J182" i="46"/>
  <c r="V182" i="46" s="1"/>
  <c r="W181" i="46"/>
  <c r="J181" i="46"/>
  <c r="V181" i="46" s="1"/>
  <c r="J180" i="46"/>
  <c r="V180" i="46" s="1"/>
  <c r="W179" i="46"/>
  <c r="J179" i="46"/>
  <c r="V179" i="46" s="1"/>
  <c r="J178" i="46"/>
  <c r="V178" i="46" s="1"/>
  <c r="J177" i="46"/>
  <c r="V177" i="46" s="1"/>
  <c r="J176" i="46"/>
  <c r="V176" i="46" s="1"/>
  <c r="J175" i="46"/>
  <c r="J174" i="46"/>
  <c r="J173" i="46"/>
  <c r="J172" i="46"/>
  <c r="J171" i="46"/>
  <c r="J170" i="46"/>
  <c r="J169" i="46"/>
  <c r="J168" i="46"/>
  <c r="J167" i="46"/>
  <c r="J166" i="46"/>
  <c r="J165" i="46"/>
  <c r="J164" i="46"/>
  <c r="J163" i="46"/>
  <c r="J162" i="46"/>
  <c r="J161" i="46"/>
  <c r="J160" i="46"/>
  <c r="J159" i="46"/>
  <c r="J158" i="46"/>
  <c r="J157" i="46"/>
  <c r="W157" i="46" s="1"/>
  <c r="J156" i="46"/>
  <c r="W156" i="46" s="1"/>
  <c r="J155" i="46"/>
  <c r="W155" i="46" s="1"/>
  <c r="J154" i="46"/>
  <c r="V154" i="46" s="1"/>
  <c r="W153" i="46"/>
  <c r="V153" i="46"/>
  <c r="J153" i="46"/>
  <c r="J152" i="46"/>
  <c r="W152" i="46" s="1"/>
  <c r="J151" i="46"/>
  <c r="W151" i="46" s="1"/>
  <c r="J150" i="46"/>
  <c r="V150" i="46" s="1"/>
  <c r="J149" i="46"/>
  <c r="V149" i="46" s="1"/>
  <c r="J148" i="46"/>
  <c r="W148" i="46" s="1"/>
  <c r="V147" i="46"/>
  <c r="J147" i="46"/>
  <c r="W147" i="46" s="1"/>
  <c r="J146" i="46"/>
  <c r="V146" i="46" s="1"/>
  <c r="W145" i="46"/>
  <c r="J145" i="46"/>
  <c r="V145" i="46" s="1"/>
  <c r="J144" i="46"/>
  <c r="J143" i="46"/>
  <c r="J142" i="46"/>
  <c r="W142" i="46" s="1"/>
  <c r="J141" i="46"/>
  <c r="W141" i="46" s="1"/>
  <c r="J140" i="46"/>
  <c r="W140" i="46" s="1"/>
  <c r="J139" i="46"/>
  <c r="W139" i="46" s="1"/>
  <c r="J138" i="46"/>
  <c r="W138" i="46" s="1"/>
  <c r="B138" i="46"/>
  <c r="B139" i="46" s="1"/>
  <c r="B140" i="46" s="1"/>
  <c r="B141" i="46" s="1"/>
  <c r="B142" i="46" s="1"/>
  <c r="B143" i="46" s="1"/>
  <c r="B144" i="46" s="1"/>
  <c r="B145" i="46" s="1"/>
  <c r="B146" i="46" s="1"/>
  <c r="B147" i="46" s="1"/>
  <c r="B148" i="46" s="1"/>
  <c r="B149" i="46" s="1"/>
  <c r="B150" i="46" s="1"/>
  <c r="B151" i="46" s="1"/>
  <c r="B152" i="46" s="1"/>
  <c r="B153" i="46" s="1"/>
  <c r="B154" i="46" s="1"/>
  <c r="B155" i="46" s="1"/>
  <c r="B156" i="46" s="1"/>
  <c r="B157" i="46" s="1"/>
  <c r="B158" i="46" s="1"/>
  <c r="B159" i="46" s="1"/>
  <c r="B160" i="46" s="1"/>
  <c r="B161" i="46" s="1"/>
  <c r="B162" i="46" s="1"/>
  <c r="B163" i="46" s="1"/>
  <c r="B164" i="46" s="1"/>
  <c r="B165" i="46" s="1"/>
  <c r="B166" i="46" s="1"/>
  <c r="B167" i="46" s="1"/>
  <c r="B168" i="46" s="1"/>
  <c r="B169" i="46" s="1"/>
  <c r="B170" i="46" s="1"/>
  <c r="B171" i="46" s="1"/>
  <c r="B172" i="46" s="1"/>
  <c r="B173" i="46" s="1"/>
  <c r="B174" i="46" s="1"/>
  <c r="B175" i="46" s="1"/>
  <c r="B176" i="46" s="1"/>
  <c r="B177" i="46" s="1"/>
  <c r="B178" i="46" s="1"/>
  <c r="B179" i="46" s="1"/>
  <c r="B180" i="46" s="1"/>
  <c r="B181" i="46" s="1"/>
  <c r="B182" i="46" s="1"/>
  <c r="J137" i="46"/>
  <c r="V137" i="46" s="1"/>
  <c r="J128" i="46"/>
  <c r="J127" i="46"/>
  <c r="J126" i="46"/>
  <c r="J125" i="46"/>
  <c r="J124" i="46"/>
  <c r="J123" i="46"/>
  <c r="J122" i="46"/>
  <c r="J121" i="46"/>
  <c r="J120" i="46"/>
  <c r="J119" i="46"/>
  <c r="J118" i="46"/>
  <c r="J117" i="46"/>
  <c r="J116" i="46"/>
  <c r="J115" i="46"/>
  <c r="J114" i="46"/>
  <c r="J113" i="46"/>
  <c r="J112" i="46"/>
  <c r="B112" i="46"/>
  <c r="B113" i="46" s="1"/>
  <c r="B114" i="46" s="1"/>
  <c r="B115" i="46" s="1"/>
  <c r="B116" i="46" s="1"/>
  <c r="B117" i="46" s="1"/>
  <c r="B118" i="46" s="1"/>
  <c r="B119" i="46" s="1"/>
  <c r="B120" i="46" s="1"/>
  <c r="B121" i="46" s="1"/>
  <c r="B122" i="46" s="1"/>
  <c r="B123" i="46" s="1"/>
  <c r="B124" i="46" s="1"/>
  <c r="B125" i="46" s="1"/>
  <c r="B126" i="46" s="1"/>
  <c r="B127" i="46" s="1"/>
  <c r="B128" i="46" s="1"/>
  <c r="J111" i="46"/>
  <c r="J110" i="46"/>
  <c r="V110" i="46" s="1"/>
  <c r="J109" i="46"/>
  <c r="J108" i="46"/>
  <c r="J107" i="46"/>
  <c r="J106" i="46"/>
  <c r="J105" i="46"/>
  <c r="J104" i="46"/>
  <c r="J103" i="46"/>
  <c r="J102" i="46"/>
  <c r="J101" i="46"/>
  <c r="V101" i="46" s="1"/>
  <c r="J100" i="46"/>
  <c r="W100" i="46" s="1"/>
  <c r="J99" i="46"/>
  <c r="W99" i="46" s="1"/>
  <c r="J98" i="46"/>
  <c r="W98" i="46" s="1"/>
  <c r="J97" i="46"/>
  <c r="W97" i="46" s="1"/>
  <c r="W96" i="46"/>
  <c r="J96" i="46"/>
  <c r="V96" i="46" s="1"/>
  <c r="J95" i="46"/>
  <c r="J94" i="46"/>
  <c r="J93" i="46"/>
  <c r="J92" i="46"/>
  <c r="J91" i="46"/>
  <c r="W91" i="46" s="1"/>
  <c r="J90" i="46"/>
  <c r="V90" i="46" s="1"/>
  <c r="J89" i="46"/>
  <c r="W89" i="46" s="1"/>
  <c r="J88" i="46"/>
  <c r="W88" i="46" s="1"/>
  <c r="J87" i="46"/>
  <c r="W87" i="46" s="1"/>
  <c r="W86" i="46"/>
  <c r="J86" i="46"/>
  <c r="V86" i="46" s="1"/>
  <c r="J85" i="46"/>
  <c r="V85" i="46" s="1"/>
  <c r="J84" i="46"/>
  <c r="J83" i="46"/>
  <c r="W83" i="46" s="1"/>
  <c r="J82" i="46"/>
  <c r="W82" i="46" s="1"/>
  <c r="J81" i="46"/>
  <c r="J80" i="46"/>
  <c r="J79" i="46"/>
  <c r="W79" i="46" s="1"/>
  <c r="J78" i="46"/>
  <c r="W78" i="46" s="1"/>
  <c r="J77" i="46"/>
  <c r="W77" i="46" s="1"/>
  <c r="J76" i="46"/>
  <c r="W76" i="46" s="1"/>
  <c r="J75" i="46"/>
  <c r="W75" i="46" s="1"/>
  <c r="J74" i="46"/>
  <c r="V74" i="46" s="1"/>
  <c r="J73" i="46"/>
  <c r="W73" i="46" s="1"/>
  <c r="J72" i="46"/>
  <c r="J71" i="46"/>
  <c r="W71" i="46" s="1"/>
  <c r="J70" i="46"/>
  <c r="J69" i="46"/>
  <c r="W69" i="46" s="1"/>
  <c r="J68" i="46"/>
  <c r="W68" i="46" s="1"/>
  <c r="B68" i="46"/>
  <c r="B69" i="46" s="1"/>
  <c r="B70" i="46" s="1"/>
  <c r="B71" i="46" s="1"/>
  <c r="B72" i="46" s="1"/>
  <c r="B73" i="46" s="1"/>
  <c r="B74" i="46" s="1"/>
  <c r="B75" i="46" s="1"/>
  <c r="B76" i="46" s="1"/>
  <c r="B77" i="46" s="1"/>
  <c r="B78" i="46" s="1"/>
  <c r="B79" i="46" s="1"/>
  <c r="B80" i="46" s="1"/>
  <c r="B81" i="46" s="1"/>
  <c r="B82" i="46" s="1"/>
  <c r="B83" i="46" s="1"/>
  <c r="B84" i="46" s="1"/>
  <c r="B85" i="46" s="1"/>
  <c r="B86" i="46" s="1"/>
  <c r="B87" i="46" s="1"/>
  <c r="B88" i="46" s="1"/>
  <c r="B89" i="46" s="1"/>
  <c r="B90" i="46" s="1"/>
  <c r="B91" i="46" s="1"/>
  <c r="B92" i="46" s="1"/>
  <c r="B93" i="46" s="1"/>
  <c r="B94" i="46" s="1"/>
  <c r="B95" i="46" s="1"/>
  <c r="B96" i="46" s="1"/>
  <c r="B97" i="46" s="1"/>
  <c r="B98" i="46" s="1"/>
  <c r="B99" i="46" s="1"/>
  <c r="B100" i="46" s="1"/>
  <c r="J67" i="46"/>
  <c r="V58" i="46"/>
  <c r="J58" i="46"/>
  <c r="W58" i="46" s="1"/>
  <c r="J57" i="46"/>
  <c r="W57" i="46" s="1"/>
  <c r="J56" i="46"/>
  <c r="W56" i="46" s="1"/>
  <c r="J55" i="46"/>
  <c r="W55" i="46" s="1"/>
  <c r="V54" i="46"/>
  <c r="J54" i="46"/>
  <c r="W54" i="46" s="1"/>
  <c r="J53" i="46"/>
  <c r="W53" i="46" s="1"/>
  <c r="J52" i="46"/>
  <c r="W52" i="46" s="1"/>
  <c r="J51" i="46"/>
  <c r="W51" i="46" s="1"/>
  <c r="J50" i="46"/>
  <c r="W50" i="46" s="1"/>
  <c r="J49" i="46"/>
  <c r="W49" i="46" s="1"/>
  <c r="J48" i="46"/>
  <c r="W48" i="46" s="1"/>
  <c r="J47" i="46"/>
  <c r="W47" i="46" s="1"/>
  <c r="W46" i="46"/>
  <c r="V46" i="46"/>
  <c r="J46" i="46"/>
  <c r="J45" i="46"/>
  <c r="W45" i="46" s="1"/>
  <c r="J44" i="46"/>
  <c r="W44" i="46" s="1"/>
  <c r="J43" i="46"/>
  <c r="V43" i="46" s="1"/>
  <c r="J42" i="46"/>
  <c r="V42" i="46" s="1"/>
  <c r="J41" i="46"/>
  <c r="W41" i="46" s="1"/>
  <c r="J40" i="46"/>
  <c r="W40" i="46" s="1"/>
  <c r="J39" i="46"/>
  <c r="V39" i="46" s="1"/>
  <c r="J38" i="46"/>
  <c r="W38" i="46" s="1"/>
  <c r="J37" i="46"/>
  <c r="W37" i="46" s="1"/>
  <c r="J36" i="46"/>
  <c r="W36" i="46" s="1"/>
  <c r="J35" i="46"/>
  <c r="V35" i="46" s="1"/>
  <c r="J34" i="46"/>
  <c r="W34" i="46" s="1"/>
  <c r="J33" i="46"/>
  <c r="W33" i="46" s="1"/>
  <c r="J32" i="46"/>
  <c r="W32" i="46" s="1"/>
  <c r="J31" i="46"/>
  <c r="V31" i="46" s="1"/>
  <c r="J30" i="46"/>
  <c r="J29" i="46"/>
  <c r="V29" i="46" s="1"/>
  <c r="J28" i="46"/>
  <c r="W28" i="46" s="1"/>
  <c r="J27" i="46"/>
  <c r="W27" i="46" s="1"/>
  <c r="J26" i="46"/>
  <c r="V26" i="46" s="1"/>
  <c r="J25" i="46"/>
  <c r="V25" i="46" s="1"/>
  <c r="J24" i="46"/>
  <c r="W24" i="46" s="1"/>
  <c r="J23" i="46"/>
  <c r="W23" i="46" s="1"/>
  <c r="J22" i="46"/>
  <c r="W22" i="46" s="1"/>
  <c r="J21" i="46"/>
  <c r="V21" i="46" s="1"/>
  <c r="J20" i="46"/>
  <c r="W20" i="46" s="1"/>
  <c r="J19" i="46"/>
  <c r="W19" i="46" s="1"/>
  <c r="J18" i="46"/>
  <c r="W18" i="46" s="1"/>
  <c r="J17" i="46"/>
  <c r="W17" i="46" s="1"/>
  <c r="J16" i="46"/>
  <c r="V16" i="46" s="1"/>
  <c r="J15" i="46"/>
  <c r="W15" i="46" s="1"/>
  <c r="J14" i="46"/>
  <c r="W14" i="46" s="1"/>
  <c r="J13" i="46"/>
  <c r="W13" i="46" s="1"/>
  <c r="J12" i="46"/>
  <c r="W12" i="46" s="1"/>
  <c r="J11" i="46"/>
  <c r="V11" i="46" s="1"/>
  <c r="J10" i="46"/>
  <c r="J9" i="46"/>
  <c r="V9" i="46" s="1"/>
  <c r="N8" i="46"/>
  <c r="J8" i="46"/>
  <c r="W8" i="46" s="1"/>
  <c r="J7" i="46"/>
  <c r="W7" i="46" s="1"/>
  <c r="N6" i="46"/>
  <c r="R6" i="46" s="1"/>
  <c r="J6" i="46"/>
  <c r="W6" i="46" s="1"/>
  <c r="N4" i="46"/>
  <c r="V50" i="46" l="1"/>
  <c r="V57" i="46"/>
  <c r="W110" i="46"/>
  <c r="W177" i="46"/>
  <c r="V53" i="46"/>
  <c r="V140" i="46"/>
  <c r="W149" i="46"/>
  <c r="W180" i="46"/>
  <c r="W182" i="46"/>
  <c r="V49" i="46"/>
  <c r="W178" i="46"/>
  <c r="W101" i="46"/>
  <c r="V45" i="46"/>
  <c r="W43" i="46"/>
  <c r="W90" i="46"/>
  <c r="V99" i="46"/>
  <c r="V89" i="46"/>
  <c r="V87" i="46"/>
  <c r="W74" i="46"/>
  <c r="V73" i="46"/>
  <c r="W42" i="46"/>
  <c r="V41" i="46"/>
  <c r="V37" i="46"/>
  <c r="V33" i="46"/>
  <c r="V155" i="46"/>
  <c r="W154" i="46"/>
  <c r="V24" i="46"/>
  <c r="W26" i="46"/>
  <c r="V20" i="46"/>
  <c r="V14" i="46"/>
  <c r="W11" i="46"/>
  <c r="V151" i="46"/>
  <c r="W150" i="46"/>
  <c r="W146" i="46"/>
  <c r="V142" i="46"/>
  <c r="V138" i="46"/>
  <c r="V7" i="46"/>
  <c r="V148" i="46"/>
  <c r="V152" i="46"/>
  <c r="V156" i="46"/>
  <c r="V139" i="46"/>
  <c r="V141" i="46"/>
  <c r="V157" i="46"/>
  <c r="W176" i="46"/>
  <c r="V82" i="46"/>
  <c r="W85" i="46"/>
  <c r="V88" i="46"/>
  <c r="V91" i="46"/>
  <c r="W16" i="46"/>
  <c r="V19" i="46"/>
  <c r="V23" i="46"/>
  <c r="W31" i="46"/>
  <c r="W39" i="46"/>
  <c r="V8" i="46"/>
  <c r="V15" i="46"/>
  <c r="W21" i="46"/>
  <c r="W25" i="46"/>
  <c r="W29" i="46"/>
  <c r="V34" i="46"/>
  <c r="V38" i="46"/>
  <c r="W9" i="46"/>
  <c r="W35" i="46"/>
  <c r="V28" i="46"/>
  <c r="V10" i="46"/>
  <c r="W10" i="46"/>
  <c r="V72" i="46"/>
  <c r="W72" i="46"/>
  <c r="W70" i="46"/>
  <c r="V70" i="46"/>
  <c r="W80" i="46"/>
  <c r="V80" i="46"/>
  <c r="W92" i="46"/>
  <c r="V92" i="46"/>
  <c r="V30" i="46"/>
  <c r="W30" i="46"/>
  <c r="W81" i="46"/>
  <c r="V81" i="46"/>
  <c r="J129" i="46"/>
  <c r="W84" i="46"/>
  <c r="V84" i="46"/>
  <c r="W93" i="46"/>
  <c r="V93" i="46"/>
  <c r="W114" i="46"/>
  <c r="V114" i="46"/>
  <c r="W122" i="46"/>
  <c r="V122" i="46"/>
  <c r="W144" i="46"/>
  <c r="V144" i="46"/>
  <c r="W160" i="46"/>
  <c r="V160" i="46"/>
  <c r="W164" i="46"/>
  <c r="V164" i="46"/>
  <c r="W168" i="46"/>
  <c r="V168" i="46"/>
  <c r="V6" i="46"/>
  <c r="V13" i="46"/>
  <c r="V17" i="46"/>
  <c r="V18" i="46"/>
  <c r="V22" i="46"/>
  <c r="V27" i="46"/>
  <c r="V32" i="46"/>
  <c r="V36" i="46"/>
  <c r="V40" i="46"/>
  <c r="V44" i="46"/>
  <c r="V48" i="46"/>
  <c r="V52" i="46"/>
  <c r="V56" i="46"/>
  <c r="J59" i="46"/>
  <c r="V67" i="46"/>
  <c r="V68" i="46"/>
  <c r="V69" i="46"/>
  <c r="V75" i="46"/>
  <c r="V76" i="46"/>
  <c r="V77" i="46"/>
  <c r="V78" i="46"/>
  <c r="V79" i="46"/>
  <c r="W115" i="46"/>
  <c r="V115" i="46"/>
  <c r="W119" i="46"/>
  <c r="V119" i="46"/>
  <c r="W123" i="46"/>
  <c r="V123" i="46"/>
  <c r="W127" i="46"/>
  <c r="V127" i="46"/>
  <c r="J183" i="46"/>
  <c r="W161" i="46"/>
  <c r="V161" i="46"/>
  <c r="W165" i="46"/>
  <c r="V165" i="46"/>
  <c r="W169" i="46"/>
  <c r="V169" i="46"/>
  <c r="W173" i="46"/>
  <c r="V173" i="46"/>
  <c r="W111" i="46"/>
  <c r="V111" i="46"/>
  <c r="W118" i="46"/>
  <c r="V118" i="46"/>
  <c r="W126" i="46"/>
  <c r="V126" i="46"/>
  <c r="W172" i="46"/>
  <c r="V172" i="46"/>
  <c r="N10" i="46"/>
  <c r="V12" i="46"/>
  <c r="V47" i="46"/>
  <c r="V51" i="46"/>
  <c r="V55" i="46"/>
  <c r="W67" i="46"/>
  <c r="V71" i="46"/>
  <c r="V83" i="46"/>
  <c r="W94" i="46"/>
  <c r="V94" i="46"/>
  <c r="V97" i="46"/>
  <c r="V98" i="46"/>
  <c r="V100" i="46"/>
  <c r="W112" i="46"/>
  <c r="V112" i="46"/>
  <c r="W116" i="46"/>
  <c r="V116" i="46"/>
  <c r="W120" i="46"/>
  <c r="V120" i="46"/>
  <c r="W124" i="46"/>
  <c r="V124" i="46"/>
  <c r="W128" i="46"/>
  <c r="V128" i="46"/>
  <c r="W158" i="46"/>
  <c r="V158" i="46"/>
  <c r="W162" i="46"/>
  <c r="V162" i="46"/>
  <c r="W166" i="46"/>
  <c r="V166" i="46"/>
  <c r="W170" i="46"/>
  <c r="V170" i="46"/>
  <c r="W174" i="46"/>
  <c r="V174" i="46"/>
  <c r="W95" i="46"/>
  <c r="V95" i="46"/>
  <c r="W113" i="46"/>
  <c r="V113" i="46"/>
  <c r="W117" i="46"/>
  <c r="V117" i="46"/>
  <c r="W121" i="46"/>
  <c r="V121" i="46"/>
  <c r="W125" i="46"/>
  <c r="V125" i="46"/>
  <c r="W143" i="46"/>
  <c r="V143" i="46"/>
  <c r="W159" i="46"/>
  <c r="V159" i="46"/>
  <c r="W163" i="46"/>
  <c r="V163" i="46"/>
  <c r="W167" i="46"/>
  <c r="V167" i="46"/>
  <c r="W171" i="46"/>
  <c r="V171" i="46"/>
  <c r="W175" i="46"/>
  <c r="V175" i="46"/>
  <c r="W137" i="46"/>
  <c r="H176" i="45"/>
  <c r="H175" i="45"/>
  <c r="V183" i="46" l="1"/>
  <c r="W59" i="46"/>
  <c r="P4" i="46" s="1"/>
  <c r="W129" i="46"/>
  <c r="P6" i="46" s="1"/>
  <c r="V59" i="46"/>
  <c r="O4" i="46" s="1"/>
  <c r="W183" i="46"/>
  <c r="V129" i="46"/>
  <c r="H96" i="45"/>
  <c r="O8" i="46" l="1"/>
  <c r="R8" i="46" s="1"/>
  <c r="P10" i="46"/>
  <c r="R4" i="46"/>
  <c r="Q4" i="46"/>
  <c r="H98" i="45"/>
  <c r="O10" i="46" l="1"/>
  <c r="R10" i="46" s="1"/>
  <c r="P12" i="46" s="1"/>
  <c r="Q10" i="46"/>
  <c r="H97" i="45"/>
  <c r="H92" i="45"/>
  <c r="H91" i="45"/>
  <c r="H87" i="45"/>
  <c r="H30" i="45" l="1"/>
  <c r="H24" i="45"/>
  <c r="H85" i="45"/>
  <c r="H84" i="45"/>
  <c r="H81" i="45"/>
  <c r="H158" i="45"/>
  <c r="H156" i="45"/>
  <c r="H80" i="45" l="1"/>
  <c r="H75" i="45"/>
  <c r="H73" i="45"/>
  <c r="H72" i="45"/>
  <c r="H70" i="45" l="1"/>
  <c r="H18" i="45" l="1"/>
  <c r="H10" i="45"/>
  <c r="H145" i="45"/>
  <c r="H144" i="45"/>
  <c r="J144" i="45" s="1"/>
  <c r="V144" i="45" s="1"/>
  <c r="H143" i="45"/>
  <c r="H137" i="45"/>
  <c r="J182" i="45"/>
  <c r="V182" i="45" s="1"/>
  <c r="J181" i="45"/>
  <c r="V181" i="45" s="1"/>
  <c r="J180" i="45"/>
  <c r="V180" i="45" s="1"/>
  <c r="J179" i="45"/>
  <c r="V179" i="45" s="1"/>
  <c r="J178" i="45"/>
  <c r="V178" i="45" s="1"/>
  <c r="J177" i="45"/>
  <c r="V177" i="45" s="1"/>
  <c r="J176" i="45"/>
  <c r="V176" i="45" s="1"/>
  <c r="J175" i="45"/>
  <c r="V175" i="45" s="1"/>
  <c r="J174" i="45"/>
  <c r="V174" i="45" s="1"/>
  <c r="J173" i="45"/>
  <c r="V173" i="45" s="1"/>
  <c r="J172" i="45"/>
  <c r="V172" i="45" s="1"/>
  <c r="J171" i="45"/>
  <c r="V171" i="45" s="1"/>
  <c r="J170" i="45"/>
  <c r="V170" i="45" s="1"/>
  <c r="J169" i="45"/>
  <c r="V169" i="45" s="1"/>
  <c r="J168" i="45"/>
  <c r="V168" i="45" s="1"/>
  <c r="J167" i="45"/>
  <c r="V167" i="45" s="1"/>
  <c r="J166" i="45"/>
  <c r="V166" i="45" s="1"/>
  <c r="J165" i="45"/>
  <c r="V165" i="45" s="1"/>
  <c r="J164" i="45"/>
  <c r="V164" i="45" s="1"/>
  <c r="J163" i="45"/>
  <c r="V163" i="45" s="1"/>
  <c r="J162" i="45"/>
  <c r="W162" i="45" s="1"/>
  <c r="J161" i="45"/>
  <c r="W161" i="45" s="1"/>
  <c r="J160" i="45"/>
  <c r="W160" i="45" s="1"/>
  <c r="J159" i="45"/>
  <c r="W159" i="45" s="1"/>
  <c r="J158" i="45"/>
  <c r="W158" i="45" s="1"/>
  <c r="J157" i="45"/>
  <c r="W157" i="45" s="1"/>
  <c r="J156" i="45"/>
  <c r="V156" i="45" s="1"/>
  <c r="J155" i="45"/>
  <c r="V155" i="45" s="1"/>
  <c r="J154" i="45"/>
  <c r="W154" i="45" s="1"/>
  <c r="J153" i="45"/>
  <c r="V153" i="45" s="1"/>
  <c r="J152" i="45"/>
  <c r="W152" i="45" s="1"/>
  <c r="J151" i="45"/>
  <c r="W151" i="45" s="1"/>
  <c r="J150" i="45"/>
  <c r="J149" i="45"/>
  <c r="W149" i="45" s="1"/>
  <c r="J148" i="45"/>
  <c r="W148" i="45" s="1"/>
  <c r="J147" i="45"/>
  <c r="J146" i="45"/>
  <c r="V146" i="45" s="1"/>
  <c r="J145" i="45"/>
  <c r="V145" i="45" s="1"/>
  <c r="J143" i="45"/>
  <c r="V143" i="45" s="1"/>
  <c r="J142" i="45"/>
  <c r="W142" i="45" s="1"/>
  <c r="J141" i="45"/>
  <c r="V140" i="45"/>
  <c r="J140" i="45"/>
  <c r="W140" i="45" s="1"/>
  <c r="J139" i="45"/>
  <c r="V139" i="45" s="1"/>
  <c r="J138" i="45"/>
  <c r="W138" i="45" s="1"/>
  <c r="B138" i="45"/>
  <c r="B139" i="45" s="1"/>
  <c r="B140" i="45" s="1"/>
  <c r="B141" i="45" s="1"/>
  <c r="B142" i="45" s="1"/>
  <c r="B143" i="45" s="1"/>
  <c r="B144" i="45" s="1"/>
  <c r="B145" i="45" s="1"/>
  <c r="B146" i="45" s="1"/>
  <c r="B147" i="45" s="1"/>
  <c r="B148" i="45" s="1"/>
  <c r="B149" i="45" s="1"/>
  <c r="B150" i="45" s="1"/>
  <c r="B151" i="45" s="1"/>
  <c r="B152" i="45" s="1"/>
  <c r="B153" i="45" s="1"/>
  <c r="B154" i="45" s="1"/>
  <c r="B155" i="45" s="1"/>
  <c r="B156" i="45" s="1"/>
  <c r="B157" i="45" s="1"/>
  <c r="B158" i="45" s="1"/>
  <c r="B159" i="45" s="1"/>
  <c r="B160" i="45" s="1"/>
  <c r="B161" i="45" s="1"/>
  <c r="B162" i="45" s="1"/>
  <c r="B163" i="45" s="1"/>
  <c r="B164" i="45" s="1"/>
  <c r="B165" i="45" s="1"/>
  <c r="B166" i="45" s="1"/>
  <c r="B167" i="45" s="1"/>
  <c r="B168" i="45" s="1"/>
  <c r="B169" i="45" s="1"/>
  <c r="B170" i="45" s="1"/>
  <c r="B171" i="45" s="1"/>
  <c r="B172" i="45" s="1"/>
  <c r="B173" i="45" s="1"/>
  <c r="B174" i="45" s="1"/>
  <c r="B175" i="45" s="1"/>
  <c r="B176" i="45" s="1"/>
  <c r="B177" i="45" s="1"/>
  <c r="B178" i="45" s="1"/>
  <c r="B179" i="45" s="1"/>
  <c r="B180" i="45" s="1"/>
  <c r="B181" i="45" s="1"/>
  <c r="B182" i="45" s="1"/>
  <c r="J137" i="45"/>
  <c r="W137" i="45" s="1"/>
  <c r="J128" i="45"/>
  <c r="V128" i="45" s="1"/>
  <c r="J127" i="45"/>
  <c r="V127" i="45" s="1"/>
  <c r="J126" i="45"/>
  <c r="V126" i="45" s="1"/>
  <c r="J125" i="45"/>
  <c r="V125" i="45" s="1"/>
  <c r="W124" i="45"/>
  <c r="J124" i="45"/>
  <c r="V124" i="45" s="1"/>
  <c r="J123" i="45"/>
  <c r="V123" i="45" s="1"/>
  <c r="W122" i="45"/>
  <c r="J122" i="45"/>
  <c r="V122" i="45" s="1"/>
  <c r="J121" i="45"/>
  <c r="V121" i="45" s="1"/>
  <c r="J120" i="45"/>
  <c r="V120" i="45" s="1"/>
  <c r="J119" i="45"/>
  <c r="V119" i="45" s="1"/>
  <c r="J118" i="45"/>
  <c r="V118" i="45" s="1"/>
  <c r="J117" i="45"/>
  <c r="V117" i="45" s="1"/>
  <c r="W116" i="45"/>
  <c r="J116" i="45"/>
  <c r="V116" i="45" s="1"/>
  <c r="J115" i="45"/>
  <c r="V115" i="45" s="1"/>
  <c r="W114" i="45"/>
  <c r="J114" i="45"/>
  <c r="V114" i="45" s="1"/>
  <c r="J113" i="45"/>
  <c r="V113" i="45" s="1"/>
  <c r="J112" i="45"/>
  <c r="V112" i="45" s="1"/>
  <c r="B112" i="45"/>
  <c r="B113" i="45" s="1"/>
  <c r="B114" i="45" s="1"/>
  <c r="B115" i="45" s="1"/>
  <c r="B116" i="45" s="1"/>
  <c r="B117" i="45" s="1"/>
  <c r="B118" i="45" s="1"/>
  <c r="B119" i="45" s="1"/>
  <c r="B120" i="45" s="1"/>
  <c r="B121" i="45" s="1"/>
  <c r="B122" i="45" s="1"/>
  <c r="B123" i="45" s="1"/>
  <c r="B124" i="45" s="1"/>
  <c r="B125" i="45" s="1"/>
  <c r="B126" i="45" s="1"/>
  <c r="B127" i="45" s="1"/>
  <c r="B128" i="45" s="1"/>
  <c r="J111" i="45"/>
  <c r="V111" i="45" s="1"/>
  <c r="V110" i="45"/>
  <c r="J110" i="45"/>
  <c r="W110" i="45" s="1"/>
  <c r="J109" i="45"/>
  <c r="J108" i="45"/>
  <c r="J107" i="45"/>
  <c r="J106" i="45"/>
  <c r="J105" i="45"/>
  <c r="J104" i="45"/>
  <c r="J103" i="45"/>
  <c r="J102" i="45"/>
  <c r="J101" i="45"/>
  <c r="V101" i="45" s="1"/>
  <c r="J100" i="45"/>
  <c r="W100" i="45" s="1"/>
  <c r="J99" i="45"/>
  <c r="W99" i="45" s="1"/>
  <c r="J98" i="45"/>
  <c r="W98" i="45" s="1"/>
  <c r="J97" i="45"/>
  <c r="W97" i="45" s="1"/>
  <c r="J96" i="45"/>
  <c r="W96" i="45" s="1"/>
  <c r="J95" i="45"/>
  <c r="W95" i="45" s="1"/>
  <c r="J94" i="45"/>
  <c r="W94" i="45" s="1"/>
  <c r="J93" i="45"/>
  <c r="W93" i="45" s="1"/>
  <c r="J92" i="45"/>
  <c r="W92" i="45" s="1"/>
  <c r="J91" i="45"/>
  <c r="W91" i="45" s="1"/>
  <c r="J90" i="45"/>
  <c r="W90" i="45" s="1"/>
  <c r="J89" i="45"/>
  <c r="W89" i="45" s="1"/>
  <c r="J88" i="45"/>
  <c r="W88" i="45" s="1"/>
  <c r="J87" i="45"/>
  <c r="W87" i="45" s="1"/>
  <c r="J86" i="45"/>
  <c r="W86" i="45" s="1"/>
  <c r="J85" i="45"/>
  <c r="V85" i="45" s="1"/>
  <c r="J84" i="45"/>
  <c r="W84" i="45" s="1"/>
  <c r="J83" i="45"/>
  <c r="V83" i="45" s="1"/>
  <c r="J82" i="45"/>
  <c r="W82" i="45" s="1"/>
  <c r="J81" i="45"/>
  <c r="W81" i="45" s="1"/>
  <c r="J80" i="45"/>
  <c r="W80" i="45" s="1"/>
  <c r="J79" i="45"/>
  <c r="V79" i="45" s="1"/>
  <c r="J78" i="45"/>
  <c r="W78" i="45" s="1"/>
  <c r="J77" i="45"/>
  <c r="V77" i="45" s="1"/>
  <c r="J76" i="45"/>
  <c r="V76" i="45" s="1"/>
  <c r="J75" i="45"/>
  <c r="W75" i="45" s="1"/>
  <c r="J74" i="45"/>
  <c r="W74" i="45" s="1"/>
  <c r="J73" i="45"/>
  <c r="J72" i="45"/>
  <c r="V72" i="45" s="1"/>
  <c r="J71" i="45"/>
  <c r="V71" i="45" s="1"/>
  <c r="J70" i="45"/>
  <c r="V70" i="45" s="1"/>
  <c r="J69" i="45"/>
  <c r="W69" i="45" s="1"/>
  <c r="J68" i="45"/>
  <c r="B68" i="45"/>
  <c r="B69" i="45" s="1"/>
  <c r="B70" i="45" s="1"/>
  <c r="B71" i="45" s="1"/>
  <c r="B72" i="45" s="1"/>
  <c r="B73" i="45" s="1"/>
  <c r="B74" i="45" s="1"/>
  <c r="B75" i="45" s="1"/>
  <c r="B76" i="45" s="1"/>
  <c r="B77" i="45" s="1"/>
  <c r="B78" i="45" s="1"/>
  <c r="B79" i="45" s="1"/>
  <c r="B80" i="45" s="1"/>
  <c r="B81" i="45" s="1"/>
  <c r="B82" i="45" s="1"/>
  <c r="B83" i="45" s="1"/>
  <c r="B84" i="45" s="1"/>
  <c r="B85" i="45" s="1"/>
  <c r="B86" i="45" s="1"/>
  <c r="B87" i="45" s="1"/>
  <c r="B88" i="45" s="1"/>
  <c r="B89" i="45" s="1"/>
  <c r="B90" i="45" s="1"/>
  <c r="B91" i="45" s="1"/>
  <c r="B92" i="45" s="1"/>
  <c r="B93" i="45" s="1"/>
  <c r="B94" i="45" s="1"/>
  <c r="B95" i="45" s="1"/>
  <c r="B96" i="45" s="1"/>
  <c r="B97" i="45" s="1"/>
  <c r="B98" i="45" s="1"/>
  <c r="B99" i="45" s="1"/>
  <c r="B100" i="45" s="1"/>
  <c r="J67" i="45"/>
  <c r="W67" i="45" s="1"/>
  <c r="J58" i="45"/>
  <c r="W58" i="45" s="1"/>
  <c r="W57" i="45"/>
  <c r="J57" i="45"/>
  <c r="V57" i="45" s="1"/>
  <c r="J56" i="45"/>
  <c r="W56" i="45" s="1"/>
  <c r="J55" i="45"/>
  <c r="W55" i="45" s="1"/>
  <c r="J54" i="45"/>
  <c r="W54" i="45" s="1"/>
  <c r="J53" i="45"/>
  <c r="V53" i="45" s="1"/>
  <c r="J52" i="45"/>
  <c r="W52" i="45" s="1"/>
  <c r="J51" i="45"/>
  <c r="W51" i="45" s="1"/>
  <c r="V50" i="45"/>
  <c r="J50" i="45"/>
  <c r="W50" i="45" s="1"/>
  <c r="J49" i="45"/>
  <c r="V49" i="45" s="1"/>
  <c r="V48" i="45"/>
  <c r="J48" i="45"/>
  <c r="W48" i="45" s="1"/>
  <c r="J47" i="45"/>
  <c r="W47" i="45" s="1"/>
  <c r="J46" i="45"/>
  <c r="W46" i="45" s="1"/>
  <c r="J45" i="45"/>
  <c r="V45" i="45" s="1"/>
  <c r="J44" i="45"/>
  <c r="W44" i="45" s="1"/>
  <c r="J43" i="45"/>
  <c r="W43" i="45" s="1"/>
  <c r="J42" i="45"/>
  <c r="W42" i="45" s="1"/>
  <c r="W41" i="45"/>
  <c r="J41" i="45"/>
  <c r="V41" i="45" s="1"/>
  <c r="J40" i="45"/>
  <c r="W40" i="45" s="1"/>
  <c r="J39" i="45"/>
  <c r="W39" i="45" s="1"/>
  <c r="J38" i="45"/>
  <c r="W38" i="45" s="1"/>
  <c r="J37" i="45"/>
  <c r="V37" i="45" s="1"/>
  <c r="J36" i="45"/>
  <c r="W36" i="45" s="1"/>
  <c r="J35" i="45"/>
  <c r="W35" i="45" s="1"/>
  <c r="J34" i="45"/>
  <c r="W34" i="45" s="1"/>
  <c r="J33" i="45"/>
  <c r="W33" i="45" s="1"/>
  <c r="J32" i="45"/>
  <c r="V32" i="45" s="1"/>
  <c r="J31" i="45"/>
  <c r="W31" i="45" s="1"/>
  <c r="J30" i="45"/>
  <c r="W30" i="45" s="1"/>
  <c r="J29" i="45"/>
  <c r="W29" i="45" s="1"/>
  <c r="J28" i="45"/>
  <c r="V28" i="45" s="1"/>
  <c r="J27" i="45"/>
  <c r="W27" i="45" s="1"/>
  <c r="J26" i="45"/>
  <c r="W26" i="45" s="1"/>
  <c r="J25" i="45"/>
  <c r="W25" i="45" s="1"/>
  <c r="J24" i="45"/>
  <c r="V24" i="45" s="1"/>
  <c r="J23" i="45"/>
  <c r="J22" i="45"/>
  <c r="W22" i="45" s="1"/>
  <c r="J21" i="45"/>
  <c r="W21" i="45" s="1"/>
  <c r="J20" i="45"/>
  <c r="W20" i="45" s="1"/>
  <c r="J19" i="45"/>
  <c r="V19" i="45" s="1"/>
  <c r="J18" i="45"/>
  <c r="W18" i="45" s="1"/>
  <c r="J17" i="45"/>
  <c r="W17" i="45" s="1"/>
  <c r="J16" i="45"/>
  <c r="W16" i="45" s="1"/>
  <c r="W15" i="45"/>
  <c r="J15" i="45"/>
  <c r="V15" i="45" s="1"/>
  <c r="J14" i="45"/>
  <c r="V14" i="45" s="1"/>
  <c r="J13" i="45"/>
  <c r="J12" i="45"/>
  <c r="W12" i="45" s="1"/>
  <c r="J11" i="45"/>
  <c r="W11" i="45" s="1"/>
  <c r="J10" i="45"/>
  <c r="V10" i="45" s="1"/>
  <c r="J9" i="45"/>
  <c r="W9" i="45" s="1"/>
  <c r="N8" i="45"/>
  <c r="J8" i="45"/>
  <c r="W8" i="45" s="1"/>
  <c r="J7" i="45"/>
  <c r="V7" i="45" s="1"/>
  <c r="N6" i="45"/>
  <c r="R6" i="45" s="1"/>
  <c r="J6" i="45"/>
  <c r="N4" i="45"/>
  <c r="V46" i="45" l="1"/>
  <c r="V42" i="45"/>
  <c r="W49" i="45"/>
  <c r="V56" i="45"/>
  <c r="V58" i="45"/>
  <c r="W112" i="45"/>
  <c r="W120" i="45"/>
  <c r="W128" i="45"/>
  <c r="W178" i="45"/>
  <c r="W180" i="45"/>
  <c r="W182" i="45"/>
  <c r="V44" i="45"/>
  <c r="W53" i="45"/>
  <c r="V25" i="45"/>
  <c r="W45" i="45"/>
  <c r="V52" i="45"/>
  <c r="V54" i="45"/>
  <c r="W118" i="45"/>
  <c r="W126" i="45"/>
  <c r="W146" i="45"/>
  <c r="V149" i="45"/>
  <c r="W177" i="45"/>
  <c r="W179" i="45"/>
  <c r="W181" i="45"/>
  <c r="W101" i="45"/>
  <c r="W176" i="45"/>
  <c r="W175" i="45"/>
  <c r="W174" i="45"/>
  <c r="V89" i="45"/>
  <c r="V97" i="45"/>
  <c r="V95" i="45"/>
  <c r="V93" i="45"/>
  <c r="V29" i="45"/>
  <c r="V27" i="45"/>
  <c r="W85" i="45"/>
  <c r="V84" i="45"/>
  <c r="W173" i="45"/>
  <c r="W76" i="45"/>
  <c r="V75" i="45"/>
  <c r="V74" i="45"/>
  <c r="V154" i="45"/>
  <c r="W153" i="45"/>
  <c r="V152" i="45"/>
  <c r="V22" i="45"/>
  <c r="V20" i="45"/>
  <c r="V11" i="45"/>
  <c r="V18" i="45"/>
  <c r="W7" i="45"/>
  <c r="W139" i="45"/>
  <c r="V137" i="45"/>
  <c r="V138" i="45"/>
  <c r="W145" i="45"/>
  <c r="W155" i="45"/>
  <c r="V157" i="45"/>
  <c r="V159" i="45"/>
  <c r="V161" i="45"/>
  <c r="W163" i="45"/>
  <c r="W165" i="45"/>
  <c r="W167" i="45"/>
  <c r="W169" i="45"/>
  <c r="W171" i="45"/>
  <c r="W144" i="45"/>
  <c r="W156" i="45"/>
  <c r="V158" i="45"/>
  <c r="V160" i="45"/>
  <c r="V162" i="45"/>
  <c r="W164" i="45"/>
  <c r="W166" i="45"/>
  <c r="W168" i="45"/>
  <c r="W170" i="45"/>
  <c r="W172" i="45"/>
  <c r="W70" i="45"/>
  <c r="W72" i="45"/>
  <c r="W79" i="45"/>
  <c r="V86" i="45"/>
  <c r="V91" i="45"/>
  <c r="V99" i="45"/>
  <c r="V69" i="45"/>
  <c r="W71" i="45"/>
  <c r="V78" i="45"/>
  <c r="V80" i="45"/>
  <c r="V16" i="45"/>
  <c r="V8" i="45"/>
  <c r="W32" i="45"/>
  <c r="W37" i="45"/>
  <c r="V40" i="45"/>
  <c r="J59" i="45"/>
  <c r="W14" i="45"/>
  <c r="W28" i="45"/>
  <c r="N10" i="45"/>
  <c r="W10" i="45"/>
  <c r="V12" i="45"/>
  <c r="W19" i="45"/>
  <c r="W24" i="45"/>
  <c r="V31" i="45"/>
  <c r="V33" i="45"/>
  <c r="V36" i="45"/>
  <c r="V38" i="45"/>
  <c r="V23" i="45"/>
  <c r="W23" i="45"/>
  <c r="V73" i="45"/>
  <c r="W73" i="45"/>
  <c r="V13" i="45"/>
  <c r="W13" i="45"/>
  <c r="W68" i="45"/>
  <c r="V68" i="45"/>
  <c r="W141" i="45"/>
  <c r="V141" i="45"/>
  <c r="W147" i="45"/>
  <c r="V147" i="45"/>
  <c r="V150" i="45"/>
  <c r="W150" i="45"/>
  <c r="W6" i="45"/>
  <c r="V9" i="45"/>
  <c r="V17" i="45"/>
  <c r="V21" i="45"/>
  <c r="V26" i="45"/>
  <c r="V30" i="45"/>
  <c r="V34" i="45"/>
  <c r="V35" i="45"/>
  <c r="V39" i="45"/>
  <c r="V43" i="45"/>
  <c r="V47" i="45"/>
  <c r="V51" i="45"/>
  <c r="V55" i="45"/>
  <c r="V67" i="45"/>
  <c r="V81" i="45"/>
  <c r="V82" i="45"/>
  <c r="W83" i="45"/>
  <c r="V87" i="45"/>
  <c r="V88" i="45"/>
  <c r="V92" i="45"/>
  <c r="V96" i="45"/>
  <c r="V100" i="45"/>
  <c r="W111" i="45"/>
  <c r="W115" i="45"/>
  <c r="W119" i="45"/>
  <c r="W123" i="45"/>
  <c r="W127" i="45"/>
  <c r="J129" i="45"/>
  <c r="V142" i="45"/>
  <c r="W143" i="45"/>
  <c r="V151" i="45"/>
  <c r="V6" i="45"/>
  <c r="W77" i="45"/>
  <c r="V90" i="45"/>
  <c r="V94" i="45"/>
  <c r="V98" i="45"/>
  <c r="W113" i="45"/>
  <c r="W117" i="45"/>
  <c r="W121" i="45"/>
  <c r="W125" i="45"/>
  <c r="J183" i="45"/>
  <c r="V148" i="45"/>
  <c r="H88" i="44"/>
  <c r="H87" i="44"/>
  <c r="H84" i="44"/>
  <c r="H83" i="44"/>
  <c r="H82" i="44"/>
  <c r="H79" i="44"/>
  <c r="H78" i="44"/>
  <c r="H73" i="44"/>
  <c r="H70" i="44"/>
  <c r="W59" i="45" l="1"/>
  <c r="P4" i="45" s="1"/>
  <c r="V59" i="45"/>
  <c r="O4" i="45" s="1"/>
  <c r="W183" i="45"/>
  <c r="V183" i="45"/>
  <c r="O8" i="45" s="1"/>
  <c r="R8" i="45" s="1"/>
  <c r="W129" i="45"/>
  <c r="P6" i="45" s="1"/>
  <c r="V129" i="45"/>
  <c r="H68" i="44"/>
  <c r="H67" i="44"/>
  <c r="P10" i="45" l="1"/>
  <c r="Q4" i="45"/>
  <c r="R4" i="45"/>
  <c r="Q8" i="45"/>
  <c r="O10" i="45"/>
  <c r="R10" i="45" s="1"/>
  <c r="P12" i="45" s="1"/>
  <c r="H163" i="44"/>
  <c r="H157" i="44"/>
  <c r="H155" i="44"/>
  <c r="H151" i="44"/>
  <c r="H150" i="44"/>
  <c r="H147" i="44"/>
  <c r="H146" i="44"/>
  <c r="H145" i="44"/>
  <c r="H143" i="44"/>
  <c r="H141" i="44"/>
  <c r="H35" i="44"/>
  <c r="H23" i="44"/>
  <c r="Q10" i="45" l="1"/>
  <c r="H15" i="44"/>
  <c r="H13" i="44"/>
  <c r="J182" i="44" l="1"/>
  <c r="J181" i="44"/>
  <c r="W181" i="44" s="1"/>
  <c r="J180" i="44"/>
  <c r="J179" i="44"/>
  <c r="W179" i="44" s="1"/>
  <c r="J178" i="44"/>
  <c r="J177" i="44"/>
  <c r="W177" i="44" s="1"/>
  <c r="J176" i="44"/>
  <c r="J175" i="44"/>
  <c r="W175" i="44" s="1"/>
  <c r="J174" i="44"/>
  <c r="J173" i="44"/>
  <c r="W173" i="44" s="1"/>
  <c r="J172" i="44"/>
  <c r="V172" i="44" s="1"/>
  <c r="J171" i="44"/>
  <c r="V171" i="44" s="1"/>
  <c r="J170" i="44"/>
  <c r="W170" i="44" s="1"/>
  <c r="J169" i="44"/>
  <c r="W169" i="44" s="1"/>
  <c r="J168" i="44"/>
  <c r="V168" i="44" s="1"/>
  <c r="J167" i="44"/>
  <c r="J166" i="44"/>
  <c r="J165" i="44"/>
  <c r="J164" i="44"/>
  <c r="J163" i="44"/>
  <c r="J162" i="44"/>
  <c r="J161" i="44"/>
  <c r="J160" i="44"/>
  <c r="J159" i="44"/>
  <c r="W159" i="44" s="1"/>
  <c r="J158" i="44"/>
  <c r="W158" i="44" s="1"/>
  <c r="J157" i="44"/>
  <c r="V157" i="44" s="1"/>
  <c r="J156" i="44"/>
  <c r="W156" i="44" s="1"/>
  <c r="J155" i="44"/>
  <c r="W155" i="44" s="1"/>
  <c r="J154" i="44"/>
  <c r="W154" i="44" s="1"/>
  <c r="J153" i="44"/>
  <c r="V153" i="44" s="1"/>
  <c r="J152" i="44"/>
  <c r="W152" i="44" s="1"/>
  <c r="J151" i="44"/>
  <c r="W151" i="44" s="1"/>
  <c r="J150" i="44"/>
  <c r="W150" i="44" s="1"/>
  <c r="J149" i="44"/>
  <c r="V149" i="44" s="1"/>
  <c r="J148" i="44"/>
  <c r="V148" i="44" s="1"/>
  <c r="J147" i="44"/>
  <c r="J146" i="44"/>
  <c r="V146" i="44" s="1"/>
  <c r="J145" i="44"/>
  <c r="V145" i="44" s="1"/>
  <c r="J144" i="44"/>
  <c r="V144" i="44" s="1"/>
  <c r="J143" i="44"/>
  <c r="J142" i="44"/>
  <c r="V142" i="44" s="1"/>
  <c r="J141" i="44"/>
  <c r="V141" i="44" s="1"/>
  <c r="J140" i="44"/>
  <c r="V140" i="44" s="1"/>
  <c r="J139" i="44"/>
  <c r="J138" i="44"/>
  <c r="B138" i="44"/>
  <c r="B139" i="44" s="1"/>
  <c r="B140" i="44" s="1"/>
  <c r="B141" i="44" s="1"/>
  <c r="B142" i="44" s="1"/>
  <c r="B143" i="44" s="1"/>
  <c r="B144" i="44" s="1"/>
  <c r="B145" i="44" s="1"/>
  <c r="B146" i="44" s="1"/>
  <c r="B147" i="44" s="1"/>
  <c r="B148" i="44" s="1"/>
  <c r="B149" i="44" s="1"/>
  <c r="B150" i="44" s="1"/>
  <c r="B151" i="44" s="1"/>
  <c r="B152" i="44" s="1"/>
  <c r="B153" i="44" s="1"/>
  <c r="B154" i="44" s="1"/>
  <c r="B155" i="44" s="1"/>
  <c r="B156" i="44" s="1"/>
  <c r="B157" i="44" s="1"/>
  <c r="B158" i="44" s="1"/>
  <c r="B159" i="44" s="1"/>
  <c r="B160" i="44" s="1"/>
  <c r="B161" i="44" s="1"/>
  <c r="B162" i="44" s="1"/>
  <c r="B163" i="44" s="1"/>
  <c r="B164" i="44" s="1"/>
  <c r="B165" i="44" s="1"/>
  <c r="B166" i="44" s="1"/>
  <c r="B167" i="44" s="1"/>
  <c r="B168" i="44" s="1"/>
  <c r="B169" i="44" s="1"/>
  <c r="B170" i="44" s="1"/>
  <c r="B171" i="44" s="1"/>
  <c r="B172" i="44" s="1"/>
  <c r="B173" i="44" s="1"/>
  <c r="B174" i="44" s="1"/>
  <c r="B175" i="44" s="1"/>
  <c r="B176" i="44" s="1"/>
  <c r="B177" i="44" s="1"/>
  <c r="B178" i="44" s="1"/>
  <c r="B179" i="44" s="1"/>
  <c r="B180" i="44" s="1"/>
  <c r="B181" i="44" s="1"/>
  <c r="B182" i="44" s="1"/>
  <c r="J137" i="44"/>
  <c r="W128" i="44"/>
  <c r="J128" i="44"/>
  <c r="V128" i="44" s="1"/>
  <c r="V127" i="44"/>
  <c r="J127" i="44"/>
  <c r="W127" i="44" s="1"/>
  <c r="J126" i="44"/>
  <c r="W126" i="44" s="1"/>
  <c r="W125" i="44"/>
  <c r="V125" i="44"/>
  <c r="J125" i="44"/>
  <c r="W124" i="44"/>
  <c r="J124" i="44"/>
  <c r="V124" i="44" s="1"/>
  <c r="V123" i="44"/>
  <c r="J123" i="44"/>
  <c r="W123" i="44" s="1"/>
  <c r="J122" i="44"/>
  <c r="W122" i="44" s="1"/>
  <c r="W121" i="44"/>
  <c r="V121" i="44"/>
  <c r="J121" i="44"/>
  <c r="W120" i="44"/>
  <c r="J120" i="44"/>
  <c r="V120" i="44" s="1"/>
  <c r="V119" i="44"/>
  <c r="J119" i="44"/>
  <c r="W119" i="44" s="1"/>
  <c r="J118" i="44"/>
  <c r="W118" i="44" s="1"/>
  <c r="W117" i="44"/>
  <c r="V117" i="44"/>
  <c r="J117" i="44"/>
  <c r="W116" i="44"/>
  <c r="J116" i="44"/>
  <c r="V116" i="44" s="1"/>
  <c r="V115" i="44"/>
  <c r="J115" i="44"/>
  <c r="W115" i="44" s="1"/>
  <c r="J114" i="44"/>
  <c r="W114" i="44" s="1"/>
  <c r="W113" i="44"/>
  <c r="V113" i="44"/>
  <c r="J113" i="44"/>
  <c r="W112" i="44"/>
  <c r="J112" i="44"/>
  <c r="V112" i="44" s="1"/>
  <c r="B112" i="44"/>
  <c r="B113" i="44" s="1"/>
  <c r="B114" i="44" s="1"/>
  <c r="B115" i="44" s="1"/>
  <c r="B116" i="44" s="1"/>
  <c r="B117" i="44" s="1"/>
  <c r="B118" i="44" s="1"/>
  <c r="B119" i="44" s="1"/>
  <c r="B120" i="44" s="1"/>
  <c r="B121" i="44" s="1"/>
  <c r="B122" i="44" s="1"/>
  <c r="B123" i="44" s="1"/>
  <c r="B124" i="44" s="1"/>
  <c r="B125" i="44" s="1"/>
  <c r="B126" i="44" s="1"/>
  <c r="B127" i="44" s="1"/>
  <c r="B128" i="44" s="1"/>
  <c r="W111" i="44"/>
  <c r="J111" i="44"/>
  <c r="V111" i="44" s="1"/>
  <c r="J110" i="44"/>
  <c r="W110" i="44" s="1"/>
  <c r="J109" i="44"/>
  <c r="J108" i="44"/>
  <c r="J107" i="44"/>
  <c r="J106" i="44"/>
  <c r="J105" i="44"/>
  <c r="J104" i="44"/>
  <c r="J103" i="44"/>
  <c r="J102" i="44"/>
  <c r="J101" i="44"/>
  <c r="W101" i="44" s="1"/>
  <c r="J100" i="44"/>
  <c r="W100" i="44" s="1"/>
  <c r="J99" i="44"/>
  <c r="W99" i="44" s="1"/>
  <c r="J98" i="44"/>
  <c r="W98" i="44" s="1"/>
  <c r="J97" i="44"/>
  <c r="W97" i="44" s="1"/>
  <c r="J96" i="44"/>
  <c r="V96" i="44" s="1"/>
  <c r="J95" i="44"/>
  <c r="V95" i="44" s="1"/>
  <c r="J94" i="44"/>
  <c r="W94" i="44" s="1"/>
  <c r="J93" i="44"/>
  <c r="W93" i="44" s="1"/>
  <c r="J92" i="44"/>
  <c r="W92" i="44" s="1"/>
  <c r="J91" i="44"/>
  <c r="V91" i="44" s="1"/>
  <c r="J90" i="44"/>
  <c r="W90" i="44" s="1"/>
  <c r="J89" i="44"/>
  <c r="J88" i="44"/>
  <c r="J87" i="44"/>
  <c r="W87" i="44" s="1"/>
  <c r="J86" i="44"/>
  <c r="W86" i="44" s="1"/>
  <c r="J85" i="44"/>
  <c r="W85" i="44" s="1"/>
  <c r="J84" i="44"/>
  <c r="J83" i="44"/>
  <c r="J82" i="44"/>
  <c r="W82" i="44" s="1"/>
  <c r="J81" i="44"/>
  <c r="W81" i="44" s="1"/>
  <c r="J80" i="44"/>
  <c r="W80" i="44" s="1"/>
  <c r="J79" i="44"/>
  <c r="J78" i="44"/>
  <c r="J77" i="44"/>
  <c r="W77" i="44" s="1"/>
  <c r="J76" i="44"/>
  <c r="J75" i="44"/>
  <c r="J74" i="44"/>
  <c r="J73" i="44"/>
  <c r="W73" i="44" s="1"/>
  <c r="J72" i="44"/>
  <c r="J71" i="44"/>
  <c r="V71" i="44" s="1"/>
  <c r="J70" i="44"/>
  <c r="V70" i="44" s="1"/>
  <c r="B70" i="44"/>
  <c r="B71" i="44" s="1"/>
  <c r="B72" i="44" s="1"/>
  <c r="B73" i="44" s="1"/>
  <c r="B74" i="44" s="1"/>
  <c r="B75" i="44" s="1"/>
  <c r="B76" i="44" s="1"/>
  <c r="B77" i="44" s="1"/>
  <c r="B78" i="44" s="1"/>
  <c r="B79" i="44" s="1"/>
  <c r="B80" i="44" s="1"/>
  <c r="B81" i="44" s="1"/>
  <c r="B82" i="44" s="1"/>
  <c r="B83" i="44" s="1"/>
  <c r="B84" i="44" s="1"/>
  <c r="B85" i="44" s="1"/>
  <c r="B86" i="44" s="1"/>
  <c r="B87" i="44" s="1"/>
  <c r="B88" i="44" s="1"/>
  <c r="B89" i="44" s="1"/>
  <c r="B90" i="44" s="1"/>
  <c r="B91" i="44" s="1"/>
  <c r="B92" i="44" s="1"/>
  <c r="B93" i="44" s="1"/>
  <c r="B94" i="44" s="1"/>
  <c r="B95" i="44" s="1"/>
  <c r="B96" i="44" s="1"/>
  <c r="B97" i="44" s="1"/>
  <c r="B98" i="44" s="1"/>
  <c r="B99" i="44" s="1"/>
  <c r="B100" i="44" s="1"/>
  <c r="J69" i="44"/>
  <c r="W69" i="44" s="1"/>
  <c r="J68" i="44"/>
  <c r="V68" i="44" s="1"/>
  <c r="B68" i="44"/>
  <c r="B69" i="44" s="1"/>
  <c r="J67" i="44"/>
  <c r="V67" i="44" s="1"/>
  <c r="J58" i="44"/>
  <c r="V58" i="44" s="1"/>
  <c r="W57" i="44"/>
  <c r="V57" i="44"/>
  <c r="J57" i="44"/>
  <c r="J56" i="44"/>
  <c r="J55" i="44"/>
  <c r="W55" i="44" s="1"/>
  <c r="J54" i="44"/>
  <c r="W53" i="44"/>
  <c r="J53" i="44"/>
  <c r="V53" i="44" s="1"/>
  <c r="V52" i="44"/>
  <c r="J52" i="44"/>
  <c r="W52" i="44" s="1"/>
  <c r="J51" i="44"/>
  <c r="J50" i="44"/>
  <c r="V50" i="44" s="1"/>
  <c r="J49" i="44"/>
  <c r="W49" i="44" s="1"/>
  <c r="J48" i="44"/>
  <c r="J47" i="44"/>
  <c r="W47" i="44" s="1"/>
  <c r="W46" i="44"/>
  <c r="J46" i="44"/>
  <c r="V46" i="44" s="1"/>
  <c r="J45" i="44"/>
  <c r="W45" i="44" s="1"/>
  <c r="J44" i="44"/>
  <c r="W44" i="44" s="1"/>
  <c r="V43" i="44"/>
  <c r="J43" i="44"/>
  <c r="W43" i="44" s="1"/>
  <c r="J42" i="44"/>
  <c r="J41" i="44"/>
  <c r="V41" i="44" s="1"/>
  <c r="J40" i="44"/>
  <c r="W40" i="44" s="1"/>
  <c r="J39" i="44"/>
  <c r="J38" i="44"/>
  <c r="W38" i="44" s="1"/>
  <c r="J37" i="44"/>
  <c r="J36" i="44"/>
  <c r="W36" i="44" s="1"/>
  <c r="J35" i="44"/>
  <c r="W35" i="44" s="1"/>
  <c r="J34" i="44"/>
  <c r="J33" i="44"/>
  <c r="W33" i="44" s="1"/>
  <c r="J32" i="44"/>
  <c r="V32" i="44" s="1"/>
  <c r="J31" i="44"/>
  <c r="V31" i="44" s="1"/>
  <c r="V30" i="44"/>
  <c r="J30" i="44"/>
  <c r="W30" i="44" s="1"/>
  <c r="J29" i="44"/>
  <c r="W29" i="44" s="1"/>
  <c r="J28" i="44"/>
  <c r="W27" i="44"/>
  <c r="J27" i="44"/>
  <c r="V27" i="44" s="1"/>
  <c r="J26" i="44"/>
  <c r="V26" i="44" s="1"/>
  <c r="J25" i="44"/>
  <c r="J24" i="44"/>
  <c r="W24" i="44" s="1"/>
  <c r="J23" i="44"/>
  <c r="V23" i="44" s="1"/>
  <c r="J22" i="44"/>
  <c r="W22" i="44" s="1"/>
  <c r="J21" i="44"/>
  <c r="W21" i="44" s="1"/>
  <c r="J20" i="44"/>
  <c r="J19" i="44"/>
  <c r="J18" i="44"/>
  <c r="V18" i="44" s="1"/>
  <c r="J17" i="44"/>
  <c r="W17" i="44" s="1"/>
  <c r="J16" i="44"/>
  <c r="W16" i="44" s="1"/>
  <c r="J15" i="44"/>
  <c r="W15" i="44" s="1"/>
  <c r="J14" i="44"/>
  <c r="J13" i="44"/>
  <c r="V13" i="44" s="1"/>
  <c r="J12" i="44"/>
  <c r="W12" i="44" s="1"/>
  <c r="J11" i="44"/>
  <c r="W11" i="44" s="1"/>
  <c r="J10" i="44"/>
  <c r="W10" i="44" s="1"/>
  <c r="J9" i="44"/>
  <c r="W9" i="44" s="1"/>
  <c r="N8" i="44"/>
  <c r="J8" i="44"/>
  <c r="J7" i="44"/>
  <c r="V7" i="44" s="1"/>
  <c r="N6" i="44"/>
  <c r="R6" i="44" s="1"/>
  <c r="J6" i="44"/>
  <c r="N4" i="44"/>
  <c r="W13" i="44" l="1"/>
  <c r="V40" i="44"/>
  <c r="V45" i="44"/>
  <c r="W50" i="44"/>
  <c r="W58" i="44"/>
  <c r="W71" i="44"/>
  <c r="V82" i="44"/>
  <c r="V85" i="44"/>
  <c r="W96" i="44"/>
  <c r="V99" i="44"/>
  <c r="V114" i="44"/>
  <c r="V118" i="44"/>
  <c r="V122" i="44"/>
  <c r="V126" i="44"/>
  <c r="V35" i="44"/>
  <c r="V55" i="44"/>
  <c r="W171" i="44"/>
  <c r="W68" i="44"/>
  <c r="W67" i="44"/>
  <c r="V156" i="44"/>
  <c r="W153" i="44"/>
  <c r="N10" i="44"/>
  <c r="W31" i="44"/>
  <c r="W26" i="44"/>
  <c r="V24" i="44"/>
  <c r="W23" i="44"/>
  <c r="V10" i="44"/>
  <c r="J59" i="44"/>
  <c r="V12" i="44"/>
  <c r="V22" i="44"/>
  <c r="V6" i="44"/>
  <c r="W7" i="44"/>
  <c r="V11" i="44"/>
  <c r="V17" i="44"/>
  <c r="W18" i="44"/>
  <c r="V21" i="44"/>
  <c r="V36" i="44"/>
  <c r="V38" i="44"/>
  <c r="V44" i="44"/>
  <c r="W6" i="44"/>
  <c r="V47" i="44"/>
  <c r="V33" i="44"/>
  <c r="W41" i="44"/>
  <c r="W70" i="44"/>
  <c r="V87" i="44"/>
  <c r="V92" i="44"/>
  <c r="V94" i="44"/>
  <c r="V98" i="44"/>
  <c r="V69" i="44"/>
  <c r="V81" i="44"/>
  <c r="V86" i="44"/>
  <c r="V90" i="44"/>
  <c r="V97" i="44"/>
  <c r="V100" i="44"/>
  <c r="W149" i="44"/>
  <c r="V152" i="44"/>
  <c r="W172" i="44"/>
  <c r="W157" i="44"/>
  <c r="W168" i="44"/>
  <c r="W140" i="44"/>
  <c r="W145" i="44"/>
  <c r="W148" i="44"/>
  <c r="V151" i="44"/>
  <c r="V155" i="44"/>
  <c r="V159" i="44"/>
  <c r="V170" i="44"/>
  <c r="V150" i="44"/>
  <c r="V154" i="44"/>
  <c r="V158" i="44"/>
  <c r="V169" i="44"/>
  <c r="W141" i="44"/>
  <c r="W144" i="44"/>
  <c r="W89" i="44"/>
  <c r="V89" i="44"/>
  <c r="W75" i="44"/>
  <c r="V75" i="44"/>
  <c r="V84" i="44"/>
  <c r="W84" i="44"/>
  <c r="W20" i="44"/>
  <c r="V20" i="44"/>
  <c r="W34" i="44"/>
  <c r="V34" i="44"/>
  <c r="V76" i="44"/>
  <c r="W76" i="44"/>
  <c r="W79" i="44"/>
  <c r="V79" i="44"/>
  <c r="V28" i="44"/>
  <c r="W28" i="44"/>
  <c r="W56" i="44"/>
  <c r="V56" i="44"/>
  <c r="W83" i="44"/>
  <c r="V83" i="44"/>
  <c r="W88" i="44"/>
  <c r="V88" i="44"/>
  <c r="W14" i="44"/>
  <c r="V14" i="44"/>
  <c r="V54" i="44"/>
  <c r="W54" i="44"/>
  <c r="W74" i="44"/>
  <c r="V74" i="44"/>
  <c r="V80" i="44"/>
  <c r="V93" i="44"/>
  <c r="W138" i="44"/>
  <c r="V138" i="44"/>
  <c r="W176" i="44"/>
  <c r="V176" i="44"/>
  <c r="V16" i="44"/>
  <c r="W25" i="44"/>
  <c r="V25" i="44"/>
  <c r="V29" i="44"/>
  <c r="W32" i="44"/>
  <c r="W42" i="44"/>
  <c r="V42" i="44"/>
  <c r="W51" i="44"/>
  <c r="V51" i="44"/>
  <c r="V143" i="44"/>
  <c r="W143" i="44"/>
  <c r="W160" i="44"/>
  <c r="V160" i="44"/>
  <c r="W39" i="44"/>
  <c r="V39" i="44"/>
  <c r="W8" i="44"/>
  <c r="V8" i="44"/>
  <c r="W19" i="44"/>
  <c r="V19" i="44"/>
  <c r="V37" i="44"/>
  <c r="W37" i="44"/>
  <c r="W48" i="44"/>
  <c r="V48" i="44"/>
  <c r="V72" i="44"/>
  <c r="W72" i="44"/>
  <c r="W78" i="44"/>
  <c r="V78" i="44"/>
  <c r="V147" i="44"/>
  <c r="W147" i="44"/>
  <c r="W180" i="44"/>
  <c r="V180" i="44"/>
  <c r="V9" i="44"/>
  <c r="V15" i="44"/>
  <c r="V49" i="44"/>
  <c r="J129" i="44"/>
  <c r="V73" i="44"/>
  <c r="V77" i="44"/>
  <c r="W91" i="44"/>
  <c r="W95" i="44"/>
  <c r="V139" i="44"/>
  <c r="W139" i="44"/>
  <c r="W174" i="44"/>
  <c r="V174" i="44"/>
  <c r="W178" i="44"/>
  <c r="V178" i="44"/>
  <c r="W182" i="44"/>
  <c r="V182" i="44"/>
  <c r="J183" i="44"/>
  <c r="W137" i="44"/>
  <c r="W161" i="44"/>
  <c r="V161" i="44"/>
  <c r="W163" i="44"/>
  <c r="V163" i="44"/>
  <c r="W165" i="44"/>
  <c r="V165" i="44"/>
  <c r="W167" i="44"/>
  <c r="V167" i="44"/>
  <c r="V101" i="44"/>
  <c r="V110" i="44"/>
  <c r="V137" i="44"/>
  <c r="W142" i="44"/>
  <c r="W146" i="44"/>
  <c r="W162" i="44"/>
  <c r="V162" i="44"/>
  <c r="W164" i="44"/>
  <c r="V164" i="44"/>
  <c r="W166" i="44"/>
  <c r="V166" i="44"/>
  <c r="V173" i="44"/>
  <c r="V175" i="44"/>
  <c r="V177" i="44"/>
  <c r="V179" i="44"/>
  <c r="V181" i="44"/>
  <c r="H173" i="43"/>
  <c r="H171" i="43"/>
  <c r="H168" i="43"/>
  <c r="H160" i="43"/>
  <c r="H159" i="43"/>
  <c r="H149" i="43"/>
  <c r="H139" i="43"/>
  <c r="W129" i="44" l="1"/>
  <c r="P6" i="44" s="1"/>
  <c r="W59" i="44"/>
  <c r="P4" i="44" s="1"/>
  <c r="V59" i="44"/>
  <c r="O4" i="44" s="1"/>
  <c r="R4" i="44" s="1"/>
  <c r="V129" i="44"/>
  <c r="W183" i="44"/>
  <c r="V183" i="44"/>
  <c r="O8" i="44" s="1"/>
  <c r="H106" i="43"/>
  <c r="J106" i="43" s="1"/>
  <c r="H105" i="43"/>
  <c r="J105" i="43" s="1"/>
  <c r="H104" i="43"/>
  <c r="J104" i="43"/>
  <c r="J107" i="43"/>
  <c r="H103" i="43"/>
  <c r="H102" i="43"/>
  <c r="H100" i="43"/>
  <c r="H99" i="43"/>
  <c r="H97" i="43"/>
  <c r="H95" i="43"/>
  <c r="H94" i="43"/>
  <c r="H93" i="43"/>
  <c r="H92" i="43"/>
  <c r="H91" i="43"/>
  <c r="H89" i="43"/>
  <c r="H88" i="43"/>
  <c r="H85" i="43"/>
  <c r="H84" i="43"/>
  <c r="H79" i="43"/>
  <c r="H78" i="43"/>
  <c r="H77" i="43"/>
  <c r="H76" i="43"/>
  <c r="H75" i="43"/>
  <c r="H74" i="43"/>
  <c r="H73" i="43"/>
  <c r="H70" i="43"/>
  <c r="H69" i="43"/>
  <c r="P10" i="44" l="1"/>
  <c r="Q4" i="44"/>
  <c r="O10" i="44"/>
  <c r="R10" i="44" s="1"/>
  <c r="P12" i="44" s="1"/>
  <c r="Q8" i="44"/>
  <c r="R8" i="44"/>
  <c r="H49" i="43"/>
  <c r="H48" i="43"/>
  <c r="H46" i="43"/>
  <c r="J46" i="43" s="1"/>
  <c r="W46" i="43" s="1"/>
  <c r="H45" i="43"/>
  <c r="H44" i="43"/>
  <c r="H34" i="43"/>
  <c r="H28" i="43"/>
  <c r="H27" i="43"/>
  <c r="H25" i="43"/>
  <c r="H23" i="43"/>
  <c r="H22" i="43"/>
  <c r="J22" i="43" s="1"/>
  <c r="W22" i="43" s="1"/>
  <c r="H20" i="43"/>
  <c r="H16" i="43"/>
  <c r="H6" i="43"/>
  <c r="V182" i="43"/>
  <c r="J182" i="43"/>
  <c r="W182" i="43" s="1"/>
  <c r="J181" i="43"/>
  <c r="W181" i="43" s="1"/>
  <c r="V180" i="43"/>
  <c r="J180" i="43"/>
  <c r="W180" i="43" s="1"/>
  <c r="J179" i="43"/>
  <c r="W179" i="43" s="1"/>
  <c r="V178" i="43"/>
  <c r="J178" i="43"/>
  <c r="W178" i="43" s="1"/>
  <c r="J177" i="43"/>
  <c r="W177" i="43" s="1"/>
  <c r="J176" i="43"/>
  <c r="W176" i="43" s="1"/>
  <c r="J175" i="43"/>
  <c r="W175" i="43" s="1"/>
  <c r="J174" i="43"/>
  <c r="W174" i="43" s="1"/>
  <c r="J173" i="43"/>
  <c r="W173" i="43" s="1"/>
  <c r="J172" i="43"/>
  <c r="W172" i="43" s="1"/>
  <c r="J171" i="43"/>
  <c r="W171" i="43" s="1"/>
  <c r="J170" i="43"/>
  <c r="W170" i="43" s="1"/>
  <c r="J169" i="43"/>
  <c r="V169" i="43" s="1"/>
  <c r="J168" i="43"/>
  <c r="V168" i="43" s="1"/>
  <c r="J167" i="43"/>
  <c r="W167" i="43" s="1"/>
  <c r="J166" i="43"/>
  <c r="W166" i="43" s="1"/>
  <c r="J165" i="43"/>
  <c r="V165" i="43" s="1"/>
  <c r="J164" i="43"/>
  <c r="W164" i="43" s="1"/>
  <c r="J163" i="43"/>
  <c r="J162" i="43"/>
  <c r="J161" i="43"/>
  <c r="W161" i="43" s="1"/>
  <c r="J160" i="43"/>
  <c r="W160" i="43" s="1"/>
  <c r="J159" i="43"/>
  <c r="W159" i="43" s="1"/>
  <c r="J158" i="43"/>
  <c r="V158" i="43" s="1"/>
  <c r="J157" i="43"/>
  <c r="W157" i="43" s="1"/>
  <c r="J156" i="43"/>
  <c r="W156" i="43" s="1"/>
  <c r="J155" i="43"/>
  <c r="J154" i="43"/>
  <c r="J153" i="43"/>
  <c r="J152" i="43"/>
  <c r="W152" i="43" s="1"/>
  <c r="J151" i="43"/>
  <c r="W151" i="43" s="1"/>
  <c r="J150" i="43"/>
  <c r="W150" i="43" s="1"/>
  <c r="J149" i="43"/>
  <c r="W149" i="43" s="1"/>
  <c r="J148" i="43"/>
  <c r="V148" i="43" s="1"/>
  <c r="J147" i="43"/>
  <c r="W147" i="43" s="1"/>
  <c r="J146" i="43"/>
  <c r="W146" i="43" s="1"/>
  <c r="J145" i="43"/>
  <c r="W145" i="43" s="1"/>
  <c r="J144" i="43"/>
  <c r="V144" i="43" s="1"/>
  <c r="J143" i="43"/>
  <c r="W143" i="43" s="1"/>
  <c r="J142" i="43"/>
  <c r="W142" i="43" s="1"/>
  <c r="J141" i="43"/>
  <c r="W141" i="43" s="1"/>
  <c r="J140" i="43"/>
  <c r="V140" i="43" s="1"/>
  <c r="J139" i="43"/>
  <c r="W139" i="43" s="1"/>
  <c r="J138" i="43"/>
  <c r="W138" i="43" s="1"/>
  <c r="B138" i="43"/>
  <c r="B139" i="43" s="1"/>
  <c r="B140" i="43" s="1"/>
  <c r="B141" i="43" s="1"/>
  <c r="B142" i="43" s="1"/>
  <c r="B143" i="43" s="1"/>
  <c r="B144" i="43" s="1"/>
  <c r="B145" i="43" s="1"/>
  <c r="B146" i="43" s="1"/>
  <c r="B147" i="43" s="1"/>
  <c r="B148" i="43" s="1"/>
  <c r="B149" i="43" s="1"/>
  <c r="B150" i="43" s="1"/>
  <c r="B151" i="43" s="1"/>
  <c r="B152" i="43" s="1"/>
  <c r="B153" i="43" s="1"/>
  <c r="B154" i="43" s="1"/>
  <c r="B155" i="43" s="1"/>
  <c r="B156" i="43" s="1"/>
  <c r="B157" i="43" s="1"/>
  <c r="B158" i="43" s="1"/>
  <c r="B159" i="43" s="1"/>
  <c r="B160" i="43" s="1"/>
  <c r="B161" i="43" s="1"/>
  <c r="B162" i="43" s="1"/>
  <c r="B163" i="43" s="1"/>
  <c r="B164" i="43" s="1"/>
  <c r="B165" i="43" s="1"/>
  <c r="B166" i="43" s="1"/>
  <c r="B167" i="43" s="1"/>
  <c r="B168" i="43" s="1"/>
  <c r="B169" i="43" s="1"/>
  <c r="B170" i="43" s="1"/>
  <c r="B171" i="43" s="1"/>
  <c r="B172" i="43" s="1"/>
  <c r="B173" i="43" s="1"/>
  <c r="B174" i="43" s="1"/>
  <c r="B175" i="43" s="1"/>
  <c r="B176" i="43" s="1"/>
  <c r="B177" i="43" s="1"/>
  <c r="B178" i="43" s="1"/>
  <c r="B179" i="43" s="1"/>
  <c r="B180" i="43" s="1"/>
  <c r="B181" i="43" s="1"/>
  <c r="B182" i="43" s="1"/>
  <c r="J137" i="43"/>
  <c r="W137" i="43" s="1"/>
  <c r="J128" i="43"/>
  <c r="W128" i="43" s="1"/>
  <c r="J127" i="43"/>
  <c r="W127" i="43" s="1"/>
  <c r="J126" i="43"/>
  <c r="W126" i="43" s="1"/>
  <c r="J125" i="43"/>
  <c r="W125" i="43" s="1"/>
  <c r="J124" i="43"/>
  <c r="W124" i="43" s="1"/>
  <c r="J123" i="43"/>
  <c r="W123" i="43" s="1"/>
  <c r="J122" i="43"/>
  <c r="W122" i="43" s="1"/>
  <c r="J121" i="43"/>
  <c r="W121" i="43" s="1"/>
  <c r="J120" i="43"/>
  <c r="W120" i="43" s="1"/>
  <c r="J119" i="43"/>
  <c r="W119" i="43" s="1"/>
  <c r="J118" i="43"/>
  <c r="W118" i="43" s="1"/>
  <c r="J117" i="43"/>
  <c r="W117" i="43" s="1"/>
  <c r="J116" i="43"/>
  <c r="W116" i="43" s="1"/>
  <c r="J115" i="43"/>
  <c r="W115" i="43" s="1"/>
  <c r="J114" i="43"/>
  <c r="W114" i="43" s="1"/>
  <c r="J113" i="43"/>
  <c r="W113" i="43" s="1"/>
  <c r="J112" i="43"/>
  <c r="W112" i="43" s="1"/>
  <c r="B112" i="43"/>
  <c r="B113" i="43" s="1"/>
  <c r="B114" i="43" s="1"/>
  <c r="B115" i="43" s="1"/>
  <c r="B116" i="43" s="1"/>
  <c r="B117" i="43" s="1"/>
  <c r="B118" i="43" s="1"/>
  <c r="B119" i="43" s="1"/>
  <c r="B120" i="43" s="1"/>
  <c r="B121" i="43" s="1"/>
  <c r="B122" i="43" s="1"/>
  <c r="B123" i="43" s="1"/>
  <c r="B124" i="43" s="1"/>
  <c r="B125" i="43" s="1"/>
  <c r="B126" i="43" s="1"/>
  <c r="B127" i="43" s="1"/>
  <c r="B128" i="43" s="1"/>
  <c r="J111" i="43"/>
  <c r="W111" i="43" s="1"/>
  <c r="J110" i="43"/>
  <c r="V110" i="43" s="1"/>
  <c r="J109" i="43"/>
  <c r="J108" i="43"/>
  <c r="J103" i="43"/>
  <c r="J102" i="43"/>
  <c r="J101" i="43"/>
  <c r="V101" i="43" s="1"/>
  <c r="J100" i="43"/>
  <c r="V100" i="43" s="1"/>
  <c r="J99" i="43"/>
  <c r="W99" i="43" s="1"/>
  <c r="J98" i="43"/>
  <c r="V98" i="43" s="1"/>
  <c r="J97" i="43"/>
  <c r="W97" i="43" s="1"/>
  <c r="J96" i="43"/>
  <c r="V96" i="43" s="1"/>
  <c r="J95" i="43"/>
  <c r="V95" i="43" s="1"/>
  <c r="J94" i="43"/>
  <c r="V94" i="43" s="1"/>
  <c r="J93" i="43"/>
  <c r="V93" i="43" s="1"/>
  <c r="J92" i="43"/>
  <c r="V92" i="43" s="1"/>
  <c r="J91" i="43"/>
  <c r="V91" i="43" s="1"/>
  <c r="J90" i="43"/>
  <c r="W90" i="43" s="1"/>
  <c r="J89" i="43"/>
  <c r="J88" i="43"/>
  <c r="W88" i="43" s="1"/>
  <c r="J87" i="43"/>
  <c r="W87" i="43" s="1"/>
  <c r="J86" i="43"/>
  <c r="W86" i="43" s="1"/>
  <c r="J85" i="43"/>
  <c r="V85" i="43" s="1"/>
  <c r="J84" i="43"/>
  <c r="V84" i="43" s="1"/>
  <c r="J83" i="43"/>
  <c r="V83" i="43" s="1"/>
  <c r="J82" i="43"/>
  <c r="W82" i="43" s="1"/>
  <c r="J81" i="43"/>
  <c r="W81" i="43" s="1"/>
  <c r="J80" i="43"/>
  <c r="V80" i="43" s="1"/>
  <c r="J79" i="43"/>
  <c r="V79" i="43" s="1"/>
  <c r="J78" i="43"/>
  <c r="J77" i="43"/>
  <c r="J76" i="43"/>
  <c r="W76" i="43" s="1"/>
  <c r="J75" i="43"/>
  <c r="W75" i="43" s="1"/>
  <c r="J74" i="43"/>
  <c r="W74" i="43" s="1"/>
  <c r="J73" i="43"/>
  <c r="W73" i="43" s="1"/>
  <c r="J72" i="43"/>
  <c r="V72" i="43" s="1"/>
  <c r="J71" i="43"/>
  <c r="V71" i="43" s="1"/>
  <c r="J70" i="43"/>
  <c r="W70" i="43" s="1"/>
  <c r="J69" i="43"/>
  <c r="J68" i="43"/>
  <c r="W68" i="43" s="1"/>
  <c r="B68" i="43"/>
  <c r="B69" i="43" s="1"/>
  <c r="B70" i="43" s="1"/>
  <c r="B71" i="43" s="1"/>
  <c r="B72" i="43" s="1"/>
  <c r="B73" i="43" s="1"/>
  <c r="B74" i="43" s="1"/>
  <c r="B75" i="43" s="1"/>
  <c r="B76" i="43" s="1"/>
  <c r="B77" i="43" s="1"/>
  <c r="B78" i="43" s="1"/>
  <c r="B79" i="43" s="1"/>
  <c r="B80" i="43" s="1"/>
  <c r="B81" i="43" s="1"/>
  <c r="B82" i="43" s="1"/>
  <c r="B83" i="43" s="1"/>
  <c r="B84" i="43" s="1"/>
  <c r="B85" i="43" s="1"/>
  <c r="B86" i="43" s="1"/>
  <c r="B87" i="43" s="1"/>
  <c r="B88" i="43" s="1"/>
  <c r="B89" i="43" s="1"/>
  <c r="B90" i="43" s="1"/>
  <c r="B91" i="43" s="1"/>
  <c r="B92" i="43" s="1"/>
  <c r="B93" i="43" s="1"/>
  <c r="B94" i="43" s="1"/>
  <c r="B95" i="43" s="1"/>
  <c r="B96" i="43" s="1"/>
  <c r="B97" i="43" s="1"/>
  <c r="B98" i="43" s="1"/>
  <c r="B99" i="43" s="1"/>
  <c r="B100" i="43" s="1"/>
  <c r="J67" i="43"/>
  <c r="W67" i="43" s="1"/>
  <c r="J58" i="43"/>
  <c r="W58" i="43" s="1"/>
  <c r="J57" i="43"/>
  <c r="V57" i="43" s="1"/>
  <c r="J56" i="43"/>
  <c r="W56" i="43" s="1"/>
  <c r="J55" i="43"/>
  <c r="V55" i="43" s="1"/>
  <c r="J54" i="43"/>
  <c r="W54" i="43" s="1"/>
  <c r="J53" i="43"/>
  <c r="V53" i="43" s="1"/>
  <c r="J52" i="43"/>
  <c r="W52" i="43" s="1"/>
  <c r="J51" i="43"/>
  <c r="W51" i="43" s="1"/>
  <c r="J50" i="43"/>
  <c r="W50" i="43" s="1"/>
  <c r="J49" i="43"/>
  <c r="V49" i="43" s="1"/>
  <c r="J48" i="43"/>
  <c r="W48" i="43" s="1"/>
  <c r="J47" i="43"/>
  <c r="V47" i="43" s="1"/>
  <c r="J45" i="43"/>
  <c r="V45" i="43" s="1"/>
  <c r="J44" i="43"/>
  <c r="V44" i="43" s="1"/>
  <c r="J43" i="43"/>
  <c r="V43" i="43" s="1"/>
  <c r="J42" i="43"/>
  <c r="W42" i="43" s="1"/>
  <c r="J41" i="43"/>
  <c r="W41" i="43" s="1"/>
  <c r="J40" i="43"/>
  <c r="W40" i="43" s="1"/>
  <c r="J39" i="43"/>
  <c r="V39" i="43" s="1"/>
  <c r="J38" i="43"/>
  <c r="W38" i="43" s="1"/>
  <c r="J37" i="43"/>
  <c r="W37" i="43" s="1"/>
  <c r="J36" i="43"/>
  <c r="W36" i="43" s="1"/>
  <c r="J35" i="43"/>
  <c r="V35" i="43" s="1"/>
  <c r="J34" i="43"/>
  <c r="W34" i="43" s="1"/>
  <c r="J33" i="43"/>
  <c r="W33" i="43" s="1"/>
  <c r="J32" i="43"/>
  <c r="W32" i="43" s="1"/>
  <c r="J31" i="43"/>
  <c r="W31" i="43" s="1"/>
  <c r="J30" i="43"/>
  <c r="W30" i="43" s="1"/>
  <c r="J29" i="43"/>
  <c r="W29" i="43" s="1"/>
  <c r="J28" i="43"/>
  <c r="V28" i="43" s="1"/>
  <c r="J27" i="43"/>
  <c r="W27" i="43" s="1"/>
  <c r="J26" i="43"/>
  <c r="W26" i="43" s="1"/>
  <c r="J25" i="43"/>
  <c r="W25" i="43" s="1"/>
  <c r="J24" i="43"/>
  <c r="V24" i="43" s="1"/>
  <c r="J23" i="43"/>
  <c r="W23" i="43" s="1"/>
  <c r="J21" i="43"/>
  <c r="J20" i="43"/>
  <c r="W20" i="43" s="1"/>
  <c r="J19" i="43"/>
  <c r="V19" i="43" s="1"/>
  <c r="J18" i="43"/>
  <c r="W18" i="43" s="1"/>
  <c r="J17" i="43"/>
  <c r="W17" i="43" s="1"/>
  <c r="J16" i="43"/>
  <c r="W16" i="43" s="1"/>
  <c r="J15" i="43"/>
  <c r="V15" i="43" s="1"/>
  <c r="J14" i="43"/>
  <c r="W14" i="43" s="1"/>
  <c r="J13" i="43"/>
  <c r="W13" i="43" s="1"/>
  <c r="J12" i="43"/>
  <c r="W12" i="43" s="1"/>
  <c r="J11" i="43"/>
  <c r="W11" i="43" s="1"/>
  <c r="J10" i="43"/>
  <c r="V10" i="43" s="1"/>
  <c r="J9" i="43"/>
  <c r="V9" i="43" s="1"/>
  <c r="N8" i="43"/>
  <c r="J8" i="43"/>
  <c r="W8" i="43" s="1"/>
  <c r="J7" i="43"/>
  <c r="W7" i="43" s="1"/>
  <c r="N6" i="43"/>
  <c r="J6" i="43"/>
  <c r="N4" i="43"/>
  <c r="V145" i="43" l="1"/>
  <c r="V128" i="43"/>
  <c r="V161" i="43"/>
  <c r="V164" i="43"/>
  <c r="V166" i="43"/>
  <c r="V177" i="43"/>
  <c r="V179" i="43"/>
  <c r="V181" i="43"/>
  <c r="Q10" i="44"/>
  <c r="V176" i="43"/>
  <c r="V170" i="43"/>
  <c r="W168" i="43"/>
  <c r="V159" i="43"/>
  <c r="V157" i="43"/>
  <c r="V143" i="43"/>
  <c r="V52" i="43"/>
  <c r="W96" i="43"/>
  <c r="V99" i="43"/>
  <c r="V112" i="43"/>
  <c r="W24" i="43"/>
  <c r="W47" i="43"/>
  <c r="V50" i="43"/>
  <c r="W55" i="43"/>
  <c r="V120" i="43"/>
  <c r="V51" i="43"/>
  <c r="V56" i="43"/>
  <c r="V116" i="43"/>
  <c r="V124" i="43"/>
  <c r="V54" i="43"/>
  <c r="W57" i="43"/>
  <c r="V118" i="43"/>
  <c r="V126" i="43"/>
  <c r="W53" i="43"/>
  <c r="V58" i="43"/>
  <c r="W80" i="43"/>
  <c r="V114" i="43"/>
  <c r="V122" i="43"/>
  <c r="W94" i="43"/>
  <c r="V88" i="43"/>
  <c r="V86" i="43"/>
  <c r="W83" i="43"/>
  <c r="W84" i="43"/>
  <c r="W49" i="43"/>
  <c r="V48" i="43"/>
  <c r="V46" i="43"/>
  <c r="W28" i="43"/>
  <c r="V8" i="43"/>
  <c r="V141" i="43"/>
  <c r="W144" i="43"/>
  <c r="W158" i="43"/>
  <c r="W165" i="43"/>
  <c r="W169" i="43"/>
  <c r="V139" i="43"/>
  <c r="W148" i="43"/>
  <c r="V150" i="43"/>
  <c r="V152" i="43"/>
  <c r="W140" i="43"/>
  <c r="V147" i="43"/>
  <c r="V149" i="43"/>
  <c r="V151" i="43"/>
  <c r="V137" i="43"/>
  <c r="V138" i="43"/>
  <c r="V142" i="43"/>
  <c r="V146" i="43"/>
  <c r="V156" i="43"/>
  <c r="V160" i="43"/>
  <c r="V167" i="43"/>
  <c r="V171" i="43"/>
  <c r="V173" i="43"/>
  <c r="V175" i="43"/>
  <c r="N10" i="43"/>
  <c r="V172" i="43"/>
  <c r="V174" i="43"/>
  <c r="V82" i="43"/>
  <c r="W92" i="43"/>
  <c r="V67" i="43"/>
  <c r="V68" i="43"/>
  <c r="V74" i="43"/>
  <c r="V76" i="43"/>
  <c r="V81" i="43"/>
  <c r="W85" i="43"/>
  <c r="V97" i="43"/>
  <c r="W98" i="43"/>
  <c r="W101" i="43"/>
  <c r="W72" i="43"/>
  <c r="W100" i="43"/>
  <c r="V34" i="43"/>
  <c r="V36" i="43"/>
  <c r="V40" i="43"/>
  <c r="W44" i="43"/>
  <c r="V23" i="43"/>
  <c r="V25" i="43"/>
  <c r="V27" i="43"/>
  <c r="V29" i="43"/>
  <c r="V38" i="43"/>
  <c r="V42" i="43"/>
  <c r="W35" i="43"/>
  <c r="W39" i="43"/>
  <c r="W43" i="43"/>
  <c r="W45" i="43"/>
  <c r="W15" i="43"/>
  <c r="W10" i="43"/>
  <c r="V20" i="43"/>
  <c r="J59" i="43"/>
  <c r="V7" i="43"/>
  <c r="V18" i="43"/>
  <c r="W9" i="43"/>
  <c r="V11" i="43"/>
  <c r="V14" i="43"/>
  <c r="V16" i="43"/>
  <c r="V6" i="43"/>
  <c r="W19" i="43"/>
  <c r="W77" i="43"/>
  <c r="V77" i="43"/>
  <c r="V78" i="43"/>
  <c r="W78" i="43"/>
  <c r="W69" i="43"/>
  <c r="V69" i="43"/>
  <c r="W21" i="43"/>
  <c r="V21" i="43"/>
  <c r="W89" i="43"/>
  <c r="V89" i="43"/>
  <c r="W155" i="43"/>
  <c r="V155" i="43"/>
  <c r="W6" i="43"/>
  <c r="V13" i="43"/>
  <c r="V17" i="43"/>
  <c r="V22" i="43"/>
  <c r="V26" i="43"/>
  <c r="V30" i="43"/>
  <c r="V31" i="43"/>
  <c r="V32" i="43"/>
  <c r="V33" i="43"/>
  <c r="V37" i="43"/>
  <c r="V41" i="43"/>
  <c r="V73" i="43"/>
  <c r="V75" i="43"/>
  <c r="V87" i="43"/>
  <c r="W93" i="43"/>
  <c r="W110" i="43"/>
  <c r="V113" i="43"/>
  <c r="V117" i="43"/>
  <c r="V121" i="43"/>
  <c r="V125" i="43"/>
  <c r="J183" i="43"/>
  <c r="V12" i="43"/>
  <c r="W153" i="43"/>
  <c r="V153" i="43"/>
  <c r="W162" i="43"/>
  <c r="V162" i="43"/>
  <c r="J129" i="43"/>
  <c r="V70" i="43"/>
  <c r="W71" i="43"/>
  <c r="W79" i="43"/>
  <c r="V90" i="43"/>
  <c r="W91" i="43"/>
  <c r="W95" i="43"/>
  <c r="V111" i="43"/>
  <c r="V115" i="43"/>
  <c r="V119" i="43"/>
  <c r="V123" i="43"/>
  <c r="V127" i="43"/>
  <c r="W154" i="43"/>
  <c r="V154" i="43"/>
  <c r="W163" i="43"/>
  <c r="V163" i="43"/>
  <c r="H167" i="42"/>
  <c r="H163" i="42"/>
  <c r="H159" i="42"/>
  <c r="H158" i="42"/>
  <c r="H157" i="42"/>
  <c r="H152" i="42"/>
  <c r="H151" i="42"/>
  <c r="H149" i="42"/>
  <c r="H145" i="42"/>
  <c r="H143" i="42"/>
  <c r="H100" i="42"/>
  <c r="H96" i="42"/>
  <c r="W129" i="43" l="1"/>
  <c r="P6" i="43" s="1"/>
  <c r="V59" i="43"/>
  <c r="O4" i="43" s="1"/>
  <c r="V183" i="43"/>
  <c r="O8" i="43" s="1"/>
  <c r="R8" i="43" s="1"/>
  <c r="W183" i="43"/>
  <c r="V129" i="43"/>
  <c r="R6" i="43" s="1"/>
  <c r="W59" i="43"/>
  <c r="P4" i="43" s="1"/>
  <c r="H44" i="42"/>
  <c r="H33" i="42"/>
  <c r="H32" i="42"/>
  <c r="H31" i="42"/>
  <c r="H21" i="42"/>
  <c r="Q8" i="43" l="1"/>
  <c r="P10" i="43"/>
  <c r="O10" i="43"/>
  <c r="R10" i="43" s="1"/>
  <c r="P12" i="43" s="1"/>
  <c r="R4" i="43"/>
  <c r="Q4" i="43"/>
  <c r="H7" i="42"/>
  <c r="Q10" i="43" l="1"/>
  <c r="H91" i="42"/>
  <c r="H89" i="42"/>
  <c r="H85" i="42"/>
  <c r="H80" i="42"/>
  <c r="H78" i="42"/>
  <c r="H77" i="42"/>
  <c r="H74" i="42"/>
  <c r="H73" i="42"/>
  <c r="H71" i="42"/>
  <c r="H69" i="42"/>
  <c r="H68" i="42"/>
  <c r="J178" i="42"/>
  <c r="J177" i="42"/>
  <c r="J176" i="42"/>
  <c r="J175" i="42"/>
  <c r="J174" i="42"/>
  <c r="J173" i="42"/>
  <c r="J172" i="42"/>
  <c r="J171" i="42"/>
  <c r="J170" i="42"/>
  <c r="J169" i="42"/>
  <c r="J168" i="42"/>
  <c r="J167" i="42"/>
  <c r="J166" i="42"/>
  <c r="J165" i="42"/>
  <c r="J164" i="42"/>
  <c r="J163" i="42"/>
  <c r="J162" i="42"/>
  <c r="J161" i="42"/>
  <c r="W161" i="42" s="1"/>
  <c r="J160" i="42"/>
  <c r="V160" i="42" s="1"/>
  <c r="J159" i="42"/>
  <c r="V159" i="42" s="1"/>
  <c r="J158" i="42"/>
  <c r="W158" i="42" s="1"/>
  <c r="J157" i="42"/>
  <c r="W157" i="42" s="1"/>
  <c r="J156" i="42"/>
  <c r="V156" i="42" s="1"/>
  <c r="J155" i="42"/>
  <c r="J154" i="42"/>
  <c r="J153" i="42"/>
  <c r="W153" i="42" s="1"/>
  <c r="J152" i="42"/>
  <c r="W152" i="42" s="1"/>
  <c r="J151" i="42"/>
  <c r="W151" i="42" s="1"/>
  <c r="J150" i="42"/>
  <c r="V150" i="42" s="1"/>
  <c r="J149" i="42"/>
  <c r="J148" i="42"/>
  <c r="V148" i="42" s="1"/>
  <c r="J147" i="42"/>
  <c r="J146" i="42"/>
  <c r="J145" i="42"/>
  <c r="W145" i="42" s="1"/>
  <c r="J144" i="42"/>
  <c r="W144" i="42" s="1"/>
  <c r="J143" i="42"/>
  <c r="W143" i="42" s="1"/>
  <c r="J142" i="42"/>
  <c r="W142" i="42" s="1"/>
  <c r="J141" i="42"/>
  <c r="J140" i="42"/>
  <c r="W140" i="42" s="1"/>
  <c r="J139" i="42"/>
  <c r="W139" i="42" s="1"/>
  <c r="J138" i="42"/>
  <c r="J137" i="42"/>
  <c r="W137" i="42" s="1"/>
  <c r="J136" i="42"/>
  <c r="J135" i="42"/>
  <c r="V135" i="42" s="1"/>
  <c r="J134" i="42"/>
  <c r="W134" i="42" s="1"/>
  <c r="B134" i="42"/>
  <c r="B135" i="42" s="1"/>
  <c r="B136" i="42" s="1"/>
  <c r="B137" i="42" s="1"/>
  <c r="B138" i="42" s="1"/>
  <c r="B139" i="42" s="1"/>
  <c r="B140" i="42" s="1"/>
  <c r="B141" i="42" s="1"/>
  <c r="B142" i="42" s="1"/>
  <c r="B143" i="42" s="1"/>
  <c r="B144" i="42" s="1"/>
  <c r="B145" i="42" s="1"/>
  <c r="B146" i="42" s="1"/>
  <c r="B147" i="42" s="1"/>
  <c r="B148" i="42" s="1"/>
  <c r="B149" i="42" s="1"/>
  <c r="B150" i="42" s="1"/>
  <c r="B151" i="42" s="1"/>
  <c r="B152" i="42" s="1"/>
  <c r="B153" i="42" s="1"/>
  <c r="B154" i="42" s="1"/>
  <c r="B155" i="42" s="1"/>
  <c r="B156" i="42" s="1"/>
  <c r="B157" i="42" s="1"/>
  <c r="B158" i="42" s="1"/>
  <c r="B159" i="42" s="1"/>
  <c r="B160" i="42" s="1"/>
  <c r="B161" i="42" s="1"/>
  <c r="B162" i="42" s="1"/>
  <c r="B163" i="42" s="1"/>
  <c r="B164" i="42" s="1"/>
  <c r="B165" i="42" s="1"/>
  <c r="B166" i="42" s="1"/>
  <c r="B167" i="42" s="1"/>
  <c r="B168" i="42" s="1"/>
  <c r="B169" i="42" s="1"/>
  <c r="B170" i="42" s="1"/>
  <c r="B171" i="42" s="1"/>
  <c r="B172" i="42" s="1"/>
  <c r="B173" i="42" s="1"/>
  <c r="B174" i="42" s="1"/>
  <c r="B175" i="42" s="1"/>
  <c r="B176" i="42" s="1"/>
  <c r="B177" i="42" s="1"/>
  <c r="B178" i="42" s="1"/>
  <c r="J133" i="42"/>
  <c r="W133" i="42" s="1"/>
  <c r="J124" i="42"/>
  <c r="J123" i="42"/>
  <c r="W123" i="42" s="1"/>
  <c r="J122" i="42"/>
  <c r="W122" i="42" s="1"/>
  <c r="J121" i="42"/>
  <c r="W121" i="42" s="1"/>
  <c r="J120" i="42"/>
  <c r="W120" i="42" s="1"/>
  <c r="J119" i="42"/>
  <c r="J118" i="42"/>
  <c r="W118" i="42" s="1"/>
  <c r="J117" i="42"/>
  <c r="W117" i="42" s="1"/>
  <c r="J116" i="42"/>
  <c r="W116" i="42" s="1"/>
  <c r="J115" i="42"/>
  <c r="J114" i="42"/>
  <c r="W114" i="42" s="1"/>
  <c r="J113" i="42"/>
  <c r="W113" i="42" s="1"/>
  <c r="J112" i="42"/>
  <c r="W112" i="42" s="1"/>
  <c r="J111" i="42"/>
  <c r="J110" i="42"/>
  <c r="W110" i="42" s="1"/>
  <c r="J109" i="42"/>
  <c r="W109" i="42" s="1"/>
  <c r="J108" i="42"/>
  <c r="W108" i="42" s="1"/>
  <c r="B108" i="42"/>
  <c r="B109" i="42" s="1"/>
  <c r="B110" i="42" s="1"/>
  <c r="B111" i="42" s="1"/>
  <c r="B112" i="42" s="1"/>
  <c r="B113" i="42" s="1"/>
  <c r="B114" i="42" s="1"/>
  <c r="B115" i="42" s="1"/>
  <c r="B116" i="42" s="1"/>
  <c r="B117" i="42" s="1"/>
  <c r="B118" i="42" s="1"/>
  <c r="B119" i="42" s="1"/>
  <c r="B120" i="42" s="1"/>
  <c r="B121" i="42" s="1"/>
  <c r="B122" i="42" s="1"/>
  <c r="B123" i="42" s="1"/>
  <c r="B124" i="42" s="1"/>
  <c r="J107" i="42"/>
  <c r="J106" i="42"/>
  <c r="V106" i="42" s="1"/>
  <c r="J105" i="42"/>
  <c r="J104" i="42"/>
  <c r="J103" i="42"/>
  <c r="J102" i="42"/>
  <c r="J101" i="42"/>
  <c r="W101" i="42" s="1"/>
  <c r="J100" i="42"/>
  <c r="V100" i="42" s="1"/>
  <c r="J99" i="42"/>
  <c r="W99" i="42" s="1"/>
  <c r="J98" i="42"/>
  <c r="V98" i="42" s="1"/>
  <c r="J97" i="42"/>
  <c r="J96" i="42"/>
  <c r="V96" i="42" s="1"/>
  <c r="J95" i="42"/>
  <c r="V95" i="42" s="1"/>
  <c r="J94" i="42"/>
  <c r="V94" i="42" s="1"/>
  <c r="J93" i="42"/>
  <c r="J92" i="42"/>
  <c r="J91" i="42"/>
  <c r="W91" i="42" s="1"/>
  <c r="J90" i="42"/>
  <c r="W90" i="42" s="1"/>
  <c r="J89" i="42"/>
  <c r="V89" i="42" s="1"/>
  <c r="J88" i="42"/>
  <c r="W88" i="42" s="1"/>
  <c r="J87" i="42"/>
  <c r="J86" i="42"/>
  <c r="V86" i="42" s="1"/>
  <c r="J85" i="42"/>
  <c r="W85" i="42" s="1"/>
  <c r="J84" i="42"/>
  <c r="J83" i="42"/>
  <c r="J82" i="42"/>
  <c r="W82" i="42" s="1"/>
  <c r="J81" i="42"/>
  <c r="W81" i="42" s="1"/>
  <c r="J80" i="42"/>
  <c r="W80" i="42" s="1"/>
  <c r="J79" i="42"/>
  <c r="W79" i="42" s="1"/>
  <c r="J78" i="42"/>
  <c r="J77" i="42"/>
  <c r="V77" i="42" s="1"/>
  <c r="J76" i="42"/>
  <c r="W76" i="42" s="1"/>
  <c r="J75" i="42"/>
  <c r="W75" i="42" s="1"/>
  <c r="J74" i="42"/>
  <c r="W74" i="42" s="1"/>
  <c r="J73" i="42"/>
  <c r="J72" i="42"/>
  <c r="J71" i="42"/>
  <c r="J70" i="42"/>
  <c r="W70" i="42" s="1"/>
  <c r="J69" i="42"/>
  <c r="W69" i="42" s="1"/>
  <c r="J68" i="42"/>
  <c r="V68" i="42" s="1"/>
  <c r="B68" i="42"/>
  <c r="B69" i="42" s="1"/>
  <c r="B70" i="42" s="1"/>
  <c r="B71" i="42" s="1"/>
  <c r="B72" i="42" s="1"/>
  <c r="B73" i="42" s="1"/>
  <c r="B74" i="42" s="1"/>
  <c r="B75" i="42" s="1"/>
  <c r="B76" i="42" s="1"/>
  <c r="B77" i="42" s="1"/>
  <c r="B78" i="42" s="1"/>
  <c r="B79" i="42" s="1"/>
  <c r="B80" i="42" s="1"/>
  <c r="B81" i="42" s="1"/>
  <c r="B82" i="42" s="1"/>
  <c r="B83" i="42" s="1"/>
  <c r="J67" i="42"/>
  <c r="J58" i="42"/>
  <c r="W58" i="42" s="1"/>
  <c r="J57" i="42"/>
  <c r="W57" i="42" s="1"/>
  <c r="J56" i="42"/>
  <c r="J55" i="42"/>
  <c r="V55" i="42" s="1"/>
  <c r="J54" i="42"/>
  <c r="W54" i="42" s="1"/>
  <c r="J53" i="42"/>
  <c r="W53" i="42" s="1"/>
  <c r="J52" i="42"/>
  <c r="J51" i="42"/>
  <c r="W51" i="42" s="1"/>
  <c r="J50" i="42"/>
  <c r="V50" i="42" s="1"/>
  <c r="J49" i="42"/>
  <c r="W49" i="42" s="1"/>
  <c r="J48" i="42"/>
  <c r="J47" i="42"/>
  <c r="W47" i="42" s="1"/>
  <c r="J46" i="42"/>
  <c r="V46" i="42" s="1"/>
  <c r="J45" i="42"/>
  <c r="W45" i="42" s="1"/>
  <c r="J44" i="42"/>
  <c r="J43" i="42"/>
  <c r="V43" i="42" s="1"/>
  <c r="J42" i="42"/>
  <c r="W42" i="42" s="1"/>
  <c r="J41" i="42"/>
  <c r="W41" i="42" s="1"/>
  <c r="J40" i="42"/>
  <c r="W40" i="42" s="1"/>
  <c r="J39" i="42"/>
  <c r="J38" i="42"/>
  <c r="W37" i="42"/>
  <c r="J37" i="42"/>
  <c r="V37" i="42" s="1"/>
  <c r="J36" i="42"/>
  <c r="V36" i="42" s="1"/>
  <c r="J35" i="42"/>
  <c r="W35" i="42" s="1"/>
  <c r="J34" i="42"/>
  <c r="J33" i="42"/>
  <c r="V33" i="42" s="1"/>
  <c r="J32" i="42"/>
  <c r="W32" i="42" s="1"/>
  <c r="J31" i="42"/>
  <c r="W31" i="42" s="1"/>
  <c r="V30" i="42"/>
  <c r="J30" i="42"/>
  <c r="W30" i="42" s="1"/>
  <c r="J29" i="42"/>
  <c r="J28" i="42"/>
  <c r="V28" i="42" s="1"/>
  <c r="J27" i="42"/>
  <c r="W27" i="42" s="1"/>
  <c r="J26" i="42"/>
  <c r="W26" i="42" s="1"/>
  <c r="J25" i="42"/>
  <c r="J24" i="42"/>
  <c r="V24" i="42" s="1"/>
  <c r="J23" i="42"/>
  <c r="W23" i="42" s="1"/>
  <c r="J22" i="42"/>
  <c r="W22" i="42" s="1"/>
  <c r="J21" i="42"/>
  <c r="W21" i="42" s="1"/>
  <c r="J20" i="42"/>
  <c r="J19" i="42"/>
  <c r="V19" i="42" s="1"/>
  <c r="J18" i="42"/>
  <c r="W18" i="42" s="1"/>
  <c r="J17" i="42"/>
  <c r="W17" i="42" s="1"/>
  <c r="J16" i="42"/>
  <c r="W16" i="42" s="1"/>
  <c r="J15" i="42"/>
  <c r="J14" i="42"/>
  <c r="V14" i="42" s="1"/>
  <c r="J13" i="42"/>
  <c r="W13" i="42" s="1"/>
  <c r="J12" i="42"/>
  <c r="W12" i="42" s="1"/>
  <c r="V11" i="42"/>
  <c r="J11" i="42"/>
  <c r="W11" i="42" s="1"/>
  <c r="J10" i="42"/>
  <c r="J9" i="42"/>
  <c r="N8" i="42"/>
  <c r="J8" i="42"/>
  <c r="J7" i="42"/>
  <c r="N6" i="42"/>
  <c r="J6" i="42"/>
  <c r="V6" i="42" s="1"/>
  <c r="N4" i="42"/>
  <c r="W55" i="42" l="1"/>
  <c r="V58" i="42"/>
  <c r="V121" i="42"/>
  <c r="W43" i="42"/>
  <c r="W50" i="42"/>
  <c r="W89" i="42"/>
  <c r="V54" i="42"/>
  <c r="W46" i="42"/>
  <c r="V47" i="42"/>
  <c r="V51" i="42"/>
  <c r="V53" i="42"/>
  <c r="V161" i="42"/>
  <c r="W160" i="42"/>
  <c r="W159" i="42"/>
  <c r="V153" i="42"/>
  <c r="V151" i="42"/>
  <c r="W150" i="42"/>
  <c r="V145" i="42"/>
  <c r="W135" i="42"/>
  <c r="V109" i="42"/>
  <c r="W98" i="42"/>
  <c r="W36" i="42"/>
  <c r="W33" i="42"/>
  <c r="V32" i="42"/>
  <c r="W28" i="42"/>
  <c r="V27" i="42"/>
  <c r="W24" i="42"/>
  <c r="V23" i="42"/>
  <c r="V18" i="42"/>
  <c r="W14" i="42"/>
  <c r="V13" i="42"/>
  <c r="V12" i="42"/>
  <c r="W6" i="42"/>
  <c r="W96" i="42"/>
  <c r="W106" i="42"/>
  <c r="V110" i="42"/>
  <c r="V113" i="42"/>
  <c r="B84" i="42"/>
  <c r="B85" i="42" s="1"/>
  <c r="B86" i="42" s="1"/>
  <c r="B87" i="42" s="1"/>
  <c r="B88" i="42" s="1"/>
  <c r="B89" i="42" s="1"/>
  <c r="B90" i="42" s="1"/>
  <c r="B91" i="42" s="1"/>
  <c r="B92" i="42" s="1"/>
  <c r="B93" i="42" s="1"/>
  <c r="B94" i="42" s="1"/>
  <c r="B95" i="42" s="1"/>
  <c r="B96" i="42" s="1"/>
  <c r="B97" i="42" s="1"/>
  <c r="B98" i="42" s="1"/>
  <c r="B99" i="42" s="1"/>
  <c r="B100" i="42" s="1"/>
  <c r="V114" i="42"/>
  <c r="V117" i="42"/>
  <c r="W77" i="42"/>
  <c r="V90" i="42"/>
  <c r="W86" i="42"/>
  <c r="V80" i="42"/>
  <c r="V76" i="42"/>
  <c r="V133" i="42"/>
  <c r="V134" i="42"/>
  <c r="V139" i="42"/>
  <c r="V144" i="42"/>
  <c r="V152" i="42"/>
  <c r="V158" i="42"/>
  <c r="N10" i="42"/>
  <c r="V143" i="42"/>
  <c r="V157" i="42"/>
  <c r="V70" i="42"/>
  <c r="V75" i="42"/>
  <c r="V85" i="42"/>
  <c r="V91" i="42"/>
  <c r="V69" i="42"/>
  <c r="W95" i="42"/>
  <c r="V99" i="42"/>
  <c r="W100" i="42"/>
  <c r="V82" i="42"/>
  <c r="V74" i="42"/>
  <c r="V81" i="42"/>
  <c r="V17" i="42"/>
  <c r="V31" i="42"/>
  <c r="V42" i="42"/>
  <c r="V16" i="42"/>
  <c r="W19" i="42"/>
  <c r="V73" i="42"/>
  <c r="W73" i="42"/>
  <c r="V8" i="42"/>
  <c r="W8" i="42"/>
  <c r="W39" i="42"/>
  <c r="V39" i="42"/>
  <c r="W44" i="42"/>
  <c r="V44" i="42"/>
  <c r="V83" i="42"/>
  <c r="W83" i="42"/>
  <c r="W20" i="42"/>
  <c r="V20" i="42"/>
  <c r="W25" i="42"/>
  <c r="V25" i="42"/>
  <c r="W34" i="42"/>
  <c r="V34" i="42"/>
  <c r="V41" i="42"/>
  <c r="W48" i="42"/>
  <c r="V48" i="42"/>
  <c r="V57" i="42"/>
  <c r="W68" i="42"/>
  <c r="V79" i="42"/>
  <c r="W87" i="42"/>
  <c r="V87" i="42"/>
  <c r="W97" i="42"/>
  <c r="V97" i="42"/>
  <c r="V108" i="42"/>
  <c r="W115" i="42"/>
  <c r="V115" i="42"/>
  <c r="W119" i="42"/>
  <c r="V119" i="42"/>
  <c r="W124" i="42"/>
  <c r="V124" i="42"/>
  <c r="W138" i="42"/>
  <c r="V138" i="42"/>
  <c r="W9" i="42"/>
  <c r="V9" i="42"/>
  <c r="W15" i="42"/>
  <c r="V15" i="42"/>
  <c r="V22" i="42"/>
  <c r="W29" i="42"/>
  <c r="V29" i="42"/>
  <c r="W38" i="42"/>
  <c r="V38" i="42"/>
  <c r="V40" i="42"/>
  <c r="V45" i="42"/>
  <c r="W52" i="42"/>
  <c r="V52" i="42"/>
  <c r="W67" i="42"/>
  <c r="J125" i="42"/>
  <c r="V67" i="42"/>
  <c r="W71" i="42"/>
  <c r="V71" i="42"/>
  <c r="V84" i="42"/>
  <c r="W84" i="42"/>
  <c r="W92" i="42"/>
  <c r="V92" i="42"/>
  <c r="W94" i="42"/>
  <c r="W107" i="42"/>
  <c r="V107" i="42"/>
  <c r="V112" i="42"/>
  <c r="W136" i="42"/>
  <c r="V136" i="42"/>
  <c r="V141" i="42"/>
  <c r="W141" i="42"/>
  <c r="W146" i="42"/>
  <c r="V146" i="42"/>
  <c r="W154" i="42"/>
  <c r="V154" i="42"/>
  <c r="W7" i="42"/>
  <c r="V7" i="42"/>
  <c r="W10" i="42"/>
  <c r="V10" i="42"/>
  <c r="V21" i="42"/>
  <c r="V26" i="42"/>
  <c r="V35" i="42"/>
  <c r="V49" i="42"/>
  <c r="W56" i="42"/>
  <c r="V56" i="42"/>
  <c r="W78" i="42"/>
  <c r="V78" i="42"/>
  <c r="V88" i="42"/>
  <c r="V101" i="42"/>
  <c r="V116" i="42"/>
  <c r="V120" i="42"/>
  <c r="V149" i="42"/>
  <c r="W149" i="42"/>
  <c r="W162" i="42"/>
  <c r="V162" i="42"/>
  <c r="W72" i="42"/>
  <c r="V72" i="42"/>
  <c r="V93" i="42"/>
  <c r="W93" i="42"/>
  <c r="W111" i="42"/>
  <c r="V111" i="42"/>
  <c r="V147" i="42"/>
  <c r="W147" i="42"/>
  <c r="V166" i="42"/>
  <c r="W166" i="42"/>
  <c r="V172" i="42"/>
  <c r="W172" i="42"/>
  <c r="V176" i="42"/>
  <c r="W176" i="42"/>
  <c r="J59" i="42"/>
  <c r="V123" i="42"/>
  <c r="V137" i="42"/>
  <c r="V142" i="42"/>
  <c r="W148" i="42"/>
  <c r="W156" i="42"/>
  <c r="J179" i="42"/>
  <c r="V164" i="42"/>
  <c r="W164" i="42"/>
  <c r="V168" i="42"/>
  <c r="W168" i="42"/>
  <c r="V170" i="42"/>
  <c r="W170" i="42"/>
  <c r="V174" i="42"/>
  <c r="W174" i="42"/>
  <c r="V178" i="42"/>
  <c r="W178" i="42"/>
  <c r="V118" i="42"/>
  <c r="V122" i="42"/>
  <c r="V140" i="42"/>
  <c r="V155" i="42"/>
  <c r="W155" i="42"/>
  <c r="V163" i="42"/>
  <c r="W163" i="42"/>
  <c r="V165" i="42"/>
  <c r="W165" i="42"/>
  <c r="V167" i="42"/>
  <c r="W167" i="42"/>
  <c r="V169" i="42"/>
  <c r="W169" i="42"/>
  <c r="V171" i="42"/>
  <c r="W171" i="42"/>
  <c r="V173" i="42"/>
  <c r="W173" i="42"/>
  <c r="V175" i="42"/>
  <c r="W175" i="42"/>
  <c r="V177" i="42"/>
  <c r="W177" i="42"/>
  <c r="H87" i="41"/>
  <c r="V179" i="42" l="1"/>
  <c r="O8" i="42" s="1"/>
  <c r="R8" i="42" s="1"/>
  <c r="V59" i="42"/>
  <c r="O4" i="42" s="1"/>
  <c r="R4" i="42" s="1"/>
  <c r="W179" i="42"/>
  <c r="P8" i="42" s="1"/>
  <c r="W59" i="42"/>
  <c r="P4" i="42" s="1"/>
  <c r="W125" i="42"/>
  <c r="P6" i="42" s="1"/>
  <c r="V125" i="42"/>
  <c r="O6" i="42" s="1"/>
  <c r="R6" i="42" s="1"/>
  <c r="H101" i="41"/>
  <c r="H41" i="41"/>
  <c r="H39" i="41"/>
  <c r="H163" i="41"/>
  <c r="H97" i="41"/>
  <c r="Q8" i="42" l="1"/>
  <c r="P10" i="42"/>
  <c r="O10" i="42"/>
  <c r="R10" i="42" s="1"/>
  <c r="P12" i="42" s="1"/>
  <c r="Q4" i="42"/>
  <c r="H33" i="41"/>
  <c r="H161" i="41"/>
  <c r="H93" i="41"/>
  <c r="H157" i="41"/>
  <c r="H156" i="41"/>
  <c r="H90" i="41"/>
  <c r="H155" i="41"/>
  <c r="H154" i="41"/>
  <c r="H85" i="41"/>
  <c r="H152" i="41"/>
  <c r="H83" i="41"/>
  <c r="H22" i="41"/>
  <c r="H81" i="41"/>
  <c r="H149" i="41"/>
  <c r="H147" i="41"/>
  <c r="H146" i="41"/>
  <c r="H19" i="41"/>
  <c r="H78" i="41"/>
  <c r="Q10" i="42" l="1"/>
  <c r="H145" i="41"/>
  <c r="H142" i="41"/>
  <c r="H74" i="41"/>
  <c r="H73" i="41"/>
  <c r="H141" i="41"/>
  <c r="H71" i="41"/>
  <c r="H8" i="41"/>
  <c r="H136" i="41"/>
  <c r="H135" i="41"/>
  <c r="H68" i="41"/>
  <c r="V178" i="41"/>
  <c r="J178" i="41"/>
  <c r="W178" i="41" s="1"/>
  <c r="J177" i="41"/>
  <c r="V177" i="41" s="1"/>
  <c r="J176" i="41"/>
  <c r="V176" i="41" s="1"/>
  <c r="J175" i="41"/>
  <c r="J174" i="41"/>
  <c r="J173" i="41"/>
  <c r="J172" i="41"/>
  <c r="J171" i="41"/>
  <c r="J170" i="41"/>
  <c r="J169" i="41"/>
  <c r="J168" i="41"/>
  <c r="J167" i="41"/>
  <c r="J166" i="41"/>
  <c r="J165" i="41"/>
  <c r="W165" i="41" s="1"/>
  <c r="J164" i="41"/>
  <c r="W164" i="41" s="1"/>
  <c r="J163" i="41"/>
  <c r="W163" i="41" s="1"/>
  <c r="J162" i="41"/>
  <c r="W162" i="41" s="1"/>
  <c r="J161" i="41"/>
  <c r="W161" i="41" s="1"/>
  <c r="J160" i="41"/>
  <c r="W160" i="41" s="1"/>
  <c r="J159" i="41"/>
  <c r="W159" i="41" s="1"/>
  <c r="J158" i="41"/>
  <c r="W158" i="41" s="1"/>
  <c r="J157" i="41"/>
  <c r="V157" i="41" s="1"/>
  <c r="J156" i="41"/>
  <c r="W156" i="41" s="1"/>
  <c r="J155" i="41"/>
  <c r="W155" i="41" s="1"/>
  <c r="J154" i="41"/>
  <c r="V154" i="41" s="1"/>
  <c r="J153" i="41"/>
  <c r="J152" i="41"/>
  <c r="J151" i="41"/>
  <c r="W151" i="41" s="1"/>
  <c r="J150" i="41"/>
  <c r="W150" i="41" s="1"/>
  <c r="J149" i="41"/>
  <c r="W149" i="41" s="1"/>
  <c r="J148" i="41"/>
  <c r="W148" i="41" s="1"/>
  <c r="J147" i="41"/>
  <c r="W147" i="41" s="1"/>
  <c r="J146" i="41"/>
  <c r="W146" i="41" s="1"/>
  <c r="J145" i="41"/>
  <c r="W145" i="41" s="1"/>
  <c r="J144" i="41"/>
  <c r="W144" i="41" s="1"/>
  <c r="J143" i="41"/>
  <c r="W143" i="41" s="1"/>
  <c r="J142" i="41"/>
  <c r="W142" i="41" s="1"/>
  <c r="J141" i="41"/>
  <c r="W141" i="41" s="1"/>
  <c r="J140" i="41"/>
  <c r="W140" i="41" s="1"/>
  <c r="W139" i="41"/>
  <c r="J139" i="41"/>
  <c r="V139" i="41" s="1"/>
  <c r="J138" i="41"/>
  <c r="V138" i="41" s="1"/>
  <c r="J137" i="41"/>
  <c r="J136" i="41"/>
  <c r="J135" i="41"/>
  <c r="W135" i="41" s="1"/>
  <c r="J134" i="41"/>
  <c r="W134" i="41" s="1"/>
  <c r="B134" i="41"/>
  <c r="B135" i="41" s="1"/>
  <c r="B136" i="41" s="1"/>
  <c r="B137" i="41" s="1"/>
  <c r="B138" i="41" s="1"/>
  <c r="B139" i="41" s="1"/>
  <c r="B140" i="41" s="1"/>
  <c r="B141" i="41" s="1"/>
  <c r="B142" i="41" s="1"/>
  <c r="B143" i="41" s="1"/>
  <c r="B144" i="41" s="1"/>
  <c r="B145" i="41" s="1"/>
  <c r="B146" i="41" s="1"/>
  <c r="B147" i="41" s="1"/>
  <c r="B148" i="41" s="1"/>
  <c r="B149" i="41" s="1"/>
  <c r="B150" i="41" s="1"/>
  <c r="B151" i="41" s="1"/>
  <c r="B152" i="41" s="1"/>
  <c r="B153" i="41" s="1"/>
  <c r="B154" i="41" s="1"/>
  <c r="B155" i="41" s="1"/>
  <c r="B156" i="41" s="1"/>
  <c r="B157" i="41" s="1"/>
  <c r="B158" i="41" s="1"/>
  <c r="B159" i="41" s="1"/>
  <c r="B160" i="41" s="1"/>
  <c r="B161" i="41" s="1"/>
  <c r="B162" i="41" s="1"/>
  <c r="B163" i="41" s="1"/>
  <c r="B164" i="41" s="1"/>
  <c r="B165" i="41" s="1"/>
  <c r="B166" i="41" s="1"/>
  <c r="B167" i="41" s="1"/>
  <c r="B168" i="41" s="1"/>
  <c r="B169" i="41" s="1"/>
  <c r="B170" i="41" s="1"/>
  <c r="B171" i="41" s="1"/>
  <c r="B172" i="41" s="1"/>
  <c r="B173" i="41" s="1"/>
  <c r="B174" i="41" s="1"/>
  <c r="B175" i="41" s="1"/>
  <c r="B176" i="41" s="1"/>
  <c r="B177" i="41" s="1"/>
  <c r="B178" i="41" s="1"/>
  <c r="J133" i="41"/>
  <c r="W133" i="41" s="1"/>
  <c r="J124" i="41"/>
  <c r="V124" i="41" s="1"/>
  <c r="J123" i="41"/>
  <c r="W123" i="41" s="1"/>
  <c r="W122" i="41"/>
  <c r="J122" i="41"/>
  <c r="V122" i="41" s="1"/>
  <c r="J121" i="41"/>
  <c r="W121" i="41" s="1"/>
  <c r="J120" i="41"/>
  <c r="W120" i="41" s="1"/>
  <c r="J119" i="41"/>
  <c r="W119" i="41" s="1"/>
  <c r="J118" i="41"/>
  <c r="V118" i="41" s="1"/>
  <c r="W117" i="41"/>
  <c r="V117" i="41"/>
  <c r="J117" i="41"/>
  <c r="J116" i="41"/>
  <c r="V116" i="41" s="1"/>
  <c r="J115" i="41"/>
  <c r="W115" i="41" s="1"/>
  <c r="J114" i="41"/>
  <c r="V114" i="41" s="1"/>
  <c r="W113" i="41"/>
  <c r="V113" i="41"/>
  <c r="J113" i="41"/>
  <c r="J112" i="41"/>
  <c r="W112" i="41" s="1"/>
  <c r="J111" i="41"/>
  <c r="W111" i="41" s="1"/>
  <c r="J110" i="41"/>
  <c r="V110" i="41" s="1"/>
  <c r="J109" i="41"/>
  <c r="V109" i="41" s="1"/>
  <c r="J108" i="41"/>
  <c r="B108" i="41"/>
  <c r="B109" i="41" s="1"/>
  <c r="B110" i="41" s="1"/>
  <c r="B111" i="41" s="1"/>
  <c r="B112" i="41" s="1"/>
  <c r="B113" i="41" s="1"/>
  <c r="B114" i="41" s="1"/>
  <c r="B115" i="41" s="1"/>
  <c r="B116" i="41" s="1"/>
  <c r="B117" i="41" s="1"/>
  <c r="B118" i="41" s="1"/>
  <c r="B119" i="41" s="1"/>
  <c r="B120" i="41" s="1"/>
  <c r="B121" i="41" s="1"/>
  <c r="B122" i="41" s="1"/>
  <c r="B123" i="41" s="1"/>
  <c r="B124" i="41" s="1"/>
  <c r="J107" i="41"/>
  <c r="J106" i="41"/>
  <c r="V106" i="41" s="1"/>
  <c r="J105" i="41"/>
  <c r="J104" i="41"/>
  <c r="J103" i="41"/>
  <c r="J102" i="41"/>
  <c r="J101" i="41"/>
  <c r="W101" i="41" s="1"/>
  <c r="J100" i="41"/>
  <c r="W100" i="41" s="1"/>
  <c r="J99" i="41"/>
  <c r="W99" i="41" s="1"/>
  <c r="J98" i="41"/>
  <c r="W98" i="41" s="1"/>
  <c r="J97" i="41"/>
  <c r="W97" i="41" s="1"/>
  <c r="J96" i="41"/>
  <c r="V96" i="41" s="1"/>
  <c r="J95" i="41"/>
  <c r="W95" i="41" s="1"/>
  <c r="J94" i="41"/>
  <c r="V94" i="41" s="1"/>
  <c r="J93" i="41"/>
  <c r="W93" i="41" s="1"/>
  <c r="J92" i="41"/>
  <c r="V92" i="41" s="1"/>
  <c r="J91" i="41"/>
  <c r="W91" i="41" s="1"/>
  <c r="J90" i="41"/>
  <c r="W90" i="41" s="1"/>
  <c r="J89" i="41"/>
  <c r="W89" i="41" s="1"/>
  <c r="J88" i="41"/>
  <c r="V88" i="41" s="1"/>
  <c r="J87" i="41"/>
  <c r="V87" i="41" s="1"/>
  <c r="J86" i="41"/>
  <c r="W86" i="41" s="1"/>
  <c r="J85" i="41"/>
  <c r="W85" i="41" s="1"/>
  <c r="J84" i="41"/>
  <c r="W84" i="41" s="1"/>
  <c r="J83" i="41"/>
  <c r="W83" i="41" s="1"/>
  <c r="J82" i="41"/>
  <c r="W82" i="41" s="1"/>
  <c r="J81" i="41"/>
  <c r="W81" i="41" s="1"/>
  <c r="J80" i="41"/>
  <c r="W80" i="41" s="1"/>
  <c r="J79" i="41"/>
  <c r="W79" i="41" s="1"/>
  <c r="J78" i="41"/>
  <c r="W78" i="41" s="1"/>
  <c r="J77" i="41"/>
  <c r="W77" i="41" s="1"/>
  <c r="J76" i="41"/>
  <c r="V76" i="41" s="1"/>
  <c r="J75" i="41"/>
  <c r="V75" i="41" s="1"/>
  <c r="V74" i="41"/>
  <c r="J74" i="41"/>
  <c r="W74" i="41" s="1"/>
  <c r="J73" i="41"/>
  <c r="W73" i="41" s="1"/>
  <c r="J72" i="41"/>
  <c r="J71" i="41"/>
  <c r="W71" i="41" s="1"/>
  <c r="J70" i="41"/>
  <c r="W70" i="41" s="1"/>
  <c r="J69" i="41"/>
  <c r="V69" i="41" s="1"/>
  <c r="J68" i="41"/>
  <c r="W68" i="41" s="1"/>
  <c r="B68" i="41"/>
  <c r="B69" i="41" s="1"/>
  <c r="B70" i="41" s="1"/>
  <c r="B71" i="41" s="1"/>
  <c r="B72" i="41" s="1"/>
  <c r="B73" i="41" s="1"/>
  <c r="B74" i="41" s="1"/>
  <c r="B75" i="41" s="1"/>
  <c r="B76" i="41" s="1"/>
  <c r="B77" i="41" s="1"/>
  <c r="B78" i="41" s="1"/>
  <c r="B79" i="41" s="1"/>
  <c r="B80" i="41" s="1"/>
  <c r="B81" i="41" s="1"/>
  <c r="B82" i="41" s="1"/>
  <c r="B83" i="41" s="1"/>
  <c r="B84" i="41" s="1"/>
  <c r="B85" i="41" s="1"/>
  <c r="B86" i="41" s="1"/>
  <c r="B87" i="41" s="1"/>
  <c r="B88" i="41" s="1"/>
  <c r="B89" i="41" s="1"/>
  <c r="B90" i="41" s="1"/>
  <c r="B91" i="41" s="1"/>
  <c r="B92" i="41" s="1"/>
  <c r="B93" i="41" s="1"/>
  <c r="B94" i="41" s="1"/>
  <c r="B95" i="41" s="1"/>
  <c r="B96" i="41" s="1"/>
  <c r="B97" i="41" s="1"/>
  <c r="B98" i="41" s="1"/>
  <c r="B99" i="41" s="1"/>
  <c r="B100" i="41" s="1"/>
  <c r="J67" i="41"/>
  <c r="W67" i="41" s="1"/>
  <c r="J58" i="41"/>
  <c r="W58" i="41" s="1"/>
  <c r="J57" i="41"/>
  <c r="W57" i="41" s="1"/>
  <c r="J56" i="41"/>
  <c r="V56" i="41" s="1"/>
  <c r="J55" i="41"/>
  <c r="W55" i="41" s="1"/>
  <c r="W54" i="41"/>
  <c r="J54" i="41"/>
  <c r="V54" i="41" s="1"/>
  <c r="J53" i="41"/>
  <c r="W53" i="41" s="1"/>
  <c r="W52" i="41"/>
  <c r="J52" i="41"/>
  <c r="V52" i="41" s="1"/>
  <c r="V51" i="41"/>
  <c r="J51" i="41"/>
  <c r="W51" i="41" s="1"/>
  <c r="J50" i="41"/>
  <c r="W50" i="41" s="1"/>
  <c r="J49" i="41"/>
  <c r="W49" i="41" s="1"/>
  <c r="J48" i="41"/>
  <c r="W47" i="41"/>
  <c r="J47" i="41"/>
  <c r="V47" i="41" s="1"/>
  <c r="V46" i="41"/>
  <c r="J46" i="41"/>
  <c r="W46" i="41" s="1"/>
  <c r="J45" i="41"/>
  <c r="V45" i="41" s="1"/>
  <c r="J44" i="41"/>
  <c r="V43" i="41"/>
  <c r="J43" i="41"/>
  <c r="W43" i="41" s="1"/>
  <c r="J42" i="41"/>
  <c r="V42" i="41" s="1"/>
  <c r="J41" i="41"/>
  <c r="W41" i="41" s="1"/>
  <c r="J40" i="41"/>
  <c r="V40" i="41" s="1"/>
  <c r="W39" i="41"/>
  <c r="J39" i="41"/>
  <c r="V39" i="41" s="1"/>
  <c r="J38" i="41"/>
  <c r="W38" i="41" s="1"/>
  <c r="J37" i="41"/>
  <c r="J36" i="41"/>
  <c r="W36" i="41" s="1"/>
  <c r="J35" i="41"/>
  <c r="W35" i="41" s="1"/>
  <c r="J34" i="41"/>
  <c r="V34" i="41" s="1"/>
  <c r="J33" i="41"/>
  <c r="W33" i="41" s="1"/>
  <c r="J32" i="41"/>
  <c r="W32" i="41" s="1"/>
  <c r="J31" i="41"/>
  <c r="W31" i="41" s="1"/>
  <c r="J30" i="41"/>
  <c r="V30" i="41" s="1"/>
  <c r="W29" i="41"/>
  <c r="J29" i="41"/>
  <c r="V29" i="41" s="1"/>
  <c r="J28" i="41"/>
  <c r="W28" i="41" s="1"/>
  <c r="J27" i="41"/>
  <c r="W27" i="41" s="1"/>
  <c r="J26" i="41"/>
  <c r="J25" i="41"/>
  <c r="W25" i="41" s="1"/>
  <c r="J24" i="41"/>
  <c r="V24" i="41" s="1"/>
  <c r="J23" i="41"/>
  <c r="V23" i="41" s="1"/>
  <c r="J22" i="41"/>
  <c r="W22" i="41" s="1"/>
  <c r="J21" i="41"/>
  <c r="W21" i="41" s="1"/>
  <c r="J20" i="41"/>
  <c r="V20" i="41" s="1"/>
  <c r="J19" i="41"/>
  <c r="W19" i="41" s="1"/>
  <c r="J18" i="41"/>
  <c r="W18" i="41" s="1"/>
  <c r="J17" i="41"/>
  <c r="W17" i="41" s="1"/>
  <c r="J16" i="41"/>
  <c r="V16" i="41" s="1"/>
  <c r="J15" i="41"/>
  <c r="V15" i="41" s="1"/>
  <c r="J14" i="41"/>
  <c r="W14" i="41" s="1"/>
  <c r="J13" i="41"/>
  <c r="W13" i="41" s="1"/>
  <c r="J12" i="41"/>
  <c r="V12" i="41" s="1"/>
  <c r="V11" i="41"/>
  <c r="J11" i="41"/>
  <c r="W11" i="41" s="1"/>
  <c r="J10" i="41"/>
  <c r="W10" i="41" s="1"/>
  <c r="J9" i="41"/>
  <c r="V9" i="41" s="1"/>
  <c r="N8" i="41"/>
  <c r="J8" i="41"/>
  <c r="W8" i="41" s="1"/>
  <c r="J7" i="41"/>
  <c r="W7" i="41" s="1"/>
  <c r="N6" i="41"/>
  <c r="J6" i="41"/>
  <c r="V6" i="41" s="1"/>
  <c r="N4" i="41"/>
  <c r="V55" i="41" l="1"/>
  <c r="V57" i="41"/>
  <c r="W118" i="41"/>
  <c r="V121" i="41"/>
  <c r="W20" i="41"/>
  <c r="V95" i="41"/>
  <c r="W114" i="41"/>
  <c r="W177" i="41"/>
  <c r="V112" i="41"/>
  <c r="V120" i="41"/>
  <c r="V111" i="41"/>
  <c r="V115" i="41"/>
  <c r="W116" i="41"/>
  <c r="V119" i="41"/>
  <c r="V123" i="41"/>
  <c r="W124" i="41"/>
  <c r="W106" i="41"/>
  <c r="V77" i="41"/>
  <c r="W87" i="41"/>
  <c r="V101" i="41"/>
  <c r="W40" i="41"/>
  <c r="V98" i="41"/>
  <c r="W34" i="41"/>
  <c r="V33" i="41"/>
  <c r="W96" i="41"/>
  <c r="V160" i="41"/>
  <c r="W30" i="41"/>
  <c r="W92" i="41"/>
  <c r="V91" i="41"/>
  <c r="W157" i="41"/>
  <c r="V156" i="41"/>
  <c r="W24" i="41"/>
  <c r="V151" i="41"/>
  <c r="V82" i="41"/>
  <c r="W16" i="41"/>
  <c r="V145" i="41"/>
  <c r="V143" i="41"/>
  <c r="W76" i="41"/>
  <c r="W12" i="41"/>
  <c r="V141" i="41"/>
  <c r="V70" i="41"/>
  <c r="V17" i="41"/>
  <c r="V21" i="41"/>
  <c r="V25" i="41"/>
  <c r="V35" i="41"/>
  <c r="V49" i="41"/>
  <c r="V10" i="41"/>
  <c r="V13" i="41"/>
  <c r="V8" i="41"/>
  <c r="V73" i="41"/>
  <c r="V90" i="41"/>
  <c r="V67" i="41"/>
  <c r="V68" i="41"/>
  <c r="W69" i="41"/>
  <c r="W75" i="41"/>
  <c r="V78" i="41"/>
  <c r="V83" i="41"/>
  <c r="V86" i="41"/>
  <c r="W88" i="41"/>
  <c r="V93" i="41"/>
  <c r="W94" i="41"/>
  <c r="V100" i="41"/>
  <c r="W109" i="41"/>
  <c r="W110" i="41"/>
  <c r="J125" i="41"/>
  <c r="V135" i="41"/>
  <c r="V140" i="41"/>
  <c r="V149" i="41"/>
  <c r="V155" i="41"/>
  <c r="V159" i="41"/>
  <c r="V147" i="41"/>
  <c r="V158" i="41"/>
  <c r="V26" i="41"/>
  <c r="W26" i="41"/>
  <c r="V48" i="41"/>
  <c r="W48" i="41"/>
  <c r="W37" i="41"/>
  <c r="V37" i="41"/>
  <c r="W44" i="41"/>
  <c r="V44" i="41"/>
  <c r="W136" i="41"/>
  <c r="V136" i="41"/>
  <c r="W152" i="41"/>
  <c r="V152" i="41"/>
  <c r="W166" i="41"/>
  <c r="V166" i="41"/>
  <c r="W108" i="41"/>
  <c r="V108" i="41"/>
  <c r="W153" i="41"/>
  <c r="V153" i="41"/>
  <c r="V7" i="41"/>
  <c r="V19" i="41"/>
  <c r="V28" i="41"/>
  <c r="V32" i="41"/>
  <c r="V38" i="41"/>
  <c r="V72" i="41"/>
  <c r="V80" i="41"/>
  <c r="V97" i="41"/>
  <c r="W9" i="41"/>
  <c r="V14" i="41"/>
  <c r="W15" i="41"/>
  <c r="V18" i="41"/>
  <c r="V22" i="41"/>
  <c r="W23" i="41"/>
  <c r="V27" i="41"/>
  <c r="V31" i="41"/>
  <c r="V36" i="41"/>
  <c r="V41" i="41"/>
  <c r="W42" i="41"/>
  <c r="W45" i="41"/>
  <c r="V50" i="41"/>
  <c r="V53" i="41"/>
  <c r="W56" i="41"/>
  <c r="V58" i="41"/>
  <c r="V71" i="41"/>
  <c r="W72" i="41"/>
  <c r="V79" i="41"/>
  <c r="V84" i="41"/>
  <c r="V89" i="41"/>
  <c r="W107" i="41"/>
  <c r="V107" i="41"/>
  <c r="V133" i="41"/>
  <c r="W138" i="41"/>
  <c r="V142" i="41"/>
  <c r="V144" i="41"/>
  <c r="V146" i="41"/>
  <c r="V148" i="41"/>
  <c r="V150" i="41"/>
  <c r="W176" i="41"/>
  <c r="N10" i="41"/>
  <c r="V81" i="41"/>
  <c r="V85" i="41"/>
  <c r="V99" i="41"/>
  <c r="V134" i="41"/>
  <c r="V162" i="41"/>
  <c r="V164" i="41"/>
  <c r="W168" i="41"/>
  <c r="V168" i="41"/>
  <c r="W170" i="41"/>
  <c r="V170" i="41"/>
  <c r="W172" i="41"/>
  <c r="V172" i="41"/>
  <c r="W174" i="41"/>
  <c r="V174" i="41"/>
  <c r="J59" i="41"/>
  <c r="W6" i="41"/>
  <c r="W137" i="41"/>
  <c r="V137" i="41"/>
  <c r="W154" i="41"/>
  <c r="V161" i="41"/>
  <c r="V163" i="41"/>
  <c r="V165" i="41"/>
  <c r="W167" i="41"/>
  <c r="V167" i="41"/>
  <c r="W169" i="41"/>
  <c r="V169" i="41"/>
  <c r="W171" i="41"/>
  <c r="V171" i="41"/>
  <c r="W173" i="41"/>
  <c r="V173" i="41"/>
  <c r="W175" i="41"/>
  <c r="V175" i="41"/>
  <c r="J179" i="41"/>
  <c r="H176" i="40"/>
  <c r="H109" i="40"/>
  <c r="H48" i="40"/>
  <c r="W125" i="41" l="1"/>
  <c r="P6" i="41" s="1"/>
  <c r="V59" i="41"/>
  <c r="O4" i="41" s="1"/>
  <c r="R4" i="41" s="1"/>
  <c r="V125" i="41"/>
  <c r="O6" i="41" s="1"/>
  <c r="R6" i="41" s="1"/>
  <c r="W179" i="41"/>
  <c r="P8" i="41" s="1"/>
  <c r="W59" i="41"/>
  <c r="P4" i="41" s="1"/>
  <c r="V179" i="41"/>
  <c r="O8" i="41" s="1"/>
  <c r="H97" i="40"/>
  <c r="H94" i="40"/>
  <c r="H89" i="40"/>
  <c r="H87" i="40"/>
  <c r="H81" i="40"/>
  <c r="H77" i="40"/>
  <c r="H76" i="40"/>
  <c r="H75" i="40"/>
  <c r="H74" i="40"/>
  <c r="H69" i="40"/>
  <c r="H67" i="40"/>
  <c r="O10" i="41" l="1"/>
  <c r="R10" i="41" s="1"/>
  <c r="P12" i="41" s="1"/>
  <c r="P10" i="41"/>
  <c r="Q4" i="41"/>
  <c r="R8" i="41"/>
  <c r="Q8" i="41"/>
  <c r="H166" i="40"/>
  <c r="H161" i="40"/>
  <c r="J161" i="40" s="1"/>
  <c r="H156" i="40"/>
  <c r="H154" i="40"/>
  <c r="H152" i="40"/>
  <c r="Q10" i="41" l="1"/>
  <c r="H142" i="40"/>
  <c r="H141" i="40"/>
  <c r="H138" i="40"/>
  <c r="J138" i="40" s="1"/>
  <c r="V138" i="40" s="1"/>
  <c r="H136" i="40"/>
  <c r="H44" i="40"/>
  <c r="H37" i="40"/>
  <c r="H34" i="40"/>
  <c r="J34" i="40" s="1"/>
  <c r="V34" i="40" s="1"/>
  <c r="H26" i="40"/>
  <c r="H9" i="40"/>
  <c r="J178" i="40"/>
  <c r="V178" i="40" s="1"/>
  <c r="J177" i="40"/>
  <c r="V177" i="40" s="1"/>
  <c r="J176" i="40"/>
  <c r="V176" i="40" s="1"/>
  <c r="J175" i="40"/>
  <c r="V175" i="40" s="1"/>
  <c r="J174" i="40"/>
  <c r="V174" i="40" s="1"/>
  <c r="J173" i="40"/>
  <c r="V173" i="40" s="1"/>
  <c r="J172" i="40"/>
  <c r="V172" i="40" s="1"/>
  <c r="J171" i="40"/>
  <c r="V171" i="40" s="1"/>
  <c r="J170" i="40"/>
  <c r="V170" i="40" s="1"/>
  <c r="J169" i="40"/>
  <c r="V169" i="40" s="1"/>
  <c r="J168" i="40"/>
  <c r="V168" i="40" s="1"/>
  <c r="J167" i="40"/>
  <c r="V167" i="40" s="1"/>
  <c r="J166" i="40"/>
  <c r="V166" i="40" s="1"/>
  <c r="J165" i="40"/>
  <c r="V165" i="40" s="1"/>
  <c r="J164" i="40"/>
  <c r="V164" i="40" s="1"/>
  <c r="J163" i="40"/>
  <c r="V163" i="40" s="1"/>
  <c r="J162" i="40"/>
  <c r="V162" i="40" s="1"/>
  <c r="V161" i="40"/>
  <c r="J160" i="40"/>
  <c r="V160" i="40" s="1"/>
  <c r="J159" i="40"/>
  <c r="V159" i="40" s="1"/>
  <c r="J158" i="40"/>
  <c r="V158" i="40" s="1"/>
  <c r="J157" i="40"/>
  <c r="V157" i="40" s="1"/>
  <c r="J156" i="40"/>
  <c r="V156" i="40" s="1"/>
  <c r="J155" i="40"/>
  <c r="V155" i="40" s="1"/>
  <c r="J154" i="40"/>
  <c r="V154" i="40" s="1"/>
  <c r="J153" i="40"/>
  <c r="W153" i="40" s="1"/>
  <c r="J152" i="40"/>
  <c r="W152" i="40" s="1"/>
  <c r="J151" i="40"/>
  <c r="W151" i="40" s="1"/>
  <c r="J150" i="40"/>
  <c r="W150" i="40" s="1"/>
  <c r="J149" i="40"/>
  <c r="W149" i="40" s="1"/>
  <c r="J148" i="40"/>
  <c r="W148" i="40" s="1"/>
  <c r="J147" i="40"/>
  <c r="W147" i="40" s="1"/>
  <c r="J146" i="40"/>
  <c r="J145" i="40"/>
  <c r="J144" i="40"/>
  <c r="J143" i="40"/>
  <c r="J142" i="40"/>
  <c r="J141" i="40"/>
  <c r="W141" i="40" s="1"/>
  <c r="J140" i="40"/>
  <c r="W140" i="40" s="1"/>
  <c r="J139" i="40"/>
  <c r="W139" i="40" s="1"/>
  <c r="J137" i="40"/>
  <c r="V137" i="40" s="1"/>
  <c r="J136" i="40"/>
  <c r="V136" i="40" s="1"/>
  <c r="J135" i="40"/>
  <c r="V135" i="40" s="1"/>
  <c r="J134" i="40"/>
  <c r="V134" i="40" s="1"/>
  <c r="B134" i="40"/>
  <c r="B135" i="40" s="1"/>
  <c r="B136" i="40" s="1"/>
  <c r="B137" i="40" s="1"/>
  <c r="B138" i="40" s="1"/>
  <c r="B139" i="40" s="1"/>
  <c r="B140" i="40" s="1"/>
  <c r="B141" i="40" s="1"/>
  <c r="B142" i="40" s="1"/>
  <c r="B143" i="40" s="1"/>
  <c r="B144" i="40" s="1"/>
  <c r="B145" i="40" s="1"/>
  <c r="B146" i="40" s="1"/>
  <c r="B147" i="40" s="1"/>
  <c r="B148" i="40" s="1"/>
  <c r="B149" i="40" s="1"/>
  <c r="B150" i="40" s="1"/>
  <c r="B151" i="40" s="1"/>
  <c r="B152" i="40" s="1"/>
  <c r="B153" i="40" s="1"/>
  <c r="B154" i="40" s="1"/>
  <c r="B155" i="40" s="1"/>
  <c r="B156" i="40" s="1"/>
  <c r="B157" i="40" s="1"/>
  <c r="B158" i="40" s="1"/>
  <c r="B159" i="40" s="1"/>
  <c r="B160" i="40" s="1"/>
  <c r="B161" i="40" s="1"/>
  <c r="B162" i="40" s="1"/>
  <c r="B163" i="40" s="1"/>
  <c r="B164" i="40" s="1"/>
  <c r="B165" i="40" s="1"/>
  <c r="B166" i="40" s="1"/>
  <c r="B167" i="40" s="1"/>
  <c r="B168" i="40" s="1"/>
  <c r="B169" i="40" s="1"/>
  <c r="B170" i="40" s="1"/>
  <c r="B171" i="40" s="1"/>
  <c r="B172" i="40" s="1"/>
  <c r="B173" i="40" s="1"/>
  <c r="B174" i="40" s="1"/>
  <c r="B175" i="40" s="1"/>
  <c r="B176" i="40" s="1"/>
  <c r="B177" i="40" s="1"/>
  <c r="B178" i="40" s="1"/>
  <c r="J133" i="40"/>
  <c r="V133" i="40" s="1"/>
  <c r="J124" i="40"/>
  <c r="J123" i="40"/>
  <c r="J122" i="40"/>
  <c r="J121" i="40"/>
  <c r="J120" i="40"/>
  <c r="J119" i="40"/>
  <c r="J118" i="40"/>
  <c r="J117" i="40"/>
  <c r="J116" i="40"/>
  <c r="J115" i="40"/>
  <c r="J114" i="40"/>
  <c r="J113" i="40"/>
  <c r="J112" i="40"/>
  <c r="J111" i="40"/>
  <c r="J110" i="40"/>
  <c r="J109" i="40"/>
  <c r="J108" i="40"/>
  <c r="B108" i="40"/>
  <c r="B109" i="40" s="1"/>
  <c r="B110" i="40" s="1"/>
  <c r="B111" i="40" s="1"/>
  <c r="B112" i="40" s="1"/>
  <c r="B113" i="40" s="1"/>
  <c r="B114" i="40" s="1"/>
  <c r="B115" i="40" s="1"/>
  <c r="B116" i="40" s="1"/>
  <c r="B117" i="40" s="1"/>
  <c r="B118" i="40" s="1"/>
  <c r="B119" i="40" s="1"/>
  <c r="B120" i="40" s="1"/>
  <c r="B121" i="40" s="1"/>
  <c r="B122" i="40" s="1"/>
  <c r="B123" i="40" s="1"/>
  <c r="B124" i="40" s="1"/>
  <c r="J107" i="40"/>
  <c r="J106" i="40"/>
  <c r="W106" i="40" s="1"/>
  <c r="J105" i="40"/>
  <c r="J104" i="40"/>
  <c r="J103" i="40"/>
  <c r="J102" i="40"/>
  <c r="J101" i="40"/>
  <c r="V101" i="40" s="1"/>
  <c r="J100" i="40"/>
  <c r="W100" i="40" s="1"/>
  <c r="V99" i="40"/>
  <c r="J99" i="40"/>
  <c r="W99" i="40" s="1"/>
  <c r="J98" i="40"/>
  <c r="W98" i="40" s="1"/>
  <c r="J97" i="40"/>
  <c r="V97" i="40" s="1"/>
  <c r="J96" i="40"/>
  <c r="V96" i="40" s="1"/>
  <c r="J95" i="40"/>
  <c r="V95" i="40" s="1"/>
  <c r="J94" i="40"/>
  <c r="V94" i="40" s="1"/>
  <c r="J93" i="40"/>
  <c r="V93" i="40" s="1"/>
  <c r="V92" i="40"/>
  <c r="J92" i="40"/>
  <c r="W92" i="40" s="1"/>
  <c r="J91" i="40"/>
  <c r="W91" i="40" s="1"/>
  <c r="J90" i="40"/>
  <c r="W90" i="40" s="1"/>
  <c r="J89" i="40"/>
  <c r="W89" i="40" s="1"/>
  <c r="J88" i="40"/>
  <c r="V88" i="40" s="1"/>
  <c r="J87" i="40"/>
  <c r="V87" i="40" s="1"/>
  <c r="J86" i="40"/>
  <c r="V86" i="40" s="1"/>
  <c r="J85" i="40"/>
  <c r="W85" i="40" s="1"/>
  <c r="J84" i="40"/>
  <c r="V84" i="40" s="1"/>
  <c r="J83" i="40"/>
  <c r="V83" i="40" s="1"/>
  <c r="J82" i="40"/>
  <c r="V82" i="40" s="1"/>
  <c r="J81" i="40"/>
  <c r="W81" i="40" s="1"/>
  <c r="J80" i="40"/>
  <c r="W80" i="40" s="1"/>
  <c r="J79" i="40"/>
  <c r="W79" i="40" s="1"/>
  <c r="J78" i="40"/>
  <c r="W78" i="40" s="1"/>
  <c r="J77" i="40"/>
  <c r="W77" i="40" s="1"/>
  <c r="J76" i="40"/>
  <c r="J75" i="40"/>
  <c r="J74" i="40"/>
  <c r="W74" i="40" s="1"/>
  <c r="J73" i="40"/>
  <c r="J72" i="40"/>
  <c r="W72" i="40" s="1"/>
  <c r="J71" i="40"/>
  <c r="W71" i="40" s="1"/>
  <c r="J70" i="40"/>
  <c r="J69" i="40"/>
  <c r="B69" i="40"/>
  <c r="B70" i="40" s="1"/>
  <c r="B71" i="40" s="1"/>
  <c r="B72" i="40" s="1"/>
  <c r="B73" i="40" s="1"/>
  <c r="B74" i="40" s="1"/>
  <c r="B75" i="40" s="1"/>
  <c r="B76" i="40" s="1"/>
  <c r="B77" i="40" s="1"/>
  <c r="B78" i="40" s="1"/>
  <c r="B79" i="40" s="1"/>
  <c r="B80" i="40" s="1"/>
  <c r="B81" i="40" s="1"/>
  <c r="B82" i="40" s="1"/>
  <c r="B83" i="40" s="1"/>
  <c r="B84" i="40" s="1"/>
  <c r="B85" i="40" s="1"/>
  <c r="B86" i="40" s="1"/>
  <c r="B87" i="40" s="1"/>
  <c r="B88" i="40" s="1"/>
  <c r="B89" i="40" s="1"/>
  <c r="B90" i="40" s="1"/>
  <c r="B91" i="40" s="1"/>
  <c r="B92" i="40" s="1"/>
  <c r="B93" i="40" s="1"/>
  <c r="B94" i="40" s="1"/>
  <c r="B95" i="40" s="1"/>
  <c r="B96" i="40" s="1"/>
  <c r="B97" i="40" s="1"/>
  <c r="B98" i="40" s="1"/>
  <c r="B99" i="40" s="1"/>
  <c r="B100" i="40" s="1"/>
  <c r="J68" i="40"/>
  <c r="B68" i="40"/>
  <c r="J67" i="40"/>
  <c r="W67" i="40" s="1"/>
  <c r="J58" i="40"/>
  <c r="V58" i="40" s="1"/>
  <c r="W57" i="40"/>
  <c r="V57" i="40"/>
  <c r="J57" i="40"/>
  <c r="J56" i="40"/>
  <c r="W56" i="40" s="1"/>
  <c r="J55" i="40"/>
  <c r="W55" i="40" s="1"/>
  <c r="W54" i="40"/>
  <c r="J54" i="40"/>
  <c r="V54" i="40" s="1"/>
  <c r="J53" i="40"/>
  <c r="V53" i="40" s="1"/>
  <c r="J52" i="40"/>
  <c r="W52" i="40" s="1"/>
  <c r="J51" i="40"/>
  <c r="W51" i="40" s="1"/>
  <c r="J50" i="40"/>
  <c r="V50" i="40" s="1"/>
  <c r="J49" i="40"/>
  <c r="W49" i="40" s="1"/>
  <c r="J48" i="40"/>
  <c r="W48" i="40" s="1"/>
  <c r="J47" i="40"/>
  <c r="W47" i="40" s="1"/>
  <c r="J46" i="40"/>
  <c r="V46" i="40" s="1"/>
  <c r="J45" i="40"/>
  <c r="W45" i="40" s="1"/>
  <c r="J44" i="40"/>
  <c r="W44" i="40" s="1"/>
  <c r="J43" i="40"/>
  <c r="W43" i="40" s="1"/>
  <c r="J42" i="40"/>
  <c r="V42" i="40" s="1"/>
  <c r="J41" i="40"/>
  <c r="V41" i="40" s="1"/>
  <c r="J40" i="40"/>
  <c r="W40" i="40" s="1"/>
  <c r="J39" i="40"/>
  <c r="W39" i="40" s="1"/>
  <c r="J38" i="40"/>
  <c r="V38" i="40" s="1"/>
  <c r="J37" i="40"/>
  <c r="V37" i="40" s="1"/>
  <c r="J36" i="40"/>
  <c r="W36" i="40" s="1"/>
  <c r="J35" i="40"/>
  <c r="W35" i="40" s="1"/>
  <c r="J33" i="40"/>
  <c r="W33" i="40" s="1"/>
  <c r="J32" i="40"/>
  <c r="W32" i="40" s="1"/>
  <c r="J31" i="40"/>
  <c r="W31" i="40" s="1"/>
  <c r="J30" i="40"/>
  <c r="V30" i="40" s="1"/>
  <c r="J29" i="40"/>
  <c r="W29" i="40" s="1"/>
  <c r="J28" i="40"/>
  <c r="W28" i="40" s="1"/>
  <c r="J27" i="40"/>
  <c r="W27" i="40" s="1"/>
  <c r="J26" i="40"/>
  <c r="V26" i="40" s="1"/>
  <c r="J25" i="40"/>
  <c r="W25" i="40" s="1"/>
  <c r="J24" i="40"/>
  <c r="W24" i="40" s="1"/>
  <c r="J23" i="40"/>
  <c r="W23" i="40" s="1"/>
  <c r="J22" i="40"/>
  <c r="V22" i="40" s="1"/>
  <c r="J21" i="40"/>
  <c r="W21" i="40" s="1"/>
  <c r="J20" i="40"/>
  <c r="W20" i="40" s="1"/>
  <c r="J19" i="40"/>
  <c r="W19" i="40" s="1"/>
  <c r="J18" i="40"/>
  <c r="V18" i="40" s="1"/>
  <c r="J17" i="40"/>
  <c r="W17" i="40" s="1"/>
  <c r="J16" i="40"/>
  <c r="W16" i="40" s="1"/>
  <c r="J15" i="40"/>
  <c r="W15" i="40" s="1"/>
  <c r="J14" i="40"/>
  <c r="V14" i="40" s="1"/>
  <c r="W13" i="40"/>
  <c r="J13" i="40"/>
  <c r="V13" i="40" s="1"/>
  <c r="J12" i="40"/>
  <c r="W12" i="40" s="1"/>
  <c r="J11" i="40"/>
  <c r="W11" i="40" s="1"/>
  <c r="J10" i="40"/>
  <c r="W10" i="40" s="1"/>
  <c r="J9" i="40"/>
  <c r="N8" i="40"/>
  <c r="J8" i="40"/>
  <c r="W8" i="40" s="1"/>
  <c r="J7" i="40"/>
  <c r="W7" i="40" s="1"/>
  <c r="N6" i="40"/>
  <c r="R6" i="40" s="1"/>
  <c r="J6" i="40"/>
  <c r="W6" i="40" s="1"/>
  <c r="N4" i="40"/>
  <c r="W87" i="40" l="1"/>
  <c r="V12" i="40"/>
  <c r="W26" i="40"/>
  <c r="W136" i="40"/>
  <c r="V100" i="40"/>
  <c r="W101" i="40"/>
  <c r="V106" i="40"/>
  <c r="V91" i="40"/>
  <c r="V89" i="40"/>
  <c r="V85" i="40"/>
  <c r="V80" i="40"/>
  <c r="V71" i="40"/>
  <c r="W174" i="40"/>
  <c r="W164" i="40"/>
  <c r="W172" i="40"/>
  <c r="W170" i="40"/>
  <c r="W178" i="40"/>
  <c r="W168" i="40"/>
  <c r="W176" i="40"/>
  <c r="W166" i="40"/>
  <c r="W165" i="40"/>
  <c r="W167" i="40"/>
  <c r="W169" i="40"/>
  <c r="W171" i="40"/>
  <c r="W173" i="40"/>
  <c r="W175" i="40"/>
  <c r="W177" i="40"/>
  <c r="V140" i="40"/>
  <c r="V139" i="40"/>
  <c r="W138" i="40"/>
  <c r="W137" i="40"/>
  <c r="W135" i="40"/>
  <c r="W134" i="40"/>
  <c r="W41" i="40"/>
  <c r="V45" i="40"/>
  <c r="W38" i="40"/>
  <c r="W58" i="40"/>
  <c r="V29" i="40"/>
  <c r="V25" i="40"/>
  <c r="W22" i="40"/>
  <c r="V6" i="40"/>
  <c r="V141" i="40"/>
  <c r="V147" i="40"/>
  <c r="V149" i="40"/>
  <c r="V151" i="40"/>
  <c r="V153" i="40"/>
  <c r="W155" i="40"/>
  <c r="W157" i="40"/>
  <c r="W159" i="40"/>
  <c r="W161" i="40"/>
  <c r="W163" i="40"/>
  <c r="W133" i="40"/>
  <c r="V148" i="40"/>
  <c r="V150" i="40"/>
  <c r="V152" i="40"/>
  <c r="W154" i="40"/>
  <c r="W156" i="40"/>
  <c r="W158" i="40"/>
  <c r="W160" i="40"/>
  <c r="W162" i="40"/>
  <c r="W18" i="40"/>
  <c r="V21" i="40"/>
  <c r="W50" i="40"/>
  <c r="W14" i="40"/>
  <c r="V17" i="40"/>
  <c r="W30" i="40"/>
  <c r="V33" i="40"/>
  <c r="W37" i="40"/>
  <c r="W46" i="40"/>
  <c r="V49" i="40"/>
  <c r="W53" i="40"/>
  <c r="W34" i="40"/>
  <c r="W42" i="40"/>
  <c r="W83" i="40"/>
  <c r="W97" i="40"/>
  <c r="N10" i="40"/>
  <c r="V79" i="40"/>
  <c r="V81" i="40"/>
  <c r="W86" i="40"/>
  <c r="W88" i="40"/>
  <c r="V90" i="40"/>
  <c r="W96" i="40"/>
  <c r="W9" i="40"/>
  <c r="V9" i="40"/>
  <c r="V69" i="40"/>
  <c r="W69" i="40"/>
  <c r="V70" i="40"/>
  <c r="W70" i="40"/>
  <c r="V75" i="40"/>
  <c r="W75" i="40"/>
  <c r="W68" i="40"/>
  <c r="V68" i="40"/>
  <c r="W76" i="40"/>
  <c r="V76" i="40"/>
  <c r="W73" i="40"/>
  <c r="V73" i="40"/>
  <c r="W107" i="40"/>
  <c r="V107" i="40"/>
  <c r="W114" i="40"/>
  <c r="V114" i="40"/>
  <c r="W118" i="40"/>
  <c r="V118" i="40"/>
  <c r="V7" i="40"/>
  <c r="V11" i="40"/>
  <c r="V16" i="40"/>
  <c r="V20" i="40"/>
  <c r="V24" i="40"/>
  <c r="V28" i="40"/>
  <c r="V32" i="40"/>
  <c r="V36" i="40"/>
  <c r="V40" i="40"/>
  <c r="V44" i="40"/>
  <c r="V48" i="40"/>
  <c r="V52" i="40"/>
  <c r="V56" i="40"/>
  <c r="J59" i="40"/>
  <c r="V67" i="40"/>
  <c r="V72" i="40"/>
  <c r="V77" i="40"/>
  <c r="V78" i="40"/>
  <c r="W94" i="40"/>
  <c r="V98" i="40"/>
  <c r="W111" i="40"/>
  <c r="V111" i="40"/>
  <c r="W115" i="40"/>
  <c r="V115" i="40"/>
  <c r="W119" i="40"/>
  <c r="V119" i="40"/>
  <c r="W123" i="40"/>
  <c r="V123" i="40"/>
  <c r="W145" i="40"/>
  <c r="V145" i="40"/>
  <c r="V15" i="40"/>
  <c r="V19" i="40"/>
  <c r="V23" i="40"/>
  <c r="V27" i="40"/>
  <c r="V31" i="40"/>
  <c r="V35" i="40"/>
  <c r="V39" i="40"/>
  <c r="V43" i="40"/>
  <c r="V47" i="40"/>
  <c r="V51" i="40"/>
  <c r="V55" i="40"/>
  <c r="V74" i="40"/>
  <c r="W82" i="40"/>
  <c r="W84" i="40"/>
  <c r="W108" i="40"/>
  <c r="V108" i="40"/>
  <c r="W112" i="40"/>
  <c r="V112" i="40"/>
  <c r="W116" i="40"/>
  <c r="V116" i="40"/>
  <c r="W120" i="40"/>
  <c r="V120" i="40"/>
  <c r="W124" i="40"/>
  <c r="V124" i="40"/>
  <c r="W142" i="40"/>
  <c r="V142" i="40"/>
  <c r="W146" i="40"/>
  <c r="V146" i="40"/>
  <c r="J125" i="40"/>
  <c r="W110" i="40"/>
  <c r="V110" i="40"/>
  <c r="W122" i="40"/>
  <c r="V122" i="40"/>
  <c r="W144" i="40"/>
  <c r="V144" i="40"/>
  <c r="V8" i="40"/>
  <c r="V10" i="40"/>
  <c r="W93" i="40"/>
  <c r="W95" i="40"/>
  <c r="W109" i="40"/>
  <c r="V109" i="40"/>
  <c r="W113" i="40"/>
  <c r="V113" i="40"/>
  <c r="W117" i="40"/>
  <c r="V117" i="40"/>
  <c r="W121" i="40"/>
  <c r="V121" i="40"/>
  <c r="W143" i="40"/>
  <c r="V143" i="40"/>
  <c r="J179" i="40"/>
  <c r="H98" i="39"/>
  <c r="W179" i="40" l="1"/>
  <c r="P8" i="40" s="1"/>
  <c r="W59" i="40"/>
  <c r="P4" i="40" s="1"/>
  <c r="V179" i="40"/>
  <c r="O8" i="40" s="1"/>
  <c r="V59" i="40"/>
  <c r="O4" i="40" s="1"/>
  <c r="W125" i="40"/>
  <c r="V125" i="40"/>
  <c r="H93" i="39"/>
  <c r="Q8" i="40" l="1"/>
  <c r="P10" i="40"/>
  <c r="O10" i="40"/>
  <c r="R10" i="40" s="1"/>
  <c r="P12" i="40" s="1"/>
  <c r="R8" i="40"/>
  <c r="R4" i="40"/>
  <c r="Q4" i="40"/>
  <c r="H154" i="39"/>
  <c r="H89" i="39"/>
  <c r="H86" i="39"/>
  <c r="H85" i="39"/>
  <c r="H146" i="39"/>
  <c r="H142" i="39"/>
  <c r="H139" i="39"/>
  <c r="H82" i="39"/>
  <c r="H77" i="39"/>
  <c r="H76" i="39"/>
  <c r="H75" i="39"/>
  <c r="H73" i="39"/>
  <c r="H72" i="39"/>
  <c r="H70" i="39"/>
  <c r="H69" i="39"/>
  <c r="H68" i="39"/>
  <c r="H9" i="39"/>
  <c r="H8" i="39"/>
  <c r="Q10" i="40" l="1"/>
  <c r="J178" i="39"/>
  <c r="V178" i="39" s="1"/>
  <c r="J177" i="39"/>
  <c r="V177" i="39" s="1"/>
  <c r="J176" i="39"/>
  <c r="V176" i="39" s="1"/>
  <c r="J175" i="39"/>
  <c r="V175" i="39" s="1"/>
  <c r="J174" i="39"/>
  <c r="V174" i="39" s="1"/>
  <c r="J173" i="39"/>
  <c r="V173" i="39" s="1"/>
  <c r="J172" i="39"/>
  <c r="V172" i="39" s="1"/>
  <c r="J171" i="39"/>
  <c r="V171" i="39" s="1"/>
  <c r="J170" i="39"/>
  <c r="V170" i="39" s="1"/>
  <c r="J169" i="39"/>
  <c r="V169" i="39" s="1"/>
  <c r="J168" i="39"/>
  <c r="V168" i="39" s="1"/>
  <c r="J167" i="39"/>
  <c r="V167" i="39" s="1"/>
  <c r="J166" i="39"/>
  <c r="V166" i="39" s="1"/>
  <c r="J165" i="39"/>
  <c r="V165" i="39" s="1"/>
  <c r="J164" i="39"/>
  <c r="V164" i="39" s="1"/>
  <c r="J163" i="39"/>
  <c r="V163" i="39" s="1"/>
  <c r="J162" i="39"/>
  <c r="J161" i="39"/>
  <c r="J160" i="39"/>
  <c r="J159" i="39"/>
  <c r="J158" i="39"/>
  <c r="J157" i="39"/>
  <c r="J156" i="39"/>
  <c r="J155" i="39"/>
  <c r="J154" i="39"/>
  <c r="J153" i="39"/>
  <c r="W153" i="39" s="1"/>
  <c r="J152" i="39"/>
  <c r="W152" i="39" s="1"/>
  <c r="J151" i="39"/>
  <c r="V151" i="39" s="1"/>
  <c r="J150" i="39"/>
  <c r="J149" i="39"/>
  <c r="J148" i="39"/>
  <c r="J147" i="39"/>
  <c r="J146" i="39"/>
  <c r="J145" i="39"/>
  <c r="J144" i="39"/>
  <c r="W144" i="39" s="1"/>
  <c r="J143" i="39"/>
  <c r="V143" i="39" s="1"/>
  <c r="J142" i="39"/>
  <c r="J141" i="39"/>
  <c r="J140" i="39"/>
  <c r="W140" i="39" s="1"/>
  <c r="J139" i="39"/>
  <c r="W139" i="39" s="1"/>
  <c r="J138" i="39"/>
  <c r="V138" i="39" s="1"/>
  <c r="J137" i="39"/>
  <c r="V137" i="39" s="1"/>
  <c r="J136" i="39"/>
  <c r="V136" i="39" s="1"/>
  <c r="J135" i="39"/>
  <c r="V135" i="39" s="1"/>
  <c r="J134" i="39"/>
  <c r="V134" i="39" s="1"/>
  <c r="B134" i="39"/>
  <c r="B135" i="39" s="1"/>
  <c r="B136" i="39" s="1"/>
  <c r="B137" i="39" s="1"/>
  <c r="B138" i="39" s="1"/>
  <c r="B139" i="39" s="1"/>
  <c r="B140" i="39" s="1"/>
  <c r="B141" i="39" s="1"/>
  <c r="B142" i="39" s="1"/>
  <c r="B143" i="39" s="1"/>
  <c r="B144" i="39" s="1"/>
  <c r="B145" i="39" s="1"/>
  <c r="B146" i="39" s="1"/>
  <c r="B147" i="39" s="1"/>
  <c r="B148" i="39" s="1"/>
  <c r="B149" i="39" s="1"/>
  <c r="B150" i="39" s="1"/>
  <c r="B151" i="39" s="1"/>
  <c r="B152" i="39" s="1"/>
  <c r="B153" i="39" s="1"/>
  <c r="B154" i="39" s="1"/>
  <c r="B155" i="39" s="1"/>
  <c r="B156" i="39" s="1"/>
  <c r="B157" i="39" s="1"/>
  <c r="B158" i="39" s="1"/>
  <c r="B159" i="39" s="1"/>
  <c r="B160" i="39" s="1"/>
  <c r="B161" i="39" s="1"/>
  <c r="B162" i="39" s="1"/>
  <c r="B163" i="39" s="1"/>
  <c r="B164" i="39" s="1"/>
  <c r="B165" i="39" s="1"/>
  <c r="B166" i="39" s="1"/>
  <c r="B167" i="39" s="1"/>
  <c r="B168" i="39" s="1"/>
  <c r="B169" i="39" s="1"/>
  <c r="B170" i="39" s="1"/>
  <c r="B171" i="39" s="1"/>
  <c r="B172" i="39" s="1"/>
  <c r="B173" i="39" s="1"/>
  <c r="B174" i="39" s="1"/>
  <c r="B175" i="39" s="1"/>
  <c r="B176" i="39" s="1"/>
  <c r="B177" i="39" s="1"/>
  <c r="B178" i="39" s="1"/>
  <c r="J133" i="39"/>
  <c r="V133" i="39" s="1"/>
  <c r="J124" i="39"/>
  <c r="J123" i="39"/>
  <c r="J122" i="39"/>
  <c r="J121" i="39"/>
  <c r="J120" i="39"/>
  <c r="J119" i="39"/>
  <c r="J118" i="39"/>
  <c r="J117" i="39"/>
  <c r="J116" i="39"/>
  <c r="J115" i="39"/>
  <c r="J114" i="39"/>
  <c r="J113" i="39"/>
  <c r="J112" i="39"/>
  <c r="J111" i="39"/>
  <c r="J110" i="39"/>
  <c r="J109" i="39"/>
  <c r="J108" i="39"/>
  <c r="B108" i="39"/>
  <c r="B109" i="39" s="1"/>
  <c r="B110" i="39" s="1"/>
  <c r="B111" i="39" s="1"/>
  <c r="B112" i="39" s="1"/>
  <c r="B113" i="39" s="1"/>
  <c r="B114" i="39" s="1"/>
  <c r="B115" i="39" s="1"/>
  <c r="B116" i="39" s="1"/>
  <c r="B117" i="39" s="1"/>
  <c r="B118" i="39" s="1"/>
  <c r="B119" i="39" s="1"/>
  <c r="B120" i="39" s="1"/>
  <c r="B121" i="39" s="1"/>
  <c r="B122" i="39" s="1"/>
  <c r="B123" i="39" s="1"/>
  <c r="B124" i="39" s="1"/>
  <c r="J107" i="39"/>
  <c r="J106" i="39"/>
  <c r="W106" i="39" s="1"/>
  <c r="J105" i="39"/>
  <c r="J104" i="39"/>
  <c r="J103" i="39"/>
  <c r="J102" i="39"/>
  <c r="J101" i="39"/>
  <c r="J100" i="39"/>
  <c r="J99" i="39"/>
  <c r="J98" i="39"/>
  <c r="W98" i="39" s="1"/>
  <c r="J97" i="39"/>
  <c r="V97" i="39" s="1"/>
  <c r="J96" i="39"/>
  <c r="V96" i="39" s="1"/>
  <c r="J95" i="39"/>
  <c r="V95" i="39" s="1"/>
  <c r="J94" i="39"/>
  <c r="J93" i="39"/>
  <c r="W93" i="39" s="1"/>
  <c r="J92" i="39"/>
  <c r="W92" i="39" s="1"/>
  <c r="J91" i="39"/>
  <c r="W91" i="39" s="1"/>
  <c r="J90" i="39"/>
  <c r="V90" i="39" s="1"/>
  <c r="J89" i="39"/>
  <c r="J88" i="39"/>
  <c r="W88" i="39" s="1"/>
  <c r="J87" i="39"/>
  <c r="W87" i="39" s="1"/>
  <c r="J86" i="39"/>
  <c r="W86" i="39" s="1"/>
  <c r="J85" i="39"/>
  <c r="W85" i="39" s="1"/>
  <c r="J84" i="39"/>
  <c r="W84" i="39" s="1"/>
  <c r="J83" i="39"/>
  <c r="W83" i="39" s="1"/>
  <c r="J82" i="39"/>
  <c r="W82" i="39" s="1"/>
  <c r="J81" i="39"/>
  <c r="V81" i="39" s="1"/>
  <c r="J80" i="39"/>
  <c r="V80" i="39" s="1"/>
  <c r="J79" i="39"/>
  <c r="V79" i="39" s="1"/>
  <c r="J78" i="39"/>
  <c r="V78" i="39" s="1"/>
  <c r="J77" i="39"/>
  <c r="V77" i="39" s="1"/>
  <c r="J76" i="39"/>
  <c r="J75" i="39"/>
  <c r="W75" i="39" s="1"/>
  <c r="J74" i="39"/>
  <c r="V74" i="39" s="1"/>
  <c r="J73" i="39"/>
  <c r="V73" i="39" s="1"/>
  <c r="J72" i="39"/>
  <c r="V72" i="39" s="1"/>
  <c r="J71" i="39"/>
  <c r="J70" i="39"/>
  <c r="W70" i="39" s="1"/>
  <c r="J69" i="39"/>
  <c r="W69" i="39" s="1"/>
  <c r="J68" i="39"/>
  <c r="B68" i="39"/>
  <c r="B69" i="39" s="1"/>
  <c r="B70" i="39" s="1"/>
  <c r="B71" i="39" s="1"/>
  <c r="B72" i="39" s="1"/>
  <c r="B73" i="39" s="1"/>
  <c r="B74" i="39" s="1"/>
  <c r="B75" i="39" s="1"/>
  <c r="B76" i="39" s="1"/>
  <c r="B77" i="39" s="1"/>
  <c r="B78" i="39" s="1"/>
  <c r="B79" i="39" s="1"/>
  <c r="B80" i="39" s="1"/>
  <c r="B81" i="39" s="1"/>
  <c r="B82" i="39" s="1"/>
  <c r="B83" i="39" s="1"/>
  <c r="B84" i="39" s="1"/>
  <c r="B85" i="39" s="1"/>
  <c r="B86" i="39" s="1"/>
  <c r="B87" i="39" s="1"/>
  <c r="B88" i="39" s="1"/>
  <c r="B89" i="39" s="1"/>
  <c r="B90" i="39" s="1"/>
  <c r="B91" i="39" s="1"/>
  <c r="B92" i="39" s="1"/>
  <c r="B93" i="39" s="1"/>
  <c r="B94" i="39" s="1"/>
  <c r="B95" i="39" s="1"/>
  <c r="B96" i="39" s="1"/>
  <c r="B97" i="39" s="1"/>
  <c r="B98" i="39" s="1"/>
  <c r="B99" i="39" s="1"/>
  <c r="B100" i="39" s="1"/>
  <c r="J67" i="39"/>
  <c r="J58" i="39"/>
  <c r="V58" i="39" s="1"/>
  <c r="W57" i="39"/>
  <c r="V57" i="39"/>
  <c r="J57" i="39"/>
  <c r="J56" i="39"/>
  <c r="W56" i="39" s="1"/>
  <c r="J55" i="39"/>
  <c r="W55" i="39" s="1"/>
  <c r="W54" i="39"/>
  <c r="J54" i="39"/>
  <c r="V54" i="39" s="1"/>
  <c r="J53" i="39"/>
  <c r="W53" i="39" s="1"/>
  <c r="J52" i="39"/>
  <c r="V52" i="39" s="1"/>
  <c r="J51" i="39"/>
  <c r="W51" i="39" s="1"/>
  <c r="J50" i="39"/>
  <c r="V50" i="39" s="1"/>
  <c r="J49" i="39"/>
  <c r="W49" i="39" s="1"/>
  <c r="J48" i="39"/>
  <c r="W48" i="39" s="1"/>
  <c r="J47" i="39"/>
  <c r="W47" i="39" s="1"/>
  <c r="J46" i="39"/>
  <c r="V46" i="39" s="1"/>
  <c r="W45" i="39"/>
  <c r="V45" i="39"/>
  <c r="J45" i="39"/>
  <c r="J44" i="39"/>
  <c r="V44" i="39" s="1"/>
  <c r="J43" i="39"/>
  <c r="W43" i="39" s="1"/>
  <c r="W42" i="39"/>
  <c r="J42" i="39"/>
  <c r="V42" i="39" s="1"/>
  <c r="J41" i="39"/>
  <c r="W41" i="39" s="1"/>
  <c r="J40" i="39"/>
  <c r="W40" i="39" s="1"/>
  <c r="J39" i="39"/>
  <c r="W39" i="39" s="1"/>
  <c r="J38" i="39"/>
  <c r="V38" i="39" s="1"/>
  <c r="J37" i="39"/>
  <c r="W37" i="39" s="1"/>
  <c r="J36" i="39"/>
  <c r="V36" i="39" s="1"/>
  <c r="J35" i="39"/>
  <c r="W35" i="39" s="1"/>
  <c r="J34" i="39"/>
  <c r="W34" i="39" s="1"/>
  <c r="J33" i="39"/>
  <c r="V33" i="39" s="1"/>
  <c r="J32" i="39"/>
  <c r="W32" i="39" s="1"/>
  <c r="J31" i="39"/>
  <c r="V31" i="39" s="1"/>
  <c r="J30" i="39"/>
  <c r="W30" i="39" s="1"/>
  <c r="J29" i="39"/>
  <c r="V29" i="39" s="1"/>
  <c r="J28" i="39"/>
  <c r="W28" i="39" s="1"/>
  <c r="J27" i="39"/>
  <c r="V27" i="39" s="1"/>
  <c r="J26" i="39"/>
  <c r="W26" i="39" s="1"/>
  <c r="J25" i="39"/>
  <c r="W25" i="39" s="1"/>
  <c r="J24" i="39"/>
  <c r="J23" i="39"/>
  <c r="V23" i="39" s="1"/>
  <c r="J22" i="39"/>
  <c r="J21" i="39"/>
  <c r="V21" i="39" s="1"/>
  <c r="J20" i="39"/>
  <c r="V20" i="39" s="1"/>
  <c r="J19" i="39"/>
  <c r="W19" i="39" s="1"/>
  <c r="J18" i="39"/>
  <c r="V18" i="39" s="1"/>
  <c r="J17" i="39"/>
  <c r="W17" i="39" s="1"/>
  <c r="J16" i="39"/>
  <c r="W16" i="39" s="1"/>
  <c r="J15" i="39"/>
  <c r="V15" i="39" s="1"/>
  <c r="J14" i="39"/>
  <c r="W14" i="39" s="1"/>
  <c r="J13" i="39"/>
  <c r="J12" i="39"/>
  <c r="J11" i="39"/>
  <c r="W11" i="39" s="1"/>
  <c r="J10" i="39"/>
  <c r="J9" i="39"/>
  <c r="N8" i="39"/>
  <c r="J8" i="39"/>
  <c r="W8" i="39" s="1"/>
  <c r="J7" i="39"/>
  <c r="V7" i="39" s="1"/>
  <c r="N6" i="39"/>
  <c r="R6" i="39" s="1"/>
  <c r="J6" i="39"/>
  <c r="W6" i="39" s="1"/>
  <c r="N4" i="39"/>
  <c r="W50" i="39" l="1"/>
  <c r="V49" i="39"/>
  <c r="V85" i="39"/>
  <c r="V53" i="39"/>
  <c r="W58" i="39"/>
  <c r="W79" i="39"/>
  <c r="W38" i="39"/>
  <c r="V41" i="39"/>
  <c r="V37" i="39"/>
  <c r="W46" i="39"/>
  <c r="W171" i="39"/>
  <c r="W177" i="39"/>
  <c r="W173" i="39"/>
  <c r="W175" i="39"/>
  <c r="W170" i="39"/>
  <c r="W172" i="39"/>
  <c r="W174" i="39"/>
  <c r="W176" i="39"/>
  <c r="W178" i="39"/>
  <c r="W96" i="39"/>
  <c r="V32" i="39"/>
  <c r="W29" i="39"/>
  <c r="V153" i="39"/>
  <c r="W21" i="39"/>
  <c r="V140" i="39"/>
  <c r="V139" i="39"/>
  <c r="W138" i="39"/>
  <c r="W137" i="39"/>
  <c r="W136" i="39"/>
  <c r="W135" i="39"/>
  <c r="W134" i="39"/>
  <c r="V84" i="39"/>
  <c r="W81" i="39"/>
  <c r="W165" i="39"/>
  <c r="W167" i="39"/>
  <c r="W169" i="39"/>
  <c r="W133" i="39"/>
  <c r="W143" i="39"/>
  <c r="W164" i="39"/>
  <c r="W166" i="39"/>
  <c r="W168" i="39"/>
  <c r="W74" i="39"/>
  <c r="V17" i="39"/>
  <c r="W73" i="39"/>
  <c r="V75" i="39"/>
  <c r="V83" i="39"/>
  <c r="V92" i="39"/>
  <c r="W78" i="39"/>
  <c r="W80" i="39"/>
  <c r="V82" i="39"/>
  <c r="V86" i="39"/>
  <c r="V88" i="39"/>
  <c r="V91" i="39"/>
  <c r="W95" i="39"/>
  <c r="W97" i="39"/>
  <c r="N10" i="39"/>
  <c r="W72" i="39"/>
  <c r="V28" i="39"/>
  <c r="W18" i="39"/>
  <c r="W23" i="39"/>
  <c r="W33" i="39"/>
  <c r="V13" i="39"/>
  <c r="W13" i="39"/>
  <c r="V10" i="39"/>
  <c r="W10" i="39"/>
  <c r="W68" i="39"/>
  <c r="V68" i="39"/>
  <c r="V71" i="39"/>
  <c r="W71" i="39"/>
  <c r="W89" i="39"/>
  <c r="V89" i="39"/>
  <c r="W9" i="39"/>
  <c r="V9" i="39"/>
  <c r="W76" i="39"/>
  <c r="V76" i="39"/>
  <c r="V24" i="39"/>
  <c r="W24" i="39"/>
  <c r="V12" i="39"/>
  <c r="W12" i="39"/>
  <c r="W22" i="39"/>
  <c r="V22" i="39"/>
  <c r="W94" i="39"/>
  <c r="V94" i="39"/>
  <c r="J125" i="39"/>
  <c r="W109" i="39"/>
  <c r="V109" i="39"/>
  <c r="W117" i="39"/>
  <c r="V117" i="39"/>
  <c r="V16" i="39"/>
  <c r="V26" i="39"/>
  <c r="V35" i="39"/>
  <c r="V40" i="39"/>
  <c r="V48" i="39"/>
  <c r="V56" i="39"/>
  <c r="J59" i="39"/>
  <c r="W99" i="39"/>
  <c r="V99" i="39"/>
  <c r="W110" i="39"/>
  <c r="V110" i="39"/>
  <c r="W118" i="39"/>
  <c r="V118" i="39"/>
  <c r="W122" i="39"/>
  <c r="V122" i="39"/>
  <c r="W150" i="39"/>
  <c r="V150" i="39"/>
  <c r="V6" i="39"/>
  <c r="W7" i="39"/>
  <c r="V8" i="39"/>
  <c r="V11" i="39"/>
  <c r="V14" i="39"/>
  <c r="W15" i="39"/>
  <c r="V19" i="39"/>
  <c r="W20" i="39"/>
  <c r="V25" i="39"/>
  <c r="W27" i="39"/>
  <c r="V30" i="39"/>
  <c r="W31" i="39"/>
  <c r="V34" i="39"/>
  <c r="W36" i="39"/>
  <c r="V39" i="39"/>
  <c r="V43" i="39"/>
  <c r="W44" i="39"/>
  <c r="V47" i="39"/>
  <c r="V51" i="39"/>
  <c r="W52" i="39"/>
  <c r="V55" i="39"/>
  <c r="W67" i="39"/>
  <c r="V69" i="39"/>
  <c r="V70" i="39"/>
  <c r="V87" i="39"/>
  <c r="W100" i="39"/>
  <c r="V100" i="39"/>
  <c r="W111" i="39"/>
  <c r="V111" i="39"/>
  <c r="W115" i="39"/>
  <c r="V115" i="39"/>
  <c r="W119" i="39"/>
  <c r="V119" i="39"/>
  <c r="W123" i="39"/>
  <c r="V123" i="39"/>
  <c r="V144" i="39"/>
  <c r="W147" i="39"/>
  <c r="V147" i="39"/>
  <c r="V152" i="39"/>
  <c r="W157" i="39"/>
  <c r="V157" i="39"/>
  <c r="W161" i="39"/>
  <c r="V161" i="39"/>
  <c r="W163" i="39"/>
  <c r="W113" i="39"/>
  <c r="V113" i="39"/>
  <c r="W121" i="39"/>
  <c r="V121" i="39"/>
  <c r="W141" i="39"/>
  <c r="V141" i="39"/>
  <c r="V67" i="39"/>
  <c r="W90" i="39"/>
  <c r="W107" i="39"/>
  <c r="V107" i="39"/>
  <c r="W114" i="39"/>
  <c r="V114" i="39"/>
  <c r="W142" i="39"/>
  <c r="V142" i="39"/>
  <c r="W146" i="39"/>
  <c r="V146" i="39"/>
  <c r="W156" i="39"/>
  <c r="V156" i="39"/>
  <c r="W160" i="39"/>
  <c r="V160" i="39"/>
  <c r="W77" i="39"/>
  <c r="V93" i="39"/>
  <c r="V98" i="39"/>
  <c r="W101" i="39"/>
  <c r="V101" i="39"/>
  <c r="W108" i="39"/>
  <c r="V108" i="39"/>
  <c r="W112" i="39"/>
  <c r="V112" i="39"/>
  <c r="W116" i="39"/>
  <c r="V116" i="39"/>
  <c r="W120" i="39"/>
  <c r="V120" i="39"/>
  <c r="W124" i="39"/>
  <c r="V124" i="39"/>
  <c r="W148" i="39"/>
  <c r="V148" i="39"/>
  <c r="W154" i="39"/>
  <c r="V154" i="39"/>
  <c r="W158" i="39"/>
  <c r="V158" i="39"/>
  <c r="W162" i="39"/>
  <c r="V162" i="39"/>
  <c r="W145" i="39"/>
  <c r="V145" i="39"/>
  <c r="W149" i="39"/>
  <c r="V149" i="39"/>
  <c r="W151" i="39"/>
  <c r="W155" i="39"/>
  <c r="V155" i="39"/>
  <c r="W159" i="39"/>
  <c r="V159" i="39"/>
  <c r="J179" i="39"/>
  <c r="V106" i="39"/>
  <c r="H102" i="38"/>
  <c r="H101" i="38"/>
  <c r="H100" i="38"/>
  <c r="H99" i="38"/>
  <c r="H98" i="38"/>
  <c r="J98" i="38" s="1"/>
  <c r="H95" i="38"/>
  <c r="H94" i="38"/>
  <c r="H93" i="38"/>
  <c r="J93" i="38" s="1"/>
  <c r="V93" i="38" s="1"/>
  <c r="H91" i="38"/>
  <c r="J91" i="38" s="1"/>
  <c r="W91" i="38" s="1"/>
  <c r="H90" i="38"/>
  <c r="H89" i="38"/>
  <c r="H87" i="38"/>
  <c r="J87" i="38" s="1"/>
  <c r="W87" i="38" s="1"/>
  <c r="H81" i="38"/>
  <c r="J81" i="38" s="1"/>
  <c r="V81" i="38" s="1"/>
  <c r="H77" i="38"/>
  <c r="H76" i="38"/>
  <c r="H75" i="38"/>
  <c r="J75" i="38" s="1"/>
  <c r="W75" i="38" s="1"/>
  <c r="H74" i="38"/>
  <c r="J74" i="38" s="1"/>
  <c r="W74" i="38" s="1"/>
  <c r="H71" i="38"/>
  <c r="H68" i="38"/>
  <c r="H163" i="38"/>
  <c r="H162" i="38"/>
  <c r="H154" i="38"/>
  <c r="H152" i="38"/>
  <c r="H151" i="38"/>
  <c r="H150" i="38"/>
  <c r="H145" i="38"/>
  <c r="H144" i="38"/>
  <c r="H143" i="38"/>
  <c r="H142" i="38"/>
  <c r="H141" i="38"/>
  <c r="H139" i="38"/>
  <c r="H36" i="38"/>
  <c r="H27" i="38"/>
  <c r="J27" i="38" s="1"/>
  <c r="H24" i="38"/>
  <c r="H22" i="38"/>
  <c r="H16" i="38"/>
  <c r="J16" i="38" s="1"/>
  <c r="V16" i="38" s="1"/>
  <c r="H13" i="38"/>
  <c r="J13" i="38" s="1"/>
  <c r="W13" i="38" s="1"/>
  <c r="H12" i="38"/>
  <c r="H10" i="38"/>
  <c r="H9" i="38"/>
  <c r="J9" i="38" s="1"/>
  <c r="H8" i="38"/>
  <c r="J178" i="38"/>
  <c r="W178" i="38" s="1"/>
  <c r="J177" i="38"/>
  <c r="W177" i="38" s="1"/>
  <c r="J176" i="38"/>
  <c r="W176" i="38" s="1"/>
  <c r="J175" i="38"/>
  <c r="W175" i="38" s="1"/>
  <c r="J174" i="38"/>
  <c r="W174" i="38" s="1"/>
  <c r="V173" i="38"/>
  <c r="J173" i="38"/>
  <c r="W173" i="38" s="1"/>
  <c r="J172" i="38"/>
  <c r="W172" i="38" s="1"/>
  <c r="J171" i="38"/>
  <c r="W171" i="38" s="1"/>
  <c r="J170" i="38"/>
  <c r="W170" i="38" s="1"/>
  <c r="J169" i="38"/>
  <c r="W169" i="38" s="1"/>
  <c r="J168" i="38"/>
  <c r="W168" i="38" s="1"/>
  <c r="J167" i="38"/>
  <c r="W167" i="38" s="1"/>
  <c r="J166" i="38"/>
  <c r="W166" i="38" s="1"/>
  <c r="J165" i="38"/>
  <c r="W165" i="38" s="1"/>
  <c r="J164" i="38"/>
  <c r="W164" i="38" s="1"/>
  <c r="J163" i="38"/>
  <c r="W163" i="38" s="1"/>
  <c r="J162" i="38"/>
  <c r="W162" i="38" s="1"/>
  <c r="J161" i="38"/>
  <c r="W161" i="38" s="1"/>
  <c r="J160" i="38"/>
  <c r="W160" i="38" s="1"/>
  <c r="J159" i="38"/>
  <c r="W159" i="38" s="1"/>
  <c r="J158" i="38"/>
  <c r="W158" i="38" s="1"/>
  <c r="J157" i="38"/>
  <c r="W157" i="38" s="1"/>
  <c r="J156" i="38"/>
  <c r="W156" i="38" s="1"/>
  <c r="J155" i="38"/>
  <c r="W155" i="38" s="1"/>
  <c r="J154" i="38"/>
  <c r="W154" i="38" s="1"/>
  <c r="J153" i="38"/>
  <c r="W153" i="38" s="1"/>
  <c r="J152" i="38"/>
  <c r="W152" i="38" s="1"/>
  <c r="J151" i="38"/>
  <c r="W151" i="38" s="1"/>
  <c r="J150" i="38"/>
  <c r="W150" i="38" s="1"/>
  <c r="J149" i="38"/>
  <c r="W149" i="38" s="1"/>
  <c r="J148" i="38"/>
  <c r="W148" i="38" s="1"/>
  <c r="J147" i="38"/>
  <c r="W147" i="38" s="1"/>
  <c r="J146" i="38"/>
  <c r="W146" i="38" s="1"/>
  <c r="J145" i="38"/>
  <c r="W145" i="38" s="1"/>
  <c r="J144" i="38"/>
  <c r="W144" i="38" s="1"/>
  <c r="J143" i="38"/>
  <c r="W143" i="38" s="1"/>
  <c r="J142" i="38"/>
  <c r="W142" i="38" s="1"/>
  <c r="J141" i="38"/>
  <c r="W141" i="38" s="1"/>
  <c r="J140" i="38"/>
  <c r="W140" i="38" s="1"/>
  <c r="J139" i="38"/>
  <c r="W139" i="38" s="1"/>
  <c r="J138" i="38"/>
  <c r="W138" i="38" s="1"/>
  <c r="J137" i="38"/>
  <c r="W137" i="38" s="1"/>
  <c r="J136" i="38"/>
  <c r="V136" i="38" s="1"/>
  <c r="J135" i="38"/>
  <c r="W135" i="38" s="1"/>
  <c r="J134" i="38"/>
  <c r="W134" i="38" s="1"/>
  <c r="B134" i="38"/>
  <c r="B135" i="38" s="1"/>
  <c r="B136" i="38" s="1"/>
  <c r="B137" i="38" s="1"/>
  <c r="B138" i="38" s="1"/>
  <c r="B139" i="38" s="1"/>
  <c r="B140" i="38" s="1"/>
  <c r="B141" i="38" s="1"/>
  <c r="B142" i="38" s="1"/>
  <c r="B143" i="38" s="1"/>
  <c r="B144" i="38" s="1"/>
  <c r="B145" i="38" s="1"/>
  <c r="B146" i="38" s="1"/>
  <c r="B147" i="38" s="1"/>
  <c r="B148" i="38" s="1"/>
  <c r="B149" i="38" s="1"/>
  <c r="B150" i="38" s="1"/>
  <c r="B151" i="38" s="1"/>
  <c r="B152" i="38" s="1"/>
  <c r="B153" i="38" s="1"/>
  <c r="B154" i="38" s="1"/>
  <c r="B155" i="38" s="1"/>
  <c r="B156" i="38" s="1"/>
  <c r="B157" i="38" s="1"/>
  <c r="B158" i="38" s="1"/>
  <c r="B159" i="38" s="1"/>
  <c r="B160" i="38" s="1"/>
  <c r="B161" i="38" s="1"/>
  <c r="B162" i="38" s="1"/>
  <c r="B163" i="38" s="1"/>
  <c r="B164" i="38" s="1"/>
  <c r="B165" i="38" s="1"/>
  <c r="B166" i="38" s="1"/>
  <c r="B167" i="38" s="1"/>
  <c r="B168" i="38" s="1"/>
  <c r="B169" i="38" s="1"/>
  <c r="B170" i="38" s="1"/>
  <c r="B171" i="38" s="1"/>
  <c r="B172" i="38" s="1"/>
  <c r="B173" i="38" s="1"/>
  <c r="B174" i="38" s="1"/>
  <c r="B175" i="38" s="1"/>
  <c r="B176" i="38" s="1"/>
  <c r="B177" i="38" s="1"/>
  <c r="B178" i="38" s="1"/>
  <c r="J133" i="38"/>
  <c r="J124" i="38"/>
  <c r="W124" i="38" s="1"/>
  <c r="J123" i="38"/>
  <c r="W123" i="38" s="1"/>
  <c r="J122" i="38"/>
  <c r="W122" i="38" s="1"/>
  <c r="V121" i="38"/>
  <c r="J121" i="38"/>
  <c r="W121" i="38" s="1"/>
  <c r="J120" i="38"/>
  <c r="W120" i="38" s="1"/>
  <c r="J119" i="38"/>
  <c r="W119" i="38" s="1"/>
  <c r="J118" i="38"/>
  <c r="W118" i="38" s="1"/>
  <c r="J117" i="38"/>
  <c r="W117" i="38" s="1"/>
  <c r="J116" i="38"/>
  <c r="W116" i="38" s="1"/>
  <c r="J115" i="38"/>
  <c r="W115" i="38" s="1"/>
  <c r="J114" i="38"/>
  <c r="W114" i="38" s="1"/>
  <c r="V113" i="38"/>
  <c r="J113" i="38"/>
  <c r="W113" i="38" s="1"/>
  <c r="J112" i="38"/>
  <c r="W112" i="38" s="1"/>
  <c r="J111" i="38"/>
  <c r="W111" i="38" s="1"/>
  <c r="J110" i="38"/>
  <c r="W110" i="38" s="1"/>
  <c r="J109" i="38"/>
  <c r="W109" i="38" s="1"/>
  <c r="B109" i="38"/>
  <c r="B110" i="38" s="1"/>
  <c r="B111" i="38" s="1"/>
  <c r="B112" i="38" s="1"/>
  <c r="B113" i="38" s="1"/>
  <c r="B114" i="38" s="1"/>
  <c r="B115" i="38" s="1"/>
  <c r="B116" i="38" s="1"/>
  <c r="B117" i="38" s="1"/>
  <c r="B118" i="38" s="1"/>
  <c r="B119" i="38" s="1"/>
  <c r="B120" i="38" s="1"/>
  <c r="B121" i="38" s="1"/>
  <c r="B122" i="38" s="1"/>
  <c r="B123" i="38" s="1"/>
  <c r="B124" i="38" s="1"/>
  <c r="J108" i="38"/>
  <c r="W108" i="38" s="1"/>
  <c r="B108" i="38"/>
  <c r="J107" i="38"/>
  <c r="W107" i="38" s="1"/>
  <c r="J106" i="38"/>
  <c r="W106" i="38" s="1"/>
  <c r="J105" i="38"/>
  <c r="J104" i="38"/>
  <c r="J103" i="38"/>
  <c r="J102" i="38"/>
  <c r="J101" i="38"/>
  <c r="W101" i="38" s="1"/>
  <c r="J100" i="38"/>
  <c r="W100" i="38" s="1"/>
  <c r="J99" i="38"/>
  <c r="W99" i="38" s="1"/>
  <c r="J97" i="38"/>
  <c r="V97" i="38" s="1"/>
  <c r="J96" i="38"/>
  <c r="J95" i="38"/>
  <c r="W95" i="38" s="1"/>
  <c r="J94" i="38"/>
  <c r="J92" i="38"/>
  <c r="V92" i="38" s="1"/>
  <c r="J90" i="38"/>
  <c r="W90" i="38" s="1"/>
  <c r="J89" i="38"/>
  <c r="V89" i="38" s="1"/>
  <c r="J88" i="38"/>
  <c r="W88" i="38" s="1"/>
  <c r="J86" i="38"/>
  <c r="W86" i="38" s="1"/>
  <c r="J85" i="38"/>
  <c r="V85" i="38" s="1"/>
  <c r="J84" i="38"/>
  <c r="W84" i="38" s="1"/>
  <c r="J83" i="38"/>
  <c r="W83" i="38" s="1"/>
  <c r="J82" i="38"/>
  <c r="V82" i="38" s="1"/>
  <c r="J80" i="38"/>
  <c r="V80" i="38" s="1"/>
  <c r="J79" i="38"/>
  <c r="V79" i="38" s="1"/>
  <c r="J78" i="38"/>
  <c r="V78" i="38" s="1"/>
  <c r="J77" i="38"/>
  <c r="J76" i="38"/>
  <c r="W76" i="38" s="1"/>
  <c r="J73" i="38"/>
  <c r="W73" i="38" s="1"/>
  <c r="J72" i="38"/>
  <c r="V72" i="38" s="1"/>
  <c r="J71" i="38"/>
  <c r="J70" i="38"/>
  <c r="W70" i="38" s="1"/>
  <c r="J69" i="38"/>
  <c r="W69" i="38" s="1"/>
  <c r="J68" i="38"/>
  <c r="W68" i="38" s="1"/>
  <c r="B68" i="38"/>
  <c r="B69" i="38" s="1"/>
  <c r="B70" i="38" s="1"/>
  <c r="B71" i="38" s="1"/>
  <c r="B72" i="38" s="1"/>
  <c r="B73" i="38" s="1"/>
  <c r="B74" i="38" s="1"/>
  <c r="B75" i="38" s="1"/>
  <c r="B76" i="38" s="1"/>
  <c r="B77" i="38" s="1"/>
  <c r="B78" i="38" s="1"/>
  <c r="B79" i="38" s="1"/>
  <c r="B80" i="38" s="1"/>
  <c r="B81" i="38" s="1"/>
  <c r="B82" i="38" s="1"/>
  <c r="B83" i="38" s="1"/>
  <c r="B84" i="38" s="1"/>
  <c r="B85" i="38" s="1"/>
  <c r="B86" i="38" s="1"/>
  <c r="B87" i="38" s="1"/>
  <c r="B88" i="38" s="1"/>
  <c r="B89" i="38" s="1"/>
  <c r="B90" i="38" s="1"/>
  <c r="B91" i="38" s="1"/>
  <c r="B92" i="38" s="1"/>
  <c r="B93" i="38" s="1"/>
  <c r="B94" i="38" s="1"/>
  <c r="B95" i="38" s="1"/>
  <c r="B96" i="38" s="1"/>
  <c r="B97" i="38" s="1"/>
  <c r="B98" i="38" s="1"/>
  <c r="B99" i="38" s="1"/>
  <c r="B100" i="38" s="1"/>
  <c r="J67" i="38"/>
  <c r="W58" i="38"/>
  <c r="V58" i="38"/>
  <c r="J58" i="38"/>
  <c r="J57" i="38"/>
  <c r="W57" i="38" s="1"/>
  <c r="J56" i="38"/>
  <c r="W56" i="38" s="1"/>
  <c r="W55" i="38"/>
  <c r="J55" i="38"/>
  <c r="V55" i="38" s="1"/>
  <c r="J54" i="38"/>
  <c r="W54" i="38" s="1"/>
  <c r="J53" i="38"/>
  <c r="W53" i="38" s="1"/>
  <c r="J52" i="38"/>
  <c r="W52" i="38" s="1"/>
  <c r="J51" i="38"/>
  <c r="V51" i="38" s="1"/>
  <c r="J50" i="38"/>
  <c r="W50" i="38" s="1"/>
  <c r="J49" i="38"/>
  <c r="W49" i="38" s="1"/>
  <c r="J48" i="38"/>
  <c r="W48" i="38" s="1"/>
  <c r="J47" i="38"/>
  <c r="V47" i="38" s="1"/>
  <c r="W46" i="38"/>
  <c r="V46" i="38"/>
  <c r="J46" i="38"/>
  <c r="J45" i="38"/>
  <c r="W45" i="38" s="1"/>
  <c r="J44" i="38"/>
  <c r="W44" i="38" s="1"/>
  <c r="J43" i="38"/>
  <c r="V43" i="38" s="1"/>
  <c r="J42" i="38"/>
  <c r="W42" i="38" s="1"/>
  <c r="J41" i="38"/>
  <c r="W41" i="38" s="1"/>
  <c r="J40" i="38"/>
  <c r="W40" i="38" s="1"/>
  <c r="J39" i="38"/>
  <c r="V39" i="38" s="1"/>
  <c r="J38" i="38"/>
  <c r="V38" i="38" s="1"/>
  <c r="J37" i="38"/>
  <c r="W37" i="38" s="1"/>
  <c r="J36" i="38"/>
  <c r="W36" i="38" s="1"/>
  <c r="J35" i="38"/>
  <c r="V35" i="38" s="1"/>
  <c r="J34" i="38"/>
  <c r="W34" i="38" s="1"/>
  <c r="J33" i="38"/>
  <c r="W33" i="38" s="1"/>
  <c r="J32" i="38"/>
  <c r="W32" i="38" s="1"/>
  <c r="J31" i="38"/>
  <c r="V31" i="38" s="1"/>
  <c r="J30" i="38"/>
  <c r="J29" i="38"/>
  <c r="V29" i="38" s="1"/>
  <c r="J28" i="38"/>
  <c r="W28" i="38" s="1"/>
  <c r="J26" i="38"/>
  <c r="W26" i="38" s="1"/>
  <c r="J25" i="38"/>
  <c r="V25" i="38" s="1"/>
  <c r="J24" i="38"/>
  <c r="W24" i="38" s="1"/>
  <c r="J23" i="38"/>
  <c r="W23" i="38" s="1"/>
  <c r="J22" i="38"/>
  <c r="W22" i="38" s="1"/>
  <c r="W21" i="38"/>
  <c r="J21" i="38"/>
  <c r="V21" i="38" s="1"/>
  <c r="J20" i="38"/>
  <c r="W20" i="38" s="1"/>
  <c r="J19" i="38"/>
  <c r="W19" i="38" s="1"/>
  <c r="J18" i="38"/>
  <c r="J17" i="38"/>
  <c r="W17" i="38" s="1"/>
  <c r="J15" i="38"/>
  <c r="J14" i="38"/>
  <c r="V14" i="38" s="1"/>
  <c r="J12" i="38"/>
  <c r="W12" i="38" s="1"/>
  <c r="J11" i="38"/>
  <c r="W11" i="38" s="1"/>
  <c r="J10" i="38"/>
  <c r="V10" i="38" s="1"/>
  <c r="N8" i="38"/>
  <c r="J8" i="38"/>
  <c r="W8" i="38" s="1"/>
  <c r="J7" i="38"/>
  <c r="W7" i="38" s="1"/>
  <c r="N6" i="38"/>
  <c r="R6" i="38" s="1"/>
  <c r="J6" i="38"/>
  <c r="V6" i="38" s="1"/>
  <c r="N4" i="38"/>
  <c r="W98" i="38" l="1"/>
  <c r="V98" i="38"/>
  <c r="V9" i="38"/>
  <c r="W9" i="38"/>
  <c r="W51" i="38"/>
  <c r="V54" i="38"/>
  <c r="W47" i="38"/>
  <c r="V50" i="38"/>
  <c r="V109" i="38"/>
  <c r="V117" i="38"/>
  <c r="W136" i="38"/>
  <c r="W29" i="38"/>
  <c r="W92" i="38"/>
  <c r="V111" i="38"/>
  <c r="V119" i="38"/>
  <c r="V177" i="38"/>
  <c r="V115" i="38"/>
  <c r="V123" i="38"/>
  <c r="V178" i="38"/>
  <c r="V179" i="39"/>
  <c r="O8" i="39" s="1"/>
  <c r="R8" i="39" s="1"/>
  <c r="W179" i="39"/>
  <c r="P8" i="39" s="1"/>
  <c r="V175" i="38"/>
  <c r="V171" i="38"/>
  <c r="V172" i="38"/>
  <c r="V174" i="38"/>
  <c r="V176" i="38"/>
  <c r="W43" i="38"/>
  <c r="W38" i="38"/>
  <c r="W59" i="39"/>
  <c r="P4" i="39" s="1"/>
  <c r="P10" i="39" s="1"/>
  <c r="V59" i="39"/>
  <c r="O4" i="39" s="1"/>
  <c r="W125" i="39"/>
  <c r="V125" i="39"/>
  <c r="V99" i="38"/>
  <c r="W93" i="38"/>
  <c r="V88" i="38"/>
  <c r="W85" i="38"/>
  <c r="V84" i="38"/>
  <c r="W81" i="38"/>
  <c r="V139" i="38"/>
  <c r="V137" i="38"/>
  <c r="V135" i="38"/>
  <c r="J179" i="38"/>
  <c r="V34" i="38"/>
  <c r="V24" i="38"/>
  <c r="V20" i="38"/>
  <c r="W16" i="38"/>
  <c r="W14" i="38"/>
  <c r="V133" i="38"/>
  <c r="V134" i="38"/>
  <c r="V138" i="38"/>
  <c r="V141" i="38"/>
  <c r="V143" i="38"/>
  <c r="V145" i="38"/>
  <c r="V147" i="38"/>
  <c r="V149" i="38"/>
  <c r="V151" i="38"/>
  <c r="V153" i="38"/>
  <c r="V155" i="38"/>
  <c r="V157" i="38"/>
  <c r="V159" i="38"/>
  <c r="V161" i="38"/>
  <c r="V163" i="38"/>
  <c r="V165" i="38"/>
  <c r="V167" i="38"/>
  <c r="V169" i="38"/>
  <c r="W133" i="38"/>
  <c r="V140" i="38"/>
  <c r="V142" i="38"/>
  <c r="V144" i="38"/>
  <c r="V146" i="38"/>
  <c r="V148" i="38"/>
  <c r="V150" i="38"/>
  <c r="V152" i="38"/>
  <c r="V154" i="38"/>
  <c r="V156" i="38"/>
  <c r="V158" i="38"/>
  <c r="V160" i="38"/>
  <c r="V162" i="38"/>
  <c r="V164" i="38"/>
  <c r="V166" i="38"/>
  <c r="V168" i="38"/>
  <c r="V170" i="38"/>
  <c r="N10" i="38"/>
  <c r="W72" i="38"/>
  <c r="V87" i="38"/>
  <c r="V101" i="38"/>
  <c r="V107" i="38"/>
  <c r="V76" i="38"/>
  <c r="V86" i="38"/>
  <c r="V100" i="38"/>
  <c r="W89" i="38"/>
  <c r="V8" i="38"/>
  <c r="W39" i="38"/>
  <c r="V42" i="38"/>
  <c r="V7" i="38"/>
  <c r="W10" i="38"/>
  <c r="W25" i="38"/>
  <c r="W35" i="38"/>
  <c r="W31" i="38"/>
  <c r="W27" i="38"/>
  <c r="V27" i="38"/>
  <c r="V71" i="38"/>
  <c r="W71" i="38"/>
  <c r="W94" i="38"/>
  <c r="V94" i="38"/>
  <c r="J59" i="38"/>
  <c r="W15" i="38"/>
  <c r="V15" i="38"/>
  <c r="V77" i="38"/>
  <c r="W77" i="38"/>
  <c r="W18" i="38"/>
  <c r="V18" i="38"/>
  <c r="V30" i="38"/>
  <c r="W30" i="38"/>
  <c r="V13" i="38"/>
  <c r="V19" i="38"/>
  <c r="V23" i="38"/>
  <c r="V28" i="38"/>
  <c r="V33" i="38"/>
  <c r="V37" i="38"/>
  <c r="V41" i="38"/>
  <c r="V45" i="38"/>
  <c r="V49" i="38"/>
  <c r="V53" i="38"/>
  <c r="V57" i="38"/>
  <c r="J125" i="38"/>
  <c r="V75" i="38"/>
  <c r="W80" i="38"/>
  <c r="V91" i="38"/>
  <c r="V108" i="38"/>
  <c r="W6" i="38"/>
  <c r="V11" i="38"/>
  <c r="V12" i="38"/>
  <c r="V17" i="38"/>
  <c r="V22" i="38"/>
  <c r="V26" i="38"/>
  <c r="V32" i="38"/>
  <c r="V36" i="38"/>
  <c r="V40" i="38"/>
  <c r="V44" i="38"/>
  <c r="V48" i="38"/>
  <c r="V52" i="38"/>
  <c r="V56" i="38"/>
  <c r="V67" i="38"/>
  <c r="V68" i="38"/>
  <c r="V69" i="38"/>
  <c r="V70" i="38"/>
  <c r="V74" i="38"/>
  <c r="W79" i="38"/>
  <c r="V83" i="38"/>
  <c r="V90" i="38"/>
  <c r="V95" i="38"/>
  <c r="V106" i="38"/>
  <c r="V110" i="38"/>
  <c r="V112" i="38"/>
  <c r="V114" i="38"/>
  <c r="V116" i="38"/>
  <c r="V118" i="38"/>
  <c r="V120" i="38"/>
  <c r="V122" i="38"/>
  <c r="V124" i="38"/>
  <c r="W96" i="38"/>
  <c r="V96" i="38"/>
  <c r="W67" i="38"/>
  <c r="V73" i="38"/>
  <c r="W78" i="38"/>
  <c r="W82" i="38"/>
  <c r="W97" i="38"/>
  <c r="H96" i="37"/>
  <c r="H108" i="37"/>
  <c r="H105" i="37"/>
  <c r="J105" i="37" s="1"/>
  <c r="H103" i="37"/>
  <c r="H101" i="37"/>
  <c r="H98" i="37"/>
  <c r="H97" i="37"/>
  <c r="J97" i="37" s="1"/>
  <c r="H94" i="37"/>
  <c r="J94" i="37" s="1"/>
  <c r="V94" i="37" s="1"/>
  <c r="H89" i="37"/>
  <c r="H83" i="37"/>
  <c r="H77" i="37"/>
  <c r="H71" i="37"/>
  <c r="J71" i="37" s="1"/>
  <c r="W71" i="37" s="1"/>
  <c r="H140" i="37"/>
  <c r="H133" i="37"/>
  <c r="H30" i="37"/>
  <c r="H27" i="37"/>
  <c r="J27" i="37" s="1"/>
  <c r="W27" i="37" s="1"/>
  <c r="H18" i="37"/>
  <c r="H15" i="37"/>
  <c r="J178" i="37"/>
  <c r="V178" i="37" s="1"/>
  <c r="J177" i="37"/>
  <c r="V177" i="37" s="1"/>
  <c r="J176" i="37"/>
  <c r="V176" i="37" s="1"/>
  <c r="J175" i="37"/>
  <c r="V175" i="37" s="1"/>
  <c r="J174" i="37"/>
  <c r="V174" i="37" s="1"/>
  <c r="J173" i="37"/>
  <c r="V173" i="37" s="1"/>
  <c r="J172" i="37"/>
  <c r="V172" i="37" s="1"/>
  <c r="J171" i="37"/>
  <c r="V171" i="37" s="1"/>
  <c r="J170" i="37"/>
  <c r="V170" i="37" s="1"/>
  <c r="J169" i="37"/>
  <c r="V169" i="37" s="1"/>
  <c r="J168" i="37"/>
  <c r="V168" i="37" s="1"/>
  <c r="J167" i="37"/>
  <c r="V167" i="37" s="1"/>
  <c r="J166" i="37"/>
  <c r="V166" i="37" s="1"/>
  <c r="J165" i="37"/>
  <c r="V165" i="37" s="1"/>
  <c r="J164" i="37"/>
  <c r="V164" i="37" s="1"/>
  <c r="J163" i="37"/>
  <c r="V163" i="37" s="1"/>
  <c r="J162" i="37"/>
  <c r="J161" i="37"/>
  <c r="J160" i="37"/>
  <c r="J159" i="37"/>
  <c r="W159" i="37" s="1"/>
  <c r="J158" i="37"/>
  <c r="W158" i="37" s="1"/>
  <c r="J157" i="37"/>
  <c r="V157" i="37" s="1"/>
  <c r="J156" i="37"/>
  <c r="V156" i="37" s="1"/>
  <c r="J155" i="37"/>
  <c r="W155" i="37" s="1"/>
  <c r="J154" i="37"/>
  <c r="J153" i="37"/>
  <c r="J152" i="37"/>
  <c r="J151" i="37"/>
  <c r="J150" i="37"/>
  <c r="W150" i="37" s="1"/>
  <c r="V149" i="37"/>
  <c r="J149" i="37"/>
  <c r="W149" i="37" s="1"/>
  <c r="J148" i="37"/>
  <c r="W148" i="37" s="1"/>
  <c r="J147" i="37"/>
  <c r="V147" i="37" s="1"/>
  <c r="J146" i="37"/>
  <c r="W146" i="37" s="1"/>
  <c r="J145" i="37"/>
  <c r="W145" i="37" s="1"/>
  <c r="J144" i="37"/>
  <c r="W144" i="37" s="1"/>
  <c r="J143" i="37"/>
  <c r="V143" i="37" s="1"/>
  <c r="J142" i="37"/>
  <c r="W142" i="37" s="1"/>
  <c r="J141" i="37"/>
  <c r="J140" i="37"/>
  <c r="J139" i="37"/>
  <c r="J138" i="37"/>
  <c r="J137" i="37"/>
  <c r="W137" i="37" s="1"/>
  <c r="J136" i="37"/>
  <c r="W136" i="37" s="1"/>
  <c r="J135" i="37"/>
  <c r="V135" i="37" s="1"/>
  <c r="J134" i="37"/>
  <c r="W134" i="37" s="1"/>
  <c r="B134" i="37"/>
  <c r="B135" i="37" s="1"/>
  <c r="B136" i="37" s="1"/>
  <c r="B137" i="37" s="1"/>
  <c r="B138" i="37" s="1"/>
  <c r="B139" i="37" s="1"/>
  <c r="B140" i="37" s="1"/>
  <c r="B141" i="37" s="1"/>
  <c r="B142" i="37" s="1"/>
  <c r="B143" i="37" s="1"/>
  <c r="B144" i="37" s="1"/>
  <c r="B145" i="37" s="1"/>
  <c r="B146" i="37" s="1"/>
  <c r="B147" i="37" s="1"/>
  <c r="B148" i="37" s="1"/>
  <c r="B149" i="37" s="1"/>
  <c r="B150" i="37" s="1"/>
  <c r="B151" i="37" s="1"/>
  <c r="B152" i="37" s="1"/>
  <c r="B153" i="37" s="1"/>
  <c r="B154" i="37" s="1"/>
  <c r="B155" i="37" s="1"/>
  <c r="B156" i="37" s="1"/>
  <c r="B157" i="37" s="1"/>
  <c r="B158" i="37" s="1"/>
  <c r="B159" i="37" s="1"/>
  <c r="B160" i="37" s="1"/>
  <c r="B161" i="37" s="1"/>
  <c r="B162" i="37" s="1"/>
  <c r="B163" i="37" s="1"/>
  <c r="B164" i="37" s="1"/>
  <c r="B165" i="37" s="1"/>
  <c r="B166" i="37" s="1"/>
  <c r="B167" i="37" s="1"/>
  <c r="B168" i="37" s="1"/>
  <c r="B169" i="37" s="1"/>
  <c r="B170" i="37" s="1"/>
  <c r="B171" i="37" s="1"/>
  <c r="B172" i="37" s="1"/>
  <c r="B173" i="37" s="1"/>
  <c r="B174" i="37" s="1"/>
  <c r="B175" i="37" s="1"/>
  <c r="B176" i="37" s="1"/>
  <c r="B177" i="37" s="1"/>
  <c r="B178" i="37" s="1"/>
  <c r="J133" i="37"/>
  <c r="W133" i="37" s="1"/>
  <c r="J124" i="37"/>
  <c r="J123" i="37"/>
  <c r="J122" i="37"/>
  <c r="J121" i="37"/>
  <c r="J120" i="37"/>
  <c r="J119" i="37"/>
  <c r="J118" i="37"/>
  <c r="J117" i="37"/>
  <c r="J116" i="37"/>
  <c r="J115" i="37"/>
  <c r="J114" i="37"/>
  <c r="J113" i="37"/>
  <c r="J112" i="37"/>
  <c r="J111" i="37"/>
  <c r="J110" i="37"/>
  <c r="J109" i="37"/>
  <c r="V109" i="37" s="1"/>
  <c r="B109" i="37"/>
  <c r="B110" i="37" s="1"/>
  <c r="B111" i="37" s="1"/>
  <c r="B112" i="37" s="1"/>
  <c r="B113" i="37" s="1"/>
  <c r="B114" i="37" s="1"/>
  <c r="B115" i="37" s="1"/>
  <c r="B116" i="37" s="1"/>
  <c r="B117" i="37" s="1"/>
  <c r="B118" i="37" s="1"/>
  <c r="B119" i="37" s="1"/>
  <c r="B120" i="37" s="1"/>
  <c r="B121" i="37" s="1"/>
  <c r="B122" i="37" s="1"/>
  <c r="B123" i="37" s="1"/>
  <c r="B124" i="37" s="1"/>
  <c r="J108" i="37"/>
  <c r="V108" i="37" s="1"/>
  <c r="B108" i="37"/>
  <c r="J107" i="37"/>
  <c r="J106" i="37"/>
  <c r="W106" i="37" s="1"/>
  <c r="J104" i="37"/>
  <c r="J103" i="37"/>
  <c r="J102" i="37"/>
  <c r="J101" i="37"/>
  <c r="W101" i="37" s="1"/>
  <c r="J100" i="37"/>
  <c r="V100" i="37" s="1"/>
  <c r="J99" i="37"/>
  <c r="J98" i="37"/>
  <c r="W98" i="37" s="1"/>
  <c r="J96" i="37"/>
  <c r="V96" i="37" s="1"/>
  <c r="J95" i="37"/>
  <c r="V95" i="37" s="1"/>
  <c r="J93" i="37"/>
  <c r="J92" i="37"/>
  <c r="V92" i="37" s="1"/>
  <c r="J91" i="37"/>
  <c r="J90" i="37"/>
  <c r="W90" i="37" s="1"/>
  <c r="J89" i="37"/>
  <c r="W89" i="37" s="1"/>
  <c r="J88" i="37"/>
  <c r="J87" i="37"/>
  <c r="W87" i="37" s="1"/>
  <c r="J86" i="37"/>
  <c r="W86" i="37" s="1"/>
  <c r="J85" i="37"/>
  <c r="W85" i="37" s="1"/>
  <c r="J84" i="37"/>
  <c r="J83" i="37"/>
  <c r="J82" i="37"/>
  <c r="W82" i="37" s="1"/>
  <c r="J81" i="37"/>
  <c r="W81" i="37" s="1"/>
  <c r="J80" i="37"/>
  <c r="W80" i="37" s="1"/>
  <c r="W79" i="37"/>
  <c r="J79" i="37"/>
  <c r="V79" i="37" s="1"/>
  <c r="J78" i="37"/>
  <c r="W78" i="37" s="1"/>
  <c r="J77" i="37"/>
  <c r="V77" i="37" s="1"/>
  <c r="J76" i="37"/>
  <c r="J75" i="37"/>
  <c r="V75" i="37" s="1"/>
  <c r="J74" i="37"/>
  <c r="J73" i="37"/>
  <c r="J72" i="37"/>
  <c r="J70" i="37"/>
  <c r="V70" i="37" s="1"/>
  <c r="J69" i="37"/>
  <c r="W69" i="37" s="1"/>
  <c r="J68" i="37"/>
  <c r="W68" i="37" s="1"/>
  <c r="B68" i="37"/>
  <c r="B69" i="37" s="1"/>
  <c r="B70" i="37" s="1"/>
  <c r="B71" i="37" s="1"/>
  <c r="B72" i="37" s="1"/>
  <c r="B73" i="37" s="1"/>
  <c r="B74" i="37" s="1"/>
  <c r="B75" i="37" s="1"/>
  <c r="B76" i="37" s="1"/>
  <c r="B77" i="37" s="1"/>
  <c r="B78" i="37" s="1"/>
  <c r="B79" i="37" s="1"/>
  <c r="B80" i="37" s="1"/>
  <c r="B81" i="37" s="1"/>
  <c r="B82" i="37" s="1"/>
  <c r="B83" i="37" s="1"/>
  <c r="B84" i="37" s="1"/>
  <c r="B85" i="37" s="1"/>
  <c r="B86" i="37" s="1"/>
  <c r="B87" i="37" s="1"/>
  <c r="B88" i="37" s="1"/>
  <c r="B89" i="37" s="1"/>
  <c r="B90" i="37" s="1"/>
  <c r="B91" i="37" s="1"/>
  <c r="B92" i="37" s="1"/>
  <c r="B93" i="37" s="1"/>
  <c r="B94" i="37" s="1"/>
  <c r="B95" i="37" s="1"/>
  <c r="B96" i="37" s="1"/>
  <c r="B97" i="37" s="1"/>
  <c r="B98" i="37" s="1"/>
  <c r="B99" i="37" s="1"/>
  <c r="B100" i="37" s="1"/>
  <c r="J67" i="37"/>
  <c r="W67" i="37" s="1"/>
  <c r="J58" i="37"/>
  <c r="J57" i="37"/>
  <c r="W57" i="37" s="1"/>
  <c r="J56" i="37"/>
  <c r="V56" i="37" s="1"/>
  <c r="J55" i="37"/>
  <c r="W55" i="37" s="1"/>
  <c r="J54" i="37"/>
  <c r="J53" i="37"/>
  <c r="W53" i="37" s="1"/>
  <c r="J52" i="37"/>
  <c r="W52" i="37" s="1"/>
  <c r="J51" i="37"/>
  <c r="W51" i="37" s="1"/>
  <c r="J50" i="37"/>
  <c r="J49" i="37"/>
  <c r="W49" i="37" s="1"/>
  <c r="J48" i="37"/>
  <c r="V48" i="37" s="1"/>
  <c r="J47" i="37"/>
  <c r="W47" i="37" s="1"/>
  <c r="J46" i="37"/>
  <c r="J45" i="37"/>
  <c r="W45" i="37" s="1"/>
  <c r="J44" i="37"/>
  <c r="V44" i="37" s="1"/>
  <c r="J43" i="37"/>
  <c r="W43" i="37" s="1"/>
  <c r="J42" i="37"/>
  <c r="J41" i="37"/>
  <c r="W41" i="37" s="1"/>
  <c r="J40" i="37"/>
  <c r="V40" i="37" s="1"/>
  <c r="J39" i="37"/>
  <c r="W39" i="37" s="1"/>
  <c r="J38" i="37"/>
  <c r="J37" i="37"/>
  <c r="W37" i="37" s="1"/>
  <c r="J36" i="37"/>
  <c r="V36" i="37" s="1"/>
  <c r="J35" i="37"/>
  <c r="W35" i="37" s="1"/>
  <c r="J34" i="37"/>
  <c r="J33" i="37"/>
  <c r="J32" i="37"/>
  <c r="W32" i="37" s="1"/>
  <c r="J31" i="37"/>
  <c r="W31" i="37" s="1"/>
  <c r="J30" i="37"/>
  <c r="V30" i="37" s="1"/>
  <c r="J29" i="37"/>
  <c r="J28" i="37"/>
  <c r="W28" i="37" s="1"/>
  <c r="J26" i="37"/>
  <c r="V26" i="37" s="1"/>
  <c r="J25" i="37"/>
  <c r="J24" i="37"/>
  <c r="W24" i="37" s="1"/>
  <c r="J23" i="37"/>
  <c r="W23" i="37" s="1"/>
  <c r="J22" i="37"/>
  <c r="V22" i="37" s="1"/>
  <c r="J21" i="37"/>
  <c r="J20" i="37"/>
  <c r="J19" i="37"/>
  <c r="W19" i="37" s="1"/>
  <c r="J18" i="37"/>
  <c r="W18" i="37" s="1"/>
  <c r="J17" i="37"/>
  <c r="W17" i="37" s="1"/>
  <c r="J16" i="37"/>
  <c r="W16" i="37" s="1"/>
  <c r="J15" i="37"/>
  <c r="J14" i="37"/>
  <c r="W14" i="37" s="1"/>
  <c r="J13" i="37"/>
  <c r="W13" i="37" s="1"/>
  <c r="J12" i="37"/>
  <c r="W12" i="37" s="1"/>
  <c r="J11" i="37"/>
  <c r="W11" i="37" s="1"/>
  <c r="J10" i="37"/>
  <c r="W10" i="37" s="1"/>
  <c r="J9" i="37"/>
  <c r="W9" i="37" s="1"/>
  <c r="N8" i="37"/>
  <c r="J8" i="37"/>
  <c r="J7" i="37"/>
  <c r="N6" i="37"/>
  <c r="J6" i="37"/>
  <c r="W6" i="37" s="1"/>
  <c r="N4" i="37"/>
  <c r="V52" i="37" l="1"/>
  <c r="W77" i="37"/>
  <c r="W176" i="37"/>
  <c r="W40" i="37"/>
  <c r="W172" i="37"/>
  <c r="W178" i="37"/>
  <c r="W30" i="37"/>
  <c r="W44" i="37"/>
  <c r="V47" i="37"/>
  <c r="W48" i="37"/>
  <c r="V51" i="37"/>
  <c r="V55" i="37"/>
  <c r="W56" i="37"/>
  <c r="W109" i="37"/>
  <c r="W179" i="38"/>
  <c r="P8" i="38" s="1"/>
  <c r="W174" i="37"/>
  <c r="W108" i="37"/>
  <c r="W171" i="37"/>
  <c r="W173" i="37"/>
  <c r="W175" i="37"/>
  <c r="W177" i="37"/>
  <c r="Q8" i="39"/>
  <c r="O10" i="39"/>
  <c r="R10" i="39" s="1"/>
  <c r="P12" i="39" s="1"/>
  <c r="Q4" i="39"/>
  <c r="R4" i="39"/>
  <c r="V179" i="38"/>
  <c r="O8" i="38" s="1"/>
  <c r="R8" i="38" s="1"/>
  <c r="W59" i="38"/>
  <c r="P4" i="38" s="1"/>
  <c r="P10" i="38" s="1"/>
  <c r="V59" i="38"/>
  <c r="O4" i="38" s="1"/>
  <c r="W125" i="38"/>
  <c r="V125" i="38"/>
  <c r="W36" i="37"/>
  <c r="W100" i="37"/>
  <c r="V101" i="37"/>
  <c r="W94" i="37"/>
  <c r="V80" i="37"/>
  <c r="V78" i="37"/>
  <c r="V71" i="37"/>
  <c r="W70" i="37"/>
  <c r="V69" i="37"/>
  <c r="V159" i="37"/>
  <c r="V155" i="37"/>
  <c r="V150" i="37"/>
  <c r="V148" i="37"/>
  <c r="W147" i="37"/>
  <c r="V146" i="37"/>
  <c r="W143" i="37"/>
  <c r="V142" i="37"/>
  <c r="W135" i="37"/>
  <c r="V134" i="37"/>
  <c r="V43" i="37"/>
  <c r="V39" i="37"/>
  <c r="V35" i="37"/>
  <c r="W26" i="37"/>
  <c r="W22" i="37"/>
  <c r="V14" i="37"/>
  <c r="V11" i="37"/>
  <c r="V9" i="37"/>
  <c r="V133" i="37"/>
  <c r="V137" i="37"/>
  <c r="V145" i="37"/>
  <c r="W157" i="37"/>
  <c r="W163" i="37"/>
  <c r="W165" i="37"/>
  <c r="W167" i="37"/>
  <c r="W169" i="37"/>
  <c r="V136" i="37"/>
  <c r="V144" i="37"/>
  <c r="W156" i="37"/>
  <c r="W164" i="37"/>
  <c r="W166" i="37"/>
  <c r="W168" i="37"/>
  <c r="W170" i="37"/>
  <c r="V67" i="37"/>
  <c r="V68" i="37"/>
  <c r="V81" i="37"/>
  <c r="V86" i="37"/>
  <c r="V89" i="37"/>
  <c r="W95" i="37"/>
  <c r="V85" i="37"/>
  <c r="V90" i="37"/>
  <c r="V23" i="37"/>
  <c r="V27" i="37"/>
  <c r="V31" i="37"/>
  <c r="V18" i="37"/>
  <c r="V10" i="37"/>
  <c r="V13" i="37"/>
  <c r="V17" i="37"/>
  <c r="V12" i="37"/>
  <c r="W42" i="37"/>
  <c r="V42" i="37"/>
  <c r="V50" i="37"/>
  <c r="W50" i="37"/>
  <c r="W88" i="37"/>
  <c r="V88" i="37"/>
  <c r="V16" i="37"/>
  <c r="V93" i="37"/>
  <c r="W93" i="37"/>
  <c r="V76" i="37"/>
  <c r="W76" i="37"/>
  <c r="V91" i="37"/>
  <c r="W91" i="37"/>
  <c r="W138" i="37"/>
  <c r="V138" i="37"/>
  <c r="W151" i="37"/>
  <c r="V151" i="37"/>
  <c r="V34" i="37"/>
  <c r="W34" i="37"/>
  <c r="W38" i="37"/>
  <c r="V38" i="37"/>
  <c r="W46" i="37"/>
  <c r="V46" i="37"/>
  <c r="W54" i="37"/>
  <c r="V54" i="37"/>
  <c r="W58" i="37"/>
  <c r="V58" i="37"/>
  <c r="V72" i="37"/>
  <c r="W72" i="37"/>
  <c r="W97" i="37"/>
  <c r="V97" i="37"/>
  <c r="J59" i="37"/>
  <c r="V6" i="37"/>
  <c r="W20" i="37"/>
  <c r="V20" i="37"/>
  <c r="W73" i="37"/>
  <c r="V73" i="37"/>
  <c r="W84" i="37"/>
  <c r="V84" i="37"/>
  <c r="W161" i="37"/>
  <c r="V161" i="37"/>
  <c r="W7" i="37"/>
  <c r="V7" i="37"/>
  <c r="N10" i="37"/>
  <c r="W8" i="37"/>
  <c r="V8" i="37"/>
  <c r="W15" i="37"/>
  <c r="V15" i="37"/>
  <c r="W21" i="37"/>
  <c r="V21" i="37"/>
  <c r="W25" i="37"/>
  <c r="V25" i="37"/>
  <c r="V29" i="37"/>
  <c r="W29" i="37"/>
  <c r="W33" i="37"/>
  <c r="V33" i="37"/>
  <c r="V74" i="37"/>
  <c r="W74" i="37"/>
  <c r="V83" i="37"/>
  <c r="W83" i="37"/>
  <c r="W99" i="37"/>
  <c r="V99" i="37"/>
  <c r="V107" i="37"/>
  <c r="W107" i="37"/>
  <c r="W114" i="37"/>
  <c r="V114" i="37"/>
  <c r="V19" i="37"/>
  <c r="V24" i="37"/>
  <c r="V28" i="37"/>
  <c r="V32" i="37"/>
  <c r="V37" i="37"/>
  <c r="V41" i="37"/>
  <c r="V45" i="37"/>
  <c r="V49" i="37"/>
  <c r="V53" i="37"/>
  <c r="V57" i="37"/>
  <c r="W75" i="37"/>
  <c r="V82" i="37"/>
  <c r="V87" i="37"/>
  <c r="W92" i="37"/>
  <c r="W96" i="37"/>
  <c r="V98" i="37"/>
  <c r="V106" i="37"/>
  <c r="W140" i="37"/>
  <c r="V140" i="37"/>
  <c r="W153" i="37"/>
  <c r="V153" i="37"/>
  <c r="W110" i="37"/>
  <c r="V110" i="37"/>
  <c r="W112" i="37"/>
  <c r="V112" i="37"/>
  <c r="W116" i="37"/>
  <c r="V116" i="37"/>
  <c r="W118" i="37"/>
  <c r="V118" i="37"/>
  <c r="W120" i="37"/>
  <c r="V120" i="37"/>
  <c r="W122" i="37"/>
  <c r="V122" i="37"/>
  <c r="W124" i="37"/>
  <c r="V124" i="37"/>
  <c r="W139" i="37"/>
  <c r="V139" i="37"/>
  <c r="W152" i="37"/>
  <c r="V152" i="37"/>
  <c r="W162" i="37"/>
  <c r="V162" i="37"/>
  <c r="J125" i="37"/>
  <c r="W111" i="37"/>
  <c r="V111" i="37"/>
  <c r="W113" i="37"/>
  <c r="V113" i="37"/>
  <c r="W115" i="37"/>
  <c r="V115" i="37"/>
  <c r="W117" i="37"/>
  <c r="V117" i="37"/>
  <c r="W119" i="37"/>
  <c r="V119" i="37"/>
  <c r="W121" i="37"/>
  <c r="V121" i="37"/>
  <c r="W123" i="37"/>
  <c r="V123" i="37"/>
  <c r="J179" i="37"/>
  <c r="W141" i="37"/>
  <c r="V141" i="37"/>
  <c r="W154" i="37"/>
  <c r="V154" i="37"/>
  <c r="V158" i="37"/>
  <c r="W160" i="37"/>
  <c r="V160" i="37"/>
  <c r="H106" i="36"/>
  <c r="H98" i="36"/>
  <c r="H97" i="36"/>
  <c r="H91" i="36"/>
  <c r="H84" i="36"/>
  <c r="H33" i="36"/>
  <c r="H21" i="36"/>
  <c r="H163" i="36"/>
  <c r="H162" i="36"/>
  <c r="H160" i="36"/>
  <c r="H158" i="36"/>
  <c r="H156" i="36"/>
  <c r="H154" i="36"/>
  <c r="H151" i="36"/>
  <c r="H148" i="36"/>
  <c r="H146" i="36"/>
  <c r="Q10" i="39" l="1"/>
  <c r="O10" i="38"/>
  <c r="R10" i="38" s="1"/>
  <c r="P12" i="38" s="1"/>
  <c r="Q8" i="38"/>
  <c r="Q4" i="38"/>
  <c r="R4" i="38"/>
  <c r="V125" i="37"/>
  <c r="R6" i="37" s="1"/>
  <c r="W179" i="37"/>
  <c r="P8" i="37" s="1"/>
  <c r="V179" i="37"/>
  <c r="O8" i="37" s="1"/>
  <c r="R8" i="37" s="1"/>
  <c r="W125" i="37"/>
  <c r="W59" i="37"/>
  <c r="P4" i="37" s="1"/>
  <c r="V59" i="37"/>
  <c r="O4" i="37" s="1"/>
  <c r="H80" i="36"/>
  <c r="J80" i="36" s="1"/>
  <c r="H78" i="36"/>
  <c r="H74" i="36"/>
  <c r="H73" i="36"/>
  <c r="J73" i="36" s="1"/>
  <c r="W73" i="36" s="1"/>
  <c r="H72" i="36"/>
  <c r="J72" i="36" s="1"/>
  <c r="W72" i="36" s="1"/>
  <c r="H67" i="36"/>
  <c r="H141" i="36"/>
  <c r="H138" i="36"/>
  <c r="H137" i="36"/>
  <c r="H12" i="36"/>
  <c r="J178" i="36"/>
  <c r="W178" i="36" s="1"/>
  <c r="J177" i="36"/>
  <c r="W177" i="36" s="1"/>
  <c r="J176" i="36"/>
  <c r="W176" i="36" s="1"/>
  <c r="J175" i="36"/>
  <c r="W175" i="36" s="1"/>
  <c r="J174" i="36"/>
  <c r="W174" i="36" s="1"/>
  <c r="J173" i="36"/>
  <c r="W173" i="36" s="1"/>
  <c r="J172" i="36"/>
  <c r="W172" i="36" s="1"/>
  <c r="J171" i="36"/>
  <c r="W171" i="36" s="1"/>
  <c r="J170" i="36"/>
  <c r="W170" i="36" s="1"/>
  <c r="J169" i="36"/>
  <c r="W169" i="36" s="1"/>
  <c r="J168" i="36"/>
  <c r="W168" i="36" s="1"/>
  <c r="J167" i="36"/>
  <c r="W167" i="36" s="1"/>
  <c r="J166" i="36"/>
  <c r="W166" i="36" s="1"/>
  <c r="J165" i="36"/>
  <c r="W165" i="36" s="1"/>
  <c r="J164" i="36"/>
  <c r="W164" i="36" s="1"/>
  <c r="J163" i="36"/>
  <c r="W163" i="36" s="1"/>
  <c r="J162" i="36"/>
  <c r="W162" i="36" s="1"/>
  <c r="J161" i="36"/>
  <c r="W161" i="36" s="1"/>
  <c r="J160" i="36"/>
  <c r="W160" i="36" s="1"/>
  <c r="J159" i="36"/>
  <c r="W159" i="36" s="1"/>
  <c r="J158" i="36"/>
  <c r="W158" i="36" s="1"/>
  <c r="J157" i="36"/>
  <c r="W157" i="36" s="1"/>
  <c r="J156" i="36"/>
  <c r="W156" i="36" s="1"/>
  <c r="J155" i="36"/>
  <c r="V155" i="36" s="1"/>
  <c r="J154" i="36"/>
  <c r="J153" i="36"/>
  <c r="J152" i="36"/>
  <c r="J151" i="36"/>
  <c r="W151" i="36" s="1"/>
  <c r="J150" i="36"/>
  <c r="J149" i="36"/>
  <c r="W149" i="36" s="1"/>
  <c r="J148" i="36"/>
  <c r="W148" i="36" s="1"/>
  <c r="J147" i="36"/>
  <c r="W147" i="36" s="1"/>
  <c r="J146" i="36"/>
  <c r="W146" i="36" s="1"/>
  <c r="J145" i="36"/>
  <c r="V145" i="36" s="1"/>
  <c r="J144" i="36"/>
  <c r="V144" i="36" s="1"/>
  <c r="J143" i="36"/>
  <c r="J142" i="36"/>
  <c r="V142" i="36" s="1"/>
  <c r="J141" i="36"/>
  <c r="V141" i="36" s="1"/>
  <c r="W140" i="36"/>
  <c r="J140" i="36"/>
  <c r="V140" i="36" s="1"/>
  <c r="J139" i="36"/>
  <c r="J138" i="36"/>
  <c r="V138" i="36" s="1"/>
  <c r="J137" i="36"/>
  <c r="V137" i="36" s="1"/>
  <c r="J136" i="36"/>
  <c r="W136" i="36" s="1"/>
  <c r="J135" i="36"/>
  <c r="V135" i="36" s="1"/>
  <c r="J134" i="36"/>
  <c r="V134" i="36" s="1"/>
  <c r="B134" i="36"/>
  <c r="B135" i="36" s="1"/>
  <c r="B136" i="36" s="1"/>
  <c r="B137" i="36" s="1"/>
  <c r="B138" i="36" s="1"/>
  <c r="B139" i="36" s="1"/>
  <c r="B140" i="36" s="1"/>
  <c r="B141" i="36" s="1"/>
  <c r="B142" i="36" s="1"/>
  <c r="B143" i="36" s="1"/>
  <c r="B144" i="36" s="1"/>
  <c r="B145" i="36" s="1"/>
  <c r="B146" i="36" s="1"/>
  <c r="B147" i="36" s="1"/>
  <c r="B148" i="36" s="1"/>
  <c r="B149" i="36" s="1"/>
  <c r="B150" i="36" s="1"/>
  <c r="B151" i="36" s="1"/>
  <c r="B152" i="36" s="1"/>
  <c r="B153" i="36" s="1"/>
  <c r="B154" i="36" s="1"/>
  <c r="B155" i="36" s="1"/>
  <c r="B156" i="36" s="1"/>
  <c r="B157" i="36" s="1"/>
  <c r="B158" i="36" s="1"/>
  <c r="B159" i="36" s="1"/>
  <c r="B160" i="36" s="1"/>
  <c r="B161" i="36" s="1"/>
  <c r="B162" i="36" s="1"/>
  <c r="B163" i="36" s="1"/>
  <c r="B164" i="36" s="1"/>
  <c r="B165" i="36" s="1"/>
  <c r="B166" i="36" s="1"/>
  <c r="B167" i="36" s="1"/>
  <c r="B168" i="36" s="1"/>
  <c r="B169" i="36" s="1"/>
  <c r="B170" i="36" s="1"/>
  <c r="B171" i="36" s="1"/>
  <c r="B172" i="36" s="1"/>
  <c r="B173" i="36" s="1"/>
  <c r="B174" i="36" s="1"/>
  <c r="B175" i="36" s="1"/>
  <c r="B176" i="36" s="1"/>
  <c r="B177" i="36" s="1"/>
  <c r="B178" i="36" s="1"/>
  <c r="J133" i="36"/>
  <c r="V133" i="36" s="1"/>
  <c r="J124" i="36"/>
  <c r="J123" i="36"/>
  <c r="W123" i="36" s="1"/>
  <c r="J122" i="36"/>
  <c r="V122" i="36" s="1"/>
  <c r="W121" i="36"/>
  <c r="V121" i="36"/>
  <c r="J121" i="36"/>
  <c r="J120" i="36"/>
  <c r="J119" i="36"/>
  <c r="W119" i="36" s="1"/>
  <c r="J118" i="36"/>
  <c r="V118" i="36" s="1"/>
  <c r="W117" i="36"/>
  <c r="V117" i="36"/>
  <c r="J117" i="36"/>
  <c r="J116" i="36"/>
  <c r="J115" i="36"/>
  <c r="W115" i="36" s="1"/>
  <c r="J114" i="36"/>
  <c r="V114" i="36" s="1"/>
  <c r="W113" i="36"/>
  <c r="V113" i="36"/>
  <c r="J113" i="36"/>
  <c r="J112" i="36"/>
  <c r="J111" i="36"/>
  <c r="W111" i="36" s="1"/>
  <c r="J110" i="36"/>
  <c r="V110" i="36" s="1"/>
  <c r="J109" i="36"/>
  <c r="W109" i="36" s="1"/>
  <c r="J108" i="36"/>
  <c r="B108" i="36"/>
  <c r="B109" i="36" s="1"/>
  <c r="B110" i="36" s="1"/>
  <c r="B111" i="36" s="1"/>
  <c r="B112" i="36" s="1"/>
  <c r="B113" i="36" s="1"/>
  <c r="B114" i="36" s="1"/>
  <c r="B115" i="36" s="1"/>
  <c r="B116" i="36" s="1"/>
  <c r="B117" i="36" s="1"/>
  <c r="B118" i="36" s="1"/>
  <c r="B119" i="36" s="1"/>
  <c r="B120" i="36" s="1"/>
  <c r="B121" i="36" s="1"/>
  <c r="B122" i="36" s="1"/>
  <c r="B123" i="36" s="1"/>
  <c r="B124" i="36" s="1"/>
  <c r="J107" i="36"/>
  <c r="J106" i="36"/>
  <c r="W106" i="36" s="1"/>
  <c r="J105" i="36"/>
  <c r="J104" i="36"/>
  <c r="J103" i="36"/>
  <c r="J102" i="36"/>
  <c r="J101" i="36"/>
  <c r="W101" i="36" s="1"/>
  <c r="J100" i="36"/>
  <c r="V100" i="36" s="1"/>
  <c r="J99" i="36"/>
  <c r="W99" i="36" s="1"/>
  <c r="J98" i="36"/>
  <c r="J97" i="36"/>
  <c r="W97" i="36" s="1"/>
  <c r="J96" i="36"/>
  <c r="W96" i="36" s="1"/>
  <c r="J95" i="36"/>
  <c r="J94" i="36"/>
  <c r="V94" i="36" s="1"/>
  <c r="J93" i="36"/>
  <c r="V93" i="36" s="1"/>
  <c r="J92" i="36"/>
  <c r="V92" i="36" s="1"/>
  <c r="J91" i="36"/>
  <c r="J90" i="36"/>
  <c r="J89" i="36"/>
  <c r="W89" i="36" s="1"/>
  <c r="J88" i="36"/>
  <c r="W88" i="36" s="1"/>
  <c r="J87" i="36"/>
  <c r="W87" i="36" s="1"/>
  <c r="J86" i="36"/>
  <c r="J85" i="36"/>
  <c r="J84" i="36"/>
  <c r="W84" i="36" s="1"/>
  <c r="J83" i="36"/>
  <c r="W83" i="36" s="1"/>
  <c r="J82" i="36"/>
  <c r="W82" i="36" s="1"/>
  <c r="J81" i="36"/>
  <c r="V81" i="36" s="1"/>
  <c r="J79" i="36"/>
  <c r="V79" i="36" s="1"/>
  <c r="J78" i="36"/>
  <c r="V78" i="36" s="1"/>
  <c r="J77" i="36"/>
  <c r="V77" i="36" s="1"/>
  <c r="J76" i="36"/>
  <c r="J75" i="36"/>
  <c r="J74" i="36"/>
  <c r="J71" i="36"/>
  <c r="V71" i="36" s="1"/>
  <c r="J70" i="36"/>
  <c r="J69" i="36"/>
  <c r="J68" i="36"/>
  <c r="B68" i="36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J67" i="36"/>
  <c r="J58" i="36"/>
  <c r="V58" i="36" s="1"/>
  <c r="J57" i="36"/>
  <c r="W57" i="36" s="1"/>
  <c r="J56" i="36"/>
  <c r="J55" i="36"/>
  <c r="W55" i="36" s="1"/>
  <c r="J54" i="36"/>
  <c r="V54" i="36" s="1"/>
  <c r="J53" i="36"/>
  <c r="W53" i="36" s="1"/>
  <c r="J52" i="36"/>
  <c r="J51" i="36"/>
  <c r="W51" i="36" s="1"/>
  <c r="J50" i="36"/>
  <c r="V50" i="36" s="1"/>
  <c r="J49" i="36"/>
  <c r="W49" i="36" s="1"/>
  <c r="J48" i="36"/>
  <c r="J47" i="36"/>
  <c r="W47" i="36" s="1"/>
  <c r="J46" i="36"/>
  <c r="V46" i="36" s="1"/>
  <c r="J45" i="36"/>
  <c r="W45" i="36" s="1"/>
  <c r="J44" i="36"/>
  <c r="J43" i="36"/>
  <c r="W43" i="36" s="1"/>
  <c r="J42" i="36"/>
  <c r="V42" i="36" s="1"/>
  <c r="J41" i="36"/>
  <c r="W41" i="36" s="1"/>
  <c r="J40" i="36"/>
  <c r="J39" i="36"/>
  <c r="W39" i="36" s="1"/>
  <c r="J38" i="36"/>
  <c r="V38" i="36" s="1"/>
  <c r="J37" i="36"/>
  <c r="W37" i="36" s="1"/>
  <c r="J36" i="36"/>
  <c r="J35" i="36"/>
  <c r="W35" i="36" s="1"/>
  <c r="J34" i="36"/>
  <c r="V34" i="36" s="1"/>
  <c r="J33" i="36"/>
  <c r="V33" i="36" s="1"/>
  <c r="J32" i="36"/>
  <c r="W32" i="36" s="1"/>
  <c r="J31" i="36"/>
  <c r="W31" i="36" s="1"/>
  <c r="J30" i="36"/>
  <c r="W30" i="36" s="1"/>
  <c r="J29" i="36"/>
  <c r="J28" i="36"/>
  <c r="V28" i="36" s="1"/>
  <c r="J27" i="36"/>
  <c r="V27" i="36" s="1"/>
  <c r="J26" i="36"/>
  <c r="W26" i="36" s="1"/>
  <c r="J25" i="36"/>
  <c r="V25" i="36" s="1"/>
  <c r="J24" i="36"/>
  <c r="W24" i="36" s="1"/>
  <c r="J23" i="36"/>
  <c r="V23" i="36" s="1"/>
  <c r="J22" i="36"/>
  <c r="W22" i="36" s="1"/>
  <c r="J21" i="36"/>
  <c r="V21" i="36" s="1"/>
  <c r="J20" i="36"/>
  <c r="W20" i="36" s="1"/>
  <c r="J19" i="36"/>
  <c r="W19" i="36" s="1"/>
  <c r="J18" i="36"/>
  <c r="V18" i="36" s="1"/>
  <c r="J17" i="36"/>
  <c r="W17" i="36" s="1"/>
  <c r="J16" i="36"/>
  <c r="V16" i="36" s="1"/>
  <c r="J15" i="36"/>
  <c r="W15" i="36" s="1"/>
  <c r="J14" i="36"/>
  <c r="V14" i="36" s="1"/>
  <c r="J13" i="36"/>
  <c r="W13" i="36" s="1"/>
  <c r="J12" i="36"/>
  <c r="W12" i="36" s="1"/>
  <c r="J11" i="36"/>
  <c r="W11" i="36" s="1"/>
  <c r="J10" i="36"/>
  <c r="W10" i="36" s="1"/>
  <c r="J9" i="36"/>
  <c r="W9" i="36" s="1"/>
  <c r="N8" i="36"/>
  <c r="J8" i="36"/>
  <c r="W8" i="36" s="1"/>
  <c r="J7" i="36"/>
  <c r="W7" i="36" s="1"/>
  <c r="N6" i="36"/>
  <c r="J6" i="36"/>
  <c r="W6" i="36" s="1"/>
  <c r="N4" i="36"/>
  <c r="V41" i="36" l="1"/>
  <c r="V43" i="36"/>
  <c r="V45" i="36"/>
  <c r="V47" i="36"/>
  <c r="V49" i="36"/>
  <c r="V51" i="36"/>
  <c r="V53" i="36"/>
  <c r="V55" i="36"/>
  <c r="V57" i="36"/>
  <c r="V109" i="36"/>
  <c r="V115" i="36"/>
  <c r="W79" i="36"/>
  <c r="V89" i="36"/>
  <c r="W92" i="36"/>
  <c r="W81" i="36"/>
  <c r="V111" i="36"/>
  <c r="V119" i="36"/>
  <c r="V123" i="36"/>
  <c r="W28" i="36"/>
  <c r="W42" i="36"/>
  <c r="W46" i="36"/>
  <c r="W50" i="36"/>
  <c r="W54" i="36"/>
  <c r="W58" i="36"/>
  <c r="W110" i="36"/>
  <c r="W114" i="36"/>
  <c r="W118" i="36"/>
  <c r="W122" i="36"/>
  <c r="Q10" i="38"/>
  <c r="Q8" i="37"/>
  <c r="P10" i="37"/>
  <c r="O10" i="37"/>
  <c r="R10" i="37" s="1"/>
  <c r="P12" i="37" s="1"/>
  <c r="R4" i="37"/>
  <c r="Q4" i="37"/>
  <c r="V96" i="36"/>
  <c r="V84" i="36"/>
  <c r="V82" i="36"/>
  <c r="V39" i="36"/>
  <c r="V37" i="36"/>
  <c r="V35" i="36"/>
  <c r="W33" i="36"/>
  <c r="V26" i="36"/>
  <c r="V24" i="36"/>
  <c r="V19" i="36"/>
  <c r="V159" i="36"/>
  <c r="V158" i="36"/>
  <c r="W155" i="36"/>
  <c r="V148" i="36"/>
  <c r="V147" i="36"/>
  <c r="W145" i="36"/>
  <c r="V73" i="36"/>
  <c r="V72" i="36"/>
  <c r="W71" i="36"/>
  <c r="W138" i="36"/>
  <c r="W135" i="36"/>
  <c r="W144" i="36"/>
  <c r="V146" i="36"/>
  <c r="V157" i="36"/>
  <c r="W134" i="36"/>
  <c r="W142" i="36"/>
  <c r="V156" i="36"/>
  <c r="W77" i="36"/>
  <c r="V83" i="36"/>
  <c r="V87" i="36"/>
  <c r="V97" i="36"/>
  <c r="V99" i="36"/>
  <c r="V101" i="36"/>
  <c r="W94" i="36"/>
  <c r="W100" i="36"/>
  <c r="V32" i="36"/>
  <c r="W34" i="36"/>
  <c r="W38" i="36"/>
  <c r="V15" i="36"/>
  <c r="V17" i="36"/>
  <c r="V22" i="36"/>
  <c r="V10" i="36"/>
  <c r="V30" i="36"/>
  <c r="W68" i="36"/>
  <c r="V68" i="36"/>
  <c r="W74" i="36"/>
  <c r="V74" i="36"/>
  <c r="W120" i="36"/>
  <c r="V120" i="36"/>
  <c r="V139" i="36"/>
  <c r="W139" i="36"/>
  <c r="W150" i="36"/>
  <c r="V150" i="36"/>
  <c r="V12" i="36"/>
  <c r="W21" i="36"/>
  <c r="W23" i="36"/>
  <c r="W36" i="36"/>
  <c r="V36" i="36"/>
  <c r="W40" i="36"/>
  <c r="V40" i="36"/>
  <c r="W44" i="36"/>
  <c r="V44" i="36"/>
  <c r="W48" i="36"/>
  <c r="V48" i="36"/>
  <c r="W52" i="36"/>
  <c r="V52" i="36"/>
  <c r="W56" i="36"/>
  <c r="V56" i="36"/>
  <c r="W69" i="36"/>
  <c r="V69" i="36"/>
  <c r="W85" i="36"/>
  <c r="V85" i="36"/>
  <c r="V90" i="36"/>
  <c r="W90" i="36"/>
  <c r="W95" i="36"/>
  <c r="V95" i="36"/>
  <c r="W98" i="36"/>
  <c r="V98" i="36"/>
  <c r="W108" i="36"/>
  <c r="V108" i="36"/>
  <c r="W116" i="36"/>
  <c r="V116" i="36"/>
  <c r="V9" i="36"/>
  <c r="W14" i="36"/>
  <c r="V7" i="36"/>
  <c r="W25" i="36"/>
  <c r="W29" i="36"/>
  <c r="V29" i="36"/>
  <c r="V31" i="36"/>
  <c r="J125" i="36"/>
  <c r="W67" i="36"/>
  <c r="V67" i="36"/>
  <c r="W70" i="36"/>
  <c r="V70" i="36"/>
  <c r="W75" i="36"/>
  <c r="V75" i="36"/>
  <c r="W86" i="36"/>
  <c r="V86" i="36"/>
  <c r="V91" i="36"/>
  <c r="W91" i="36"/>
  <c r="W152" i="36"/>
  <c r="V152" i="36"/>
  <c r="V76" i="36"/>
  <c r="W76" i="36"/>
  <c r="W112" i="36"/>
  <c r="V112" i="36"/>
  <c r="W124" i="36"/>
  <c r="V124" i="36"/>
  <c r="W16" i="36"/>
  <c r="W18" i="36"/>
  <c r="W27" i="36"/>
  <c r="N10" i="36"/>
  <c r="J59" i="36"/>
  <c r="V6" i="36"/>
  <c r="V8" i="36"/>
  <c r="V11" i="36"/>
  <c r="V13" i="36"/>
  <c r="V20" i="36"/>
  <c r="W80" i="36"/>
  <c r="V80" i="36"/>
  <c r="W107" i="36"/>
  <c r="V107" i="36"/>
  <c r="V143" i="36"/>
  <c r="W143" i="36"/>
  <c r="J179" i="36"/>
  <c r="W154" i="36"/>
  <c r="V154" i="36"/>
  <c r="V160" i="36"/>
  <c r="V162" i="36"/>
  <c r="V164" i="36"/>
  <c r="V166" i="36"/>
  <c r="V168" i="36"/>
  <c r="V170" i="36"/>
  <c r="V172" i="36"/>
  <c r="V174" i="36"/>
  <c r="V176" i="36"/>
  <c r="V178" i="36"/>
  <c r="W78" i="36"/>
  <c r="V88" i="36"/>
  <c r="W93" i="36"/>
  <c r="V106" i="36"/>
  <c r="W133" i="36"/>
  <c r="V136" i="36"/>
  <c r="W137" i="36"/>
  <c r="W141" i="36"/>
  <c r="V149" i="36"/>
  <c r="V151" i="36"/>
  <c r="W153" i="36"/>
  <c r="V153" i="36"/>
  <c r="V161" i="36"/>
  <c r="V163" i="36"/>
  <c r="V165" i="36"/>
  <c r="V167" i="36"/>
  <c r="V169" i="36"/>
  <c r="V171" i="36"/>
  <c r="V173" i="36"/>
  <c r="V175" i="36"/>
  <c r="V177" i="36"/>
  <c r="H34" i="35"/>
  <c r="H32" i="35"/>
  <c r="H105" i="35"/>
  <c r="H104" i="35"/>
  <c r="H102" i="35"/>
  <c r="H97" i="35"/>
  <c r="H31" i="35"/>
  <c r="H20" i="35"/>
  <c r="H13" i="35"/>
  <c r="H11" i="35"/>
  <c r="H9" i="35"/>
  <c r="H95" i="35"/>
  <c r="H160" i="35"/>
  <c r="H156" i="35"/>
  <c r="H155" i="35"/>
  <c r="H152" i="35"/>
  <c r="H149" i="35"/>
  <c r="H147" i="35"/>
  <c r="H145" i="35"/>
  <c r="Q10" i="37" l="1"/>
  <c r="V179" i="36"/>
  <c r="O8" i="36" s="1"/>
  <c r="R8" i="36" s="1"/>
  <c r="W59" i="36"/>
  <c r="P4" i="36" s="1"/>
  <c r="W179" i="36"/>
  <c r="P8" i="36" s="1"/>
  <c r="V59" i="36"/>
  <c r="O4" i="36" s="1"/>
  <c r="V125" i="36"/>
  <c r="O6" i="36" s="1"/>
  <c r="W125" i="36"/>
  <c r="P6" i="36" s="1"/>
  <c r="H90" i="35"/>
  <c r="H85" i="35"/>
  <c r="H84" i="35"/>
  <c r="H80" i="35"/>
  <c r="H76" i="35"/>
  <c r="H75" i="35"/>
  <c r="H74" i="35"/>
  <c r="H72" i="35"/>
  <c r="H71" i="35"/>
  <c r="H70" i="35"/>
  <c r="Q8" i="36" l="1"/>
  <c r="P10" i="36"/>
  <c r="R6" i="36"/>
  <c r="Q6" i="36"/>
  <c r="O10" i="36"/>
  <c r="R10" i="36" s="1"/>
  <c r="P12" i="36" s="1"/>
  <c r="R4" i="36"/>
  <c r="Q4" i="36"/>
  <c r="H137" i="35"/>
  <c r="H136" i="35"/>
  <c r="H135" i="35"/>
  <c r="H133" i="35"/>
  <c r="Q10" i="36" l="1"/>
  <c r="J178" i="35"/>
  <c r="V178" i="35" s="1"/>
  <c r="W177" i="35"/>
  <c r="J177" i="35"/>
  <c r="V177" i="35" s="1"/>
  <c r="J176" i="35"/>
  <c r="V176" i="35" s="1"/>
  <c r="W175" i="35"/>
  <c r="J175" i="35"/>
  <c r="V175" i="35" s="1"/>
  <c r="J174" i="35"/>
  <c r="V174" i="35" s="1"/>
  <c r="W173" i="35"/>
  <c r="J173" i="35"/>
  <c r="V173" i="35" s="1"/>
  <c r="J172" i="35"/>
  <c r="V172" i="35" s="1"/>
  <c r="J171" i="35"/>
  <c r="V171" i="35" s="1"/>
  <c r="J170" i="35"/>
  <c r="V170" i="35" s="1"/>
  <c r="J169" i="35"/>
  <c r="J168" i="35"/>
  <c r="J167" i="35"/>
  <c r="W167" i="35" s="1"/>
  <c r="J166" i="35"/>
  <c r="W166" i="35" s="1"/>
  <c r="J165" i="35"/>
  <c r="V165" i="35" s="1"/>
  <c r="J164" i="35"/>
  <c r="W164" i="35" s="1"/>
  <c r="J163" i="35"/>
  <c r="W163" i="35" s="1"/>
  <c r="J162" i="35"/>
  <c r="W162" i="35" s="1"/>
  <c r="J161" i="35"/>
  <c r="V161" i="35" s="1"/>
  <c r="J160" i="35"/>
  <c r="V160" i="35" s="1"/>
  <c r="J159" i="35"/>
  <c r="V159" i="35" s="1"/>
  <c r="J158" i="35"/>
  <c r="V158" i="35" s="1"/>
  <c r="J157" i="35"/>
  <c r="V157" i="35" s="1"/>
  <c r="J156" i="35"/>
  <c r="V156" i="35" s="1"/>
  <c r="J155" i="35"/>
  <c r="J154" i="35"/>
  <c r="J153" i="35"/>
  <c r="W153" i="35" s="1"/>
  <c r="J152" i="35"/>
  <c r="W152" i="35" s="1"/>
  <c r="J151" i="35"/>
  <c r="W151" i="35" s="1"/>
  <c r="J150" i="35"/>
  <c r="W150" i="35" s="1"/>
  <c r="J149" i="35"/>
  <c r="W149" i="35" s="1"/>
  <c r="J148" i="35"/>
  <c r="W148" i="35" s="1"/>
  <c r="J147" i="35"/>
  <c r="W147" i="35" s="1"/>
  <c r="J146" i="35"/>
  <c r="W146" i="35" s="1"/>
  <c r="J145" i="35"/>
  <c r="W145" i="35" s="1"/>
  <c r="J144" i="35"/>
  <c r="W144" i="35" s="1"/>
  <c r="J143" i="35"/>
  <c r="V143" i="35" s="1"/>
  <c r="J142" i="35"/>
  <c r="W142" i="35" s="1"/>
  <c r="J141" i="35"/>
  <c r="W141" i="35" s="1"/>
  <c r="J140" i="35"/>
  <c r="J139" i="35"/>
  <c r="V139" i="35" s="1"/>
  <c r="J138" i="35"/>
  <c r="V138" i="35" s="1"/>
  <c r="J137" i="35"/>
  <c r="V137" i="35" s="1"/>
  <c r="J136" i="35"/>
  <c r="V136" i="35" s="1"/>
  <c r="J135" i="35"/>
  <c r="V135" i="35" s="1"/>
  <c r="J134" i="35"/>
  <c r="V134" i="35" s="1"/>
  <c r="B134" i="35"/>
  <c r="B135" i="35" s="1"/>
  <c r="B136" i="35" s="1"/>
  <c r="B137" i="35" s="1"/>
  <c r="B138" i="35" s="1"/>
  <c r="B139" i="35" s="1"/>
  <c r="B140" i="35" s="1"/>
  <c r="B141" i="35" s="1"/>
  <c r="B142" i="35" s="1"/>
  <c r="B143" i="35" s="1"/>
  <c r="B144" i="35" s="1"/>
  <c r="B145" i="35" s="1"/>
  <c r="B146" i="35" s="1"/>
  <c r="B147" i="35" s="1"/>
  <c r="B148" i="35" s="1"/>
  <c r="B149" i="35" s="1"/>
  <c r="B150" i="35" s="1"/>
  <c r="B151" i="35" s="1"/>
  <c r="B152" i="35" s="1"/>
  <c r="B153" i="35" s="1"/>
  <c r="B154" i="35" s="1"/>
  <c r="B155" i="35" s="1"/>
  <c r="B156" i="35" s="1"/>
  <c r="B157" i="35" s="1"/>
  <c r="B158" i="35" s="1"/>
  <c r="B159" i="35" s="1"/>
  <c r="B160" i="35" s="1"/>
  <c r="B161" i="35" s="1"/>
  <c r="B162" i="35" s="1"/>
  <c r="B163" i="35" s="1"/>
  <c r="B164" i="35" s="1"/>
  <c r="B165" i="35" s="1"/>
  <c r="B166" i="35" s="1"/>
  <c r="B167" i="35" s="1"/>
  <c r="B168" i="35" s="1"/>
  <c r="B169" i="35" s="1"/>
  <c r="B170" i="35" s="1"/>
  <c r="B171" i="35" s="1"/>
  <c r="B172" i="35" s="1"/>
  <c r="B173" i="35" s="1"/>
  <c r="B174" i="35" s="1"/>
  <c r="B175" i="35" s="1"/>
  <c r="B176" i="35" s="1"/>
  <c r="B177" i="35" s="1"/>
  <c r="B178" i="35" s="1"/>
  <c r="J133" i="35"/>
  <c r="V133" i="35" s="1"/>
  <c r="J124" i="35"/>
  <c r="W124" i="35" s="1"/>
  <c r="J123" i="35"/>
  <c r="W123" i="35" s="1"/>
  <c r="J122" i="35"/>
  <c r="W122" i="35" s="1"/>
  <c r="J121" i="35"/>
  <c r="W121" i="35" s="1"/>
  <c r="V120" i="35"/>
  <c r="J120" i="35"/>
  <c r="W120" i="35" s="1"/>
  <c r="J119" i="35"/>
  <c r="W119" i="35" s="1"/>
  <c r="V118" i="35"/>
  <c r="J118" i="35"/>
  <c r="W118" i="35" s="1"/>
  <c r="J117" i="35"/>
  <c r="W117" i="35" s="1"/>
  <c r="J116" i="35"/>
  <c r="W116" i="35" s="1"/>
  <c r="J115" i="35"/>
  <c r="W115" i="35" s="1"/>
  <c r="J114" i="35"/>
  <c r="W114" i="35" s="1"/>
  <c r="J113" i="35"/>
  <c r="W113" i="35" s="1"/>
  <c r="V112" i="35"/>
  <c r="J112" i="35"/>
  <c r="W112" i="35" s="1"/>
  <c r="J111" i="35"/>
  <c r="W111" i="35" s="1"/>
  <c r="V110" i="35"/>
  <c r="J110" i="35"/>
  <c r="W110" i="35" s="1"/>
  <c r="J109" i="35"/>
  <c r="W109" i="35" s="1"/>
  <c r="J108" i="35"/>
  <c r="W108" i="35" s="1"/>
  <c r="B108" i="35"/>
  <c r="B109" i="35" s="1"/>
  <c r="B110" i="35" s="1"/>
  <c r="B111" i="35" s="1"/>
  <c r="B112" i="35" s="1"/>
  <c r="B113" i="35" s="1"/>
  <c r="B114" i="35" s="1"/>
  <c r="B115" i="35" s="1"/>
  <c r="B116" i="35" s="1"/>
  <c r="B117" i="35" s="1"/>
  <c r="B118" i="35" s="1"/>
  <c r="B119" i="35" s="1"/>
  <c r="B120" i="35" s="1"/>
  <c r="B121" i="35" s="1"/>
  <c r="B122" i="35" s="1"/>
  <c r="B123" i="35" s="1"/>
  <c r="B124" i="35" s="1"/>
  <c r="J107" i="35"/>
  <c r="W107" i="35" s="1"/>
  <c r="J106" i="35"/>
  <c r="J105" i="35"/>
  <c r="J104" i="35"/>
  <c r="J103" i="35"/>
  <c r="J102" i="35"/>
  <c r="J101" i="35"/>
  <c r="J100" i="35"/>
  <c r="V100" i="35" s="1"/>
  <c r="J99" i="35"/>
  <c r="J98" i="35"/>
  <c r="J97" i="35"/>
  <c r="W97" i="35" s="1"/>
  <c r="J96" i="35"/>
  <c r="W96" i="35" s="1"/>
  <c r="J95" i="35"/>
  <c r="W95" i="35" s="1"/>
  <c r="J94" i="35"/>
  <c r="W94" i="35" s="1"/>
  <c r="J93" i="35"/>
  <c r="W93" i="35" s="1"/>
  <c r="J92" i="35"/>
  <c r="W92" i="35" s="1"/>
  <c r="J91" i="35"/>
  <c r="W91" i="35" s="1"/>
  <c r="J90" i="35"/>
  <c r="V90" i="35" s="1"/>
  <c r="J89" i="35"/>
  <c r="J88" i="35"/>
  <c r="W88" i="35" s="1"/>
  <c r="J87" i="35"/>
  <c r="W87" i="35" s="1"/>
  <c r="J86" i="35"/>
  <c r="W86" i="35" s="1"/>
  <c r="J85" i="35"/>
  <c r="W85" i="35" s="1"/>
  <c r="J84" i="35"/>
  <c r="V84" i="35" s="1"/>
  <c r="J83" i="35"/>
  <c r="V83" i="35" s="1"/>
  <c r="J82" i="35"/>
  <c r="V82" i="35" s="1"/>
  <c r="J81" i="35"/>
  <c r="V81" i="35" s="1"/>
  <c r="J80" i="35"/>
  <c r="V80" i="35" s="1"/>
  <c r="J79" i="35"/>
  <c r="V79" i="35" s="1"/>
  <c r="J78" i="35"/>
  <c r="W78" i="35" s="1"/>
  <c r="J77" i="35"/>
  <c r="J76" i="35"/>
  <c r="W76" i="35" s="1"/>
  <c r="J75" i="35"/>
  <c r="W75" i="35" s="1"/>
  <c r="J74" i="35"/>
  <c r="V74" i="35" s="1"/>
  <c r="J73" i="35"/>
  <c r="J72" i="35"/>
  <c r="J71" i="35"/>
  <c r="V71" i="35" s="1"/>
  <c r="J70" i="35"/>
  <c r="W70" i="35" s="1"/>
  <c r="J69" i="35"/>
  <c r="W69" i="35" s="1"/>
  <c r="J68" i="35"/>
  <c r="W68" i="35" s="1"/>
  <c r="B68" i="35"/>
  <c r="B69" i="35" s="1"/>
  <c r="B70" i="35" s="1"/>
  <c r="B71" i="35" s="1"/>
  <c r="B72" i="35" s="1"/>
  <c r="B73" i="35" s="1"/>
  <c r="B74" i="35" s="1"/>
  <c r="B75" i="35" s="1"/>
  <c r="B76" i="35" s="1"/>
  <c r="B77" i="35" s="1"/>
  <c r="B78" i="35" s="1"/>
  <c r="B79" i="35" s="1"/>
  <c r="B80" i="35" s="1"/>
  <c r="B81" i="35" s="1"/>
  <c r="B82" i="35" s="1"/>
  <c r="B83" i="35" s="1"/>
  <c r="B84" i="35" s="1"/>
  <c r="B85" i="35" s="1"/>
  <c r="B86" i="35" s="1"/>
  <c r="B87" i="35" s="1"/>
  <c r="B88" i="35" s="1"/>
  <c r="B89" i="35" s="1"/>
  <c r="B90" i="35" s="1"/>
  <c r="B91" i="35" s="1"/>
  <c r="B92" i="35" s="1"/>
  <c r="B93" i="35" s="1"/>
  <c r="B94" i="35" s="1"/>
  <c r="B95" i="35" s="1"/>
  <c r="B96" i="35" s="1"/>
  <c r="B97" i="35" s="1"/>
  <c r="B98" i="35" s="1"/>
  <c r="B99" i="35" s="1"/>
  <c r="B100" i="35" s="1"/>
  <c r="J67" i="35"/>
  <c r="W67" i="35" s="1"/>
  <c r="W58" i="35"/>
  <c r="J58" i="35"/>
  <c r="V58" i="35" s="1"/>
  <c r="J57" i="35"/>
  <c r="W57" i="35" s="1"/>
  <c r="W56" i="35"/>
  <c r="J56" i="35"/>
  <c r="V56" i="35" s="1"/>
  <c r="V55" i="35"/>
  <c r="J55" i="35"/>
  <c r="W55" i="35" s="1"/>
  <c r="J54" i="35"/>
  <c r="W54" i="35" s="1"/>
  <c r="J53" i="35"/>
  <c r="W53" i="35" s="1"/>
  <c r="J52" i="35"/>
  <c r="W52" i="35" s="1"/>
  <c r="J51" i="35"/>
  <c r="W51" i="35" s="1"/>
  <c r="J50" i="35"/>
  <c r="V50" i="35" s="1"/>
  <c r="W49" i="35"/>
  <c r="J49" i="35"/>
  <c r="V49" i="35" s="1"/>
  <c r="J48" i="35"/>
  <c r="W48" i="35" s="1"/>
  <c r="J47" i="35"/>
  <c r="W47" i="35" s="1"/>
  <c r="J46" i="35"/>
  <c r="V46" i="35" s="1"/>
  <c r="W45" i="35"/>
  <c r="J45" i="35"/>
  <c r="V45" i="35" s="1"/>
  <c r="J44" i="35"/>
  <c r="W44" i="35" s="1"/>
  <c r="J43" i="35"/>
  <c r="W43" i="35" s="1"/>
  <c r="J42" i="35"/>
  <c r="J41" i="35"/>
  <c r="V41" i="35" s="1"/>
  <c r="J40" i="35"/>
  <c r="W40" i="35" s="1"/>
  <c r="J39" i="35"/>
  <c r="W39" i="35" s="1"/>
  <c r="J38" i="35"/>
  <c r="W38" i="35" s="1"/>
  <c r="J37" i="35"/>
  <c r="V37" i="35" s="1"/>
  <c r="J36" i="35"/>
  <c r="V36" i="35" s="1"/>
  <c r="J35" i="35"/>
  <c r="W35" i="35" s="1"/>
  <c r="J34" i="35"/>
  <c r="W34" i="35" s="1"/>
  <c r="J33" i="35"/>
  <c r="V33" i="35" s="1"/>
  <c r="J32" i="35"/>
  <c r="V32" i="35" s="1"/>
  <c r="J31" i="35"/>
  <c r="W31" i="35" s="1"/>
  <c r="J30" i="35"/>
  <c r="W30" i="35" s="1"/>
  <c r="J29" i="35"/>
  <c r="V29" i="35" s="1"/>
  <c r="J28" i="35"/>
  <c r="W28" i="35" s="1"/>
  <c r="J27" i="35"/>
  <c r="W27" i="35" s="1"/>
  <c r="J26" i="35"/>
  <c r="W26" i="35" s="1"/>
  <c r="J25" i="35"/>
  <c r="V25" i="35" s="1"/>
  <c r="J24" i="35"/>
  <c r="W24" i="35" s="1"/>
  <c r="J23" i="35"/>
  <c r="W23" i="35" s="1"/>
  <c r="J22" i="35"/>
  <c r="W22" i="35" s="1"/>
  <c r="J21" i="35"/>
  <c r="V21" i="35" s="1"/>
  <c r="J20" i="35"/>
  <c r="W20" i="35" s="1"/>
  <c r="J19" i="35"/>
  <c r="W19" i="35" s="1"/>
  <c r="J18" i="35"/>
  <c r="W18" i="35" s="1"/>
  <c r="J17" i="35"/>
  <c r="V17" i="35" s="1"/>
  <c r="J16" i="35"/>
  <c r="W16" i="35" s="1"/>
  <c r="J15" i="35"/>
  <c r="W15" i="35" s="1"/>
  <c r="J14" i="35"/>
  <c r="W14" i="35" s="1"/>
  <c r="J13" i="35"/>
  <c r="J12" i="35"/>
  <c r="V12" i="35" s="1"/>
  <c r="J11" i="35"/>
  <c r="J10" i="35"/>
  <c r="J9" i="35"/>
  <c r="W9" i="35" s="1"/>
  <c r="N8" i="35"/>
  <c r="J8" i="35"/>
  <c r="V8" i="35" s="1"/>
  <c r="J7" i="35"/>
  <c r="V7" i="35" s="1"/>
  <c r="N6" i="35"/>
  <c r="J6" i="35"/>
  <c r="W6" i="35" s="1"/>
  <c r="N4" i="35"/>
  <c r="W50" i="35" l="1"/>
  <c r="V53" i="35"/>
  <c r="V86" i="35"/>
  <c r="V108" i="35"/>
  <c r="V116" i="35"/>
  <c r="V124" i="35"/>
  <c r="W134" i="35"/>
  <c r="W136" i="35"/>
  <c r="W12" i="35"/>
  <c r="W36" i="35"/>
  <c r="W46" i="35"/>
  <c r="V114" i="35"/>
  <c r="V122" i="35"/>
  <c r="W174" i="35"/>
  <c r="W176" i="35"/>
  <c r="W178" i="35"/>
  <c r="W165" i="35"/>
  <c r="V40" i="35"/>
  <c r="W37" i="35"/>
  <c r="W33" i="35"/>
  <c r="V164" i="35"/>
  <c r="W161" i="35"/>
  <c r="V24" i="35"/>
  <c r="W21" i="35"/>
  <c r="V20" i="35"/>
  <c r="W17" i="35"/>
  <c r="W7" i="35"/>
  <c r="V93" i="35"/>
  <c r="V146" i="35"/>
  <c r="W143" i="35"/>
  <c r="V142" i="35"/>
  <c r="V87" i="35"/>
  <c r="W84" i="35"/>
  <c r="W71" i="35"/>
  <c r="V70" i="35"/>
  <c r="W138" i="35"/>
  <c r="V68" i="35"/>
  <c r="N10" i="35"/>
  <c r="W133" i="35"/>
  <c r="V141" i="35"/>
  <c r="V145" i="35"/>
  <c r="V152" i="35"/>
  <c r="W158" i="35"/>
  <c r="W160" i="35"/>
  <c r="V163" i="35"/>
  <c r="W171" i="35"/>
  <c r="W135" i="35"/>
  <c r="W137" i="35"/>
  <c r="W139" i="35"/>
  <c r="V144" i="35"/>
  <c r="V150" i="35"/>
  <c r="V162" i="35"/>
  <c r="V166" i="35"/>
  <c r="J179" i="35"/>
  <c r="V148" i="35"/>
  <c r="W157" i="35"/>
  <c r="W159" i="35"/>
  <c r="W172" i="35"/>
  <c r="W80" i="35"/>
  <c r="V85" i="35"/>
  <c r="V92" i="35"/>
  <c r="W100" i="35"/>
  <c r="V88" i="35"/>
  <c r="V91" i="35"/>
  <c r="V16" i="35"/>
  <c r="V6" i="35"/>
  <c r="W25" i="35"/>
  <c r="V28" i="35"/>
  <c r="W32" i="35"/>
  <c r="W41" i="35"/>
  <c r="W29" i="35"/>
  <c r="W8" i="35"/>
  <c r="V13" i="35"/>
  <c r="W13" i="35"/>
  <c r="W168" i="35"/>
  <c r="V168" i="35"/>
  <c r="W72" i="35"/>
  <c r="V72" i="35"/>
  <c r="W98" i="35"/>
  <c r="V98" i="35"/>
  <c r="V11" i="35"/>
  <c r="W11" i="35"/>
  <c r="W77" i="35"/>
  <c r="V77" i="35"/>
  <c r="V10" i="35"/>
  <c r="W10" i="35"/>
  <c r="V73" i="35"/>
  <c r="W73" i="35"/>
  <c r="V42" i="35"/>
  <c r="W42" i="35"/>
  <c r="W89" i="35"/>
  <c r="V89" i="35"/>
  <c r="W106" i="35"/>
  <c r="V106" i="35"/>
  <c r="W154" i="35"/>
  <c r="V154" i="35"/>
  <c r="V15" i="35"/>
  <c r="V19" i="35"/>
  <c r="V23" i="35"/>
  <c r="V27" i="35"/>
  <c r="V31" i="35"/>
  <c r="V35" i="35"/>
  <c r="V39" i="35"/>
  <c r="V44" i="35"/>
  <c r="V48" i="35"/>
  <c r="V52" i="35"/>
  <c r="V69" i="35"/>
  <c r="V75" i="35"/>
  <c r="V78" i="35"/>
  <c r="W79" i="35"/>
  <c r="W83" i="35"/>
  <c r="W90" i="35"/>
  <c r="V95" i="35"/>
  <c r="V97" i="35"/>
  <c r="W99" i="35"/>
  <c r="V99" i="35"/>
  <c r="W101" i="35"/>
  <c r="V101" i="35"/>
  <c r="V107" i="35"/>
  <c r="V140" i="35"/>
  <c r="W156" i="35"/>
  <c r="J59" i="35"/>
  <c r="V9" i="35"/>
  <c r="V14" i="35"/>
  <c r="V18" i="35"/>
  <c r="V22" i="35"/>
  <c r="V26" i="35"/>
  <c r="V30" i="35"/>
  <c r="V34" i="35"/>
  <c r="V38" i="35"/>
  <c r="V43" i="35"/>
  <c r="V47" i="35"/>
  <c r="V51" i="35"/>
  <c r="V54" i="35"/>
  <c r="V57" i="35"/>
  <c r="W74" i="35"/>
  <c r="V76" i="35"/>
  <c r="W82" i="35"/>
  <c r="V109" i="35"/>
  <c r="V111" i="35"/>
  <c r="V113" i="35"/>
  <c r="V115" i="35"/>
  <c r="V117" i="35"/>
  <c r="V119" i="35"/>
  <c r="V121" i="35"/>
  <c r="V123" i="35"/>
  <c r="W140" i="35"/>
  <c r="V147" i="35"/>
  <c r="V149" i="35"/>
  <c r="V151" i="35"/>
  <c r="V153" i="35"/>
  <c r="W155" i="35"/>
  <c r="V155" i="35"/>
  <c r="W170" i="35"/>
  <c r="J125" i="35"/>
  <c r="V67" i="35"/>
  <c r="W81" i="35"/>
  <c r="V94" i="35"/>
  <c r="V96" i="35"/>
  <c r="V167" i="35"/>
  <c r="W169" i="35"/>
  <c r="V169" i="35"/>
  <c r="H170" i="34"/>
  <c r="H168" i="34"/>
  <c r="H167" i="34"/>
  <c r="H161" i="34"/>
  <c r="H156" i="34"/>
  <c r="H154" i="34"/>
  <c r="H146" i="34"/>
  <c r="H140" i="34"/>
  <c r="H106" i="34"/>
  <c r="H105" i="34"/>
  <c r="H104" i="34"/>
  <c r="H103" i="34"/>
  <c r="H102" i="34"/>
  <c r="H100" i="34"/>
  <c r="H98" i="34"/>
  <c r="H94" i="34"/>
  <c r="H91" i="34"/>
  <c r="H90" i="34"/>
  <c r="H89" i="34"/>
  <c r="H88" i="34"/>
  <c r="H86" i="34"/>
  <c r="H84" i="34"/>
  <c r="H42" i="34"/>
  <c r="J42" i="34"/>
  <c r="V42" i="34" s="1"/>
  <c r="J43" i="34"/>
  <c r="V43" i="34" s="1"/>
  <c r="J147" i="34"/>
  <c r="J148" i="34"/>
  <c r="J149" i="34"/>
  <c r="J150" i="34"/>
  <c r="J151" i="34"/>
  <c r="J20" i="34"/>
  <c r="J21" i="34"/>
  <c r="J22" i="34"/>
  <c r="J23" i="34"/>
  <c r="W179" i="35" l="1"/>
  <c r="P8" i="35" s="1"/>
  <c r="V179" i="35"/>
  <c r="O8" i="35" s="1"/>
  <c r="R8" i="35" s="1"/>
  <c r="W125" i="35"/>
  <c r="P6" i="35" s="1"/>
  <c r="V125" i="35"/>
  <c r="O6" i="35" s="1"/>
  <c r="R6" i="35" s="1"/>
  <c r="V59" i="35"/>
  <c r="O4" i="35" s="1"/>
  <c r="R4" i="35" s="1"/>
  <c r="W59" i="35"/>
  <c r="P4" i="35" s="1"/>
  <c r="W43" i="34"/>
  <c r="W42" i="34"/>
  <c r="H79" i="34"/>
  <c r="H77" i="34"/>
  <c r="H76" i="34"/>
  <c r="H75" i="34"/>
  <c r="J75" i="34" s="1"/>
  <c r="W75" i="34" s="1"/>
  <c r="H13" i="34"/>
  <c r="H73" i="34"/>
  <c r="H72" i="34"/>
  <c r="H11" i="34"/>
  <c r="J11" i="34" s="1"/>
  <c r="V11" i="34" s="1"/>
  <c r="H10" i="34"/>
  <c r="H69" i="34"/>
  <c r="J69" i="34" s="1"/>
  <c r="V69" i="34" s="1"/>
  <c r="H68" i="34"/>
  <c r="H7" i="33"/>
  <c r="H8" i="33"/>
  <c r="H10" i="33"/>
  <c r="H15" i="33"/>
  <c r="H18" i="33"/>
  <c r="H20" i="33"/>
  <c r="H23" i="33"/>
  <c r="H36" i="33"/>
  <c r="J178" i="34"/>
  <c r="V178" i="34" s="1"/>
  <c r="J177" i="34"/>
  <c r="V177" i="34" s="1"/>
  <c r="J176" i="34"/>
  <c r="V176" i="34" s="1"/>
  <c r="J175" i="34"/>
  <c r="V175" i="34" s="1"/>
  <c r="J174" i="34"/>
  <c r="V174" i="34" s="1"/>
  <c r="J173" i="34"/>
  <c r="V173" i="34" s="1"/>
  <c r="J172" i="34"/>
  <c r="V172" i="34" s="1"/>
  <c r="J171" i="34"/>
  <c r="V171" i="34" s="1"/>
  <c r="J170" i="34"/>
  <c r="V170" i="34" s="1"/>
  <c r="J169" i="34"/>
  <c r="V169" i="34" s="1"/>
  <c r="J168" i="34"/>
  <c r="V168" i="34" s="1"/>
  <c r="J167" i="34"/>
  <c r="V167" i="34" s="1"/>
  <c r="J166" i="34"/>
  <c r="V166" i="34" s="1"/>
  <c r="J165" i="34"/>
  <c r="V165" i="34" s="1"/>
  <c r="J164" i="34"/>
  <c r="V164" i="34" s="1"/>
  <c r="J163" i="34"/>
  <c r="W163" i="34" s="1"/>
  <c r="J162" i="34"/>
  <c r="W162" i="34" s="1"/>
  <c r="J161" i="34"/>
  <c r="W161" i="34" s="1"/>
  <c r="J160" i="34"/>
  <c r="W160" i="34" s="1"/>
  <c r="J159" i="34"/>
  <c r="W159" i="34" s="1"/>
  <c r="J158" i="34"/>
  <c r="W158" i="34" s="1"/>
  <c r="J157" i="34"/>
  <c r="W157" i="34" s="1"/>
  <c r="J156" i="34"/>
  <c r="W156" i="34" s="1"/>
  <c r="J155" i="34"/>
  <c r="W155" i="34" s="1"/>
  <c r="J154" i="34"/>
  <c r="W154" i="34" s="1"/>
  <c r="J153" i="34"/>
  <c r="W153" i="34" s="1"/>
  <c r="J152" i="34"/>
  <c r="W152" i="34" s="1"/>
  <c r="J146" i="34"/>
  <c r="J145" i="34"/>
  <c r="J144" i="34"/>
  <c r="J143" i="34"/>
  <c r="J142" i="34"/>
  <c r="J141" i="34"/>
  <c r="J140" i="34"/>
  <c r="W140" i="34" s="1"/>
  <c r="J139" i="34"/>
  <c r="W139" i="34" s="1"/>
  <c r="J138" i="34"/>
  <c r="W138" i="34" s="1"/>
  <c r="J137" i="34"/>
  <c r="V137" i="34" s="1"/>
  <c r="J136" i="34"/>
  <c r="W136" i="34" s="1"/>
  <c r="J135" i="34"/>
  <c r="J134" i="34"/>
  <c r="B134" i="34"/>
  <c r="B135" i="34" s="1"/>
  <c r="B136" i="34" s="1"/>
  <c r="B137" i="34" s="1"/>
  <c r="B138" i="34" s="1"/>
  <c r="B139" i="34" s="1"/>
  <c r="B140" i="34" s="1"/>
  <c r="B141" i="34" s="1"/>
  <c r="B142" i="34" s="1"/>
  <c r="B143" i="34" s="1"/>
  <c r="B144" i="34" s="1"/>
  <c r="B145" i="34" s="1"/>
  <c r="B146" i="34" s="1"/>
  <c r="B147" i="34" s="1"/>
  <c r="B148" i="34" s="1"/>
  <c r="B149" i="34" s="1"/>
  <c r="B150" i="34" s="1"/>
  <c r="B151" i="34" s="1"/>
  <c r="B152" i="34" s="1"/>
  <c r="B153" i="34" s="1"/>
  <c r="B154" i="34" s="1"/>
  <c r="B155" i="34" s="1"/>
  <c r="B156" i="34" s="1"/>
  <c r="B157" i="34" s="1"/>
  <c r="B158" i="34" s="1"/>
  <c r="B159" i="34" s="1"/>
  <c r="B160" i="34" s="1"/>
  <c r="B161" i="34" s="1"/>
  <c r="B162" i="34" s="1"/>
  <c r="B163" i="34" s="1"/>
  <c r="B164" i="34" s="1"/>
  <c r="B165" i="34" s="1"/>
  <c r="B166" i="34" s="1"/>
  <c r="B167" i="34" s="1"/>
  <c r="B168" i="34" s="1"/>
  <c r="B169" i="34" s="1"/>
  <c r="B170" i="34" s="1"/>
  <c r="B171" i="34" s="1"/>
  <c r="B172" i="34" s="1"/>
  <c r="B173" i="34" s="1"/>
  <c r="B174" i="34" s="1"/>
  <c r="B175" i="34" s="1"/>
  <c r="B176" i="34" s="1"/>
  <c r="B177" i="34" s="1"/>
  <c r="B178" i="34" s="1"/>
  <c r="J133" i="34"/>
  <c r="J124" i="34"/>
  <c r="V124" i="34" s="1"/>
  <c r="W123" i="34"/>
  <c r="J123" i="34"/>
  <c r="V123" i="34" s="1"/>
  <c r="J122" i="34"/>
  <c r="V122" i="34" s="1"/>
  <c r="W121" i="34"/>
  <c r="J121" i="34"/>
  <c r="V121" i="34" s="1"/>
  <c r="J120" i="34"/>
  <c r="V120" i="34" s="1"/>
  <c r="W119" i="34"/>
  <c r="J119" i="34"/>
  <c r="V119" i="34" s="1"/>
  <c r="J118" i="34"/>
  <c r="V118" i="34" s="1"/>
  <c r="W117" i="34"/>
  <c r="J117" i="34"/>
  <c r="V117" i="34" s="1"/>
  <c r="J116" i="34"/>
  <c r="V116" i="34" s="1"/>
  <c r="W115" i="34"/>
  <c r="J115" i="34"/>
  <c r="V115" i="34" s="1"/>
  <c r="J114" i="34"/>
  <c r="V114" i="34" s="1"/>
  <c r="W113" i="34"/>
  <c r="J113" i="34"/>
  <c r="V113" i="34" s="1"/>
  <c r="J112" i="34"/>
  <c r="V112" i="34" s="1"/>
  <c r="W111" i="34"/>
  <c r="J111" i="34"/>
  <c r="V111" i="34" s="1"/>
  <c r="J110" i="34"/>
  <c r="V110" i="34" s="1"/>
  <c r="W109" i="34"/>
  <c r="J109" i="34"/>
  <c r="V109" i="34" s="1"/>
  <c r="J108" i="34"/>
  <c r="V108" i="34" s="1"/>
  <c r="B108" i="34"/>
  <c r="B109" i="34" s="1"/>
  <c r="B110" i="34" s="1"/>
  <c r="B111" i="34" s="1"/>
  <c r="B112" i="34" s="1"/>
  <c r="B113" i="34" s="1"/>
  <c r="B114" i="34" s="1"/>
  <c r="B115" i="34" s="1"/>
  <c r="B116" i="34" s="1"/>
  <c r="B117" i="34" s="1"/>
  <c r="B118" i="34" s="1"/>
  <c r="B119" i="34" s="1"/>
  <c r="B120" i="34" s="1"/>
  <c r="B121" i="34" s="1"/>
  <c r="B122" i="34" s="1"/>
  <c r="B123" i="34" s="1"/>
  <c r="B124" i="34" s="1"/>
  <c r="J107" i="34"/>
  <c r="V107" i="34" s="1"/>
  <c r="J106" i="34"/>
  <c r="V106" i="34" s="1"/>
  <c r="J105" i="34"/>
  <c r="J104" i="34"/>
  <c r="J103" i="34"/>
  <c r="J102" i="34"/>
  <c r="J101" i="34"/>
  <c r="V101" i="34" s="1"/>
  <c r="J100" i="34"/>
  <c r="V100" i="34" s="1"/>
  <c r="J99" i="34"/>
  <c r="W99" i="34" s="1"/>
  <c r="J98" i="34"/>
  <c r="V98" i="34" s="1"/>
  <c r="J97" i="34"/>
  <c r="V97" i="34" s="1"/>
  <c r="J96" i="34"/>
  <c r="W96" i="34" s="1"/>
  <c r="J95" i="34"/>
  <c r="V95" i="34" s="1"/>
  <c r="J94" i="34"/>
  <c r="V94" i="34" s="1"/>
  <c r="J93" i="34"/>
  <c r="V93" i="34" s="1"/>
  <c r="J92" i="34"/>
  <c r="W92" i="34" s="1"/>
  <c r="J91" i="34"/>
  <c r="W91" i="34" s="1"/>
  <c r="J90" i="34"/>
  <c r="W90" i="34" s="1"/>
  <c r="J89" i="34"/>
  <c r="V89" i="34" s="1"/>
  <c r="J88" i="34"/>
  <c r="V88" i="34" s="1"/>
  <c r="J87" i="34"/>
  <c r="V87" i="34" s="1"/>
  <c r="J86" i="34"/>
  <c r="V86" i="34" s="1"/>
  <c r="J85" i="34"/>
  <c r="W85" i="34" s="1"/>
  <c r="J84" i="34"/>
  <c r="V84" i="34" s="1"/>
  <c r="J83" i="34"/>
  <c r="W83" i="34" s="1"/>
  <c r="J82" i="34"/>
  <c r="W82" i="34" s="1"/>
  <c r="J81" i="34"/>
  <c r="W81" i="34" s="1"/>
  <c r="W80" i="34"/>
  <c r="J80" i="34"/>
  <c r="V80" i="34" s="1"/>
  <c r="J79" i="34"/>
  <c r="V79" i="34" s="1"/>
  <c r="J78" i="34"/>
  <c r="J77" i="34"/>
  <c r="W77" i="34" s="1"/>
  <c r="J76" i="34"/>
  <c r="W76" i="34" s="1"/>
  <c r="J74" i="34"/>
  <c r="W74" i="34" s="1"/>
  <c r="J73" i="34"/>
  <c r="W73" i="34" s="1"/>
  <c r="J72" i="34"/>
  <c r="W72" i="34" s="1"/>
  <c r="J71" i="34"/>
  <c r="W71" i="34" s="1"/>
  <c r="J70" i="34"/>
  <c r="J68" i="34"/>
  <c r="W68" i="34" s="1"/>
  <c r="B68" i="34"/>
  <c r="B69" i="34" s="1"/>
  <c r="B70" i="34" s="1"/>
  <c r="B71" i="34" s="1"/>
  <c r="B72" i="34" s="1"/>
  <c r="B73" i="34" s="1"/>
  <c r="B74" i="34" s="1"/>
  <c r="B75" i="34" s="1"/>
  <c r="B76" i="34" s="1"/>
  <c r="B77" i="34" s="1"/>
  <c r="B78" i="34" s="1"/>
  <c r="B79" i="34" s="1"/>
  <c r="B80" i="34" s="1"/>
  <c r="B81" i="34" s="1"/>
  <c r="B82" i="34" s="1"/>
  <c r="B83" i="34" s="1"/>
  <c r="B84" i="34" s="1"/>
  <c r="B85" i="34" s="1"/>
  <c r="B86" i="34" s="1"/>
  <c r="B87" i="34" s="1"/>
  <c r="B88" i="34" s="1"/>
  <c r="B89" i="34" s="1"/>
  <c r="B90" i="34" s="1"/>
  <c r="B91" i="34" s="1"/>
  <c r="B92" i="34" s="1"/>
  <c r="B93" i="34" s="1"/>
  <c r="B94" i="34" s="1"/>
  <c r="B95" i="34" s="1"/>
  <c r="B96" i="34" s="1"/>
  <c r="B97" i="34" s="1"/>
  <c r="B98" i="34" s="1"/>
  <c r="B99" i="34" s="1"/>
  <c r="B100" i="34" s="1"/>
  <c r="J67" i="34"/>
  <c r="V67" i="34" s="1"/>
  <c r="J58" i="34"/>
  <c r="W58" i="34" s="1"/>
  <c r="J57" i="34"/>
  <c r="W57" i="34" s="1"/>
  <c r="J56" i="34"/>
  <c r="W56" i="34" s="1"/>
  <c r="J55" i="34"/>
  <c r="V55" i="34" s="1"/>
  <c r="J54" i="34"/>
  <c r="W54" i="34" s="1"/>
  <c r="J53" i="34"/>
  <c r="W53" i="34" s="1"/>
  <c r="J52" i="34"/>
  <c r="W52" i="34" s="1"/>
  <c r="J51" i="34"/>
  <c r="V51" i="34" s="1"/>
  <c r="J50" i="34"/>
  <c r="W50" i="34" s="1"/>
  <c r="J49" i="34"/>
  <c r="W49" i="34" s="1"/>
  <c r="J48" i="34"/>
  <c r="W48" i="34" s="1"/>
  <c r="J47" i="34"/>
  <c r="V47" i="34" s="1"/>
  <c r="J46" i="34"/>
  <c r="J45" i="34"/>
  <c r="J44" i="34"/>
  <c r="J41" i="34"/>
  <c r="V41" i="34" s="1"/>
  <c r="J40" i="34"/>
  <c r="W40" i="34" s="1"/>
  <c r="J39" i="34"/>
  <c r="W39" i="34" s="1"/>
  <c r="J38" i="34"/>
  <c r="W38" i="34" s="1"/>
  <c r="J37" i="34"/>
  <c r="V37" i="34" s="1"/>
  <c r="J36" i="34"/>
  <c r="J35" i="34"/>
  <c r="W35" i="34" s="1"/>
  <c r="J34" i="34"/>
  <c r="W34" i="34" s="1"/>
  <c r="J33" i="34"/>
  <c r="W33" i="34" s="1"/>
  <c r="J32" i="34"/>
  <c r="V32" i="34" s="1"/>
  <c r="J31" i="34"/>
  <c r="W31" i="34" s="1"/>
  <c r="J30" i="34"/>
  <c r="W30" i="34" s="1"/>
  <c r="J29" i="34"/>
  <c r="W29" i="34" s="1"/>
  <c r="J28" i="34"/>
  <c r="V28" i="34" s="1"/>
  <c r="J27" i="34"/>
  <c r="W27" i="34" s="1"/>
  <c r="J26" i="34"/>
  <c r="W26" i="34" s="1"/>
  <c r="J25" i="34"/>
  <c r="W25" i="34" s="1"/>
  <c r="J24" i="34"/>
  <c r="V24" i="34" s="1"/>
  <c r="W22" i="34"/>
  <c r="W21" i="34"/>
  <c r="J19" i="34"/>
  <c r="W19" i="34" s="1"/>
  <c r="J18" i="34"/>
  <c r="V18" i="34" s="1"/>
  <c r="J17" i="34"/>
  <c r="V17" i="34" s="1"/>
  <c r="J16" i="34"/>
  <c r="W16" i="34" s="1"/>
  <c r="J15" i="34"/>
  <c r="W15" i="34" s="1"/>
  <c r="J14" i="34"/>
  <c r="W14" i="34" s="1"/>
  <c r="J13" i="34"/>
  <c r="W13" i="34" s="1"/>
  <c r="J12" i="34"/>
  <c r="V12" i="34" s="1"/>
  <c r="J10" i="34"/>
  <c r="W10" i="34" s="1"/>
  <c r="J9" i="34"/>
  <c r="V9" i="34" s="1"/>
  <c r="N8" i="34"/>
  <c r="J8" i="34"/>
  <c r="W8" i="34" s="1"/>
  <c r="J7" i="34"/>
  <c r="V7" i="34" s="1"/>
  <c r="N6" i="34"/>
  <c r="J6" i="34"/>
  <c r="N4" i="34"/>
  <c r="W46" i="34" l="1"/>
  <c r="V46" i="34"/>
  <c r="W108" i="34"/>
  <c r="W110" i="34"/>
  <c r="W112" i="34"/>
  <c r="W114" i="34"/>
  <c r="W116" i="34"/>
  <c r="W118" i="34"/>
  <c r="W120" i="34"/>
  <c r="W122" i="34"/>
  <c r="W124" i="34"/>
  <c r="Q8" i="35"/>
  <c r="Q4" i="35"/>
  <c r="P10" i="35"/>
  <c r="Q6" i="35"/>
  <c r="O10" i="35"/>
  <c r="R10" i="35" s="1"/>
  <c r="P12" i="35" s="1"/>
  <c r="W106" i="34"/>
  <c r="W45" i="34"/>
  <c r="V45" i="34"/>
  <c r="W44" i="34"/>
  <c r="V44" i="34"/>
  <c r="W47" i="34"/>
  <c r="V54" i="34"/>
  <c r="V48" i="34"/>
  <c r="V58" i="34"/>
  <c r="W41" i="34"/>
  <c r="V38" i="34"/>
  <c r="V33" i="34"/>
  <c r="V27" i="34"/>
  <c r="W24" i="34"/>
  <c r="V22" i="34"/>
  <c r="V50" i="34"/>
  <c r="V52" i="34"/>
  <c r="V56" i="34"/>
  <c r="W167" i="34"/>
  <c r="W169" i="34"/>
  <c r="W171" i="34"/>
  <c r="W173" i="34"/>
  <c r="W175" i="34"/>
  <c r="W177" i="34"/>
  <c r="V29" i="34"/>
  <c r="W51" i="34"/>
  <c r="W55" i="34"/>
  <c r="W166" i="34"/>
  <c r="W168" i="34"/>
  <c r="W170" i="34"/>
  <c r="W172" i="34"/>
  <c r="W174" i="34"/>
  <c r="W176" i="34"/>
  <c r="W178" i="34"/>
  <c r="V81" i="34"/>
  <c r="V19" i="34"/>
  <c r="W18" i="34"/>
  <c r="W17" i="34"/>
  <c r="W12" i="34"/>
  <c r="V139" i="34"/>
  <c r="V10" i="34"/>
  <c r="J59" i="34"/>
  <c r="V8" i="34"/>
  <c r="V136" i="34"/>
  <c r="V140" i="34"/>
  <c r="V153" i="34"/>
  <c r="V155" i="34"/>
  <c r="V157" i="34"/>
  <c r="V159" i="34"/>
  <c r="V161" i="34"/>
  <c r="V163" i="34"/>
  <c r="W165" i="34"/>
  <c r="W137" i="34"/>
  <c r="V152" i="34"/>
  <c r="V154" i="34"/>
  <c r="V156" i="34"/>
  <c r="V158" i="34"/>
  <c r="V160" i="34"/>
  <c r="V162" i="34"/>
  <c r="W164" i="34"/>
  <c r="V68" i="34"/>
  <c r="V91" i="34"/>
  <c r="W101" i="34"/>
  <c r="W79" i="34"/>
  <c r="N10" i="34"/>
  <c r="W69" i="34"/>
  <c r="V92" i="34"/>
  <c r="W7" i="34"/>
  <c r="V25" i="34"/>
  <c r="W32" i="34"/>
  <c r="W37" i="34"/>
  <c r="V6" i="34"/>
  <c r="W9" i="34"/>
  <c r="W11" i="34"/>
  <c r="V13" i="34"/>
  <c r="V16" i="34"/>
  <c r="W28" i="34"/>
  <c r="V35" i="34"/>
  <c r="V40" i="34"/>
  <c r="W6" i="34"/>
  <c r="V31" i="34"/>
  <c r="W20" i="34"/>
  <c r="V20" i="34"/>
  <c r="V23" i="34"/>
  <c r="W23" i="34"/>
  <c r="W70" i="34"/>
  <c r="V70" i="34"/>
  <c r="W78" i="34"/>
  <c r="V78" i="34"/>
  <c r="V36" i="34"/>
  <c r="W36" i="34"/>
  <c r="W135" i="34"/>
  <c r="V135" i="34"/>
  <c r="W144" i="34"/>
  <c r="V144" i="34"/>
  <c r="W148" i="34"/>
  <c r="V148" i="34"/>
  <c r="V14" i="34"/>
  <c r="V15" i="34"/>
  <c r="V21" i="34"/>
  <c r="V26" i="34"/>
  <c r="V30" i="34"/>
  <c r="V34" i="34"/>
  <c r="V39" i="34"/>
  <c r="V49" i="34"/>
  <c r="V53" i="34"/>
  <c r="V57" i="34"/>
  <c r="J125" i="34"/>
  <c r="V71" i="34"/>
  <c r="V72" i="34"/>
  <c r="V73" i="34"/>
  <c r="V74" i="34"/>
  <c r="V75" i="34"/>
  <c r="V76" i="34"/>
  <c r="V77" i="34"/>
  <c r="V82" i="34"/>
  <c r="V83" i="34"/>
  <c r="W84" i="34"/>
  <c r="W87" i="34"/>
  <c r="W89" i="34"/>
  <c r="W93" i="34"/>
  <c r="W95" i="34"/>
  <c r="W98" i="34"/>
  <c r="W107" i="34"/>
  <c r="W133" i="34"/>
  <c r="J179" i="34"/>
  <c r="V133" i="34"/>
  <c r="V138" i="34"/>
  <c r="W141" i="34"/>
  <c r="V141" i="34"/>
  <c r="W145" i="34"/>
  <c r="V145" i="34"/>
  <c r="W149" i="34"/>
  <c r="V149" i="34"/>
  <c r="W142" i="34"/>
  <c r="V142" i="34"/>
  <c r="W146" i="34"/>
  <c r="V146" i="34"/>
  <c r="W150" i="34"/>
  <c r="V150" i="34"/>
  <c r="W67" i="34"/>
  <c r="V85" i="34"/>
  <c r="W86" i="34"/>
  <c r="W88" i="34"/>
  <c r="V90" i="34"/>
  <c r="W94" i="34"/>
  <c r="V96" i="34"/>
  <c r="W97" i="34"/>
  <c r="V99" i="34"/>
  <c r="W100" i="34"/>
  <c r="W134" i="34"/>
  <c r="V134" i="34"/>
  <c r="W143" i="34"/>
  <c r="V143" i="34"/>
  <c r="W147" i="34"/>
  <c r="V147" i="34"/>
  <c r="W151" i="34"/>
  <c r="V151" i="34"/>
  <c r="H162" i="33"/>
  <c r="H103" i="33"/>
  <c r="J103" i="33" s="1"/>
  <c r="H102" i="33"/>
  <c r="J102" i="33" s="1"/>
  <c r="J101" i="33"/>
  <c r="J100" i="33"/>
  <c r="H99" i="33"/>
  <c r="J99" i="33" s="1"/>
  <c r="V99" i="33" s="1"/>
  <c r="H98" i="33"/>
  <c r="H97" i="33"/>
  <c r="J42" i="33"/>
  <c r="V42" i="33" s="1"/>
  <c r="Q10" i="35" l="1"/>
  <c r="W59" i="34"/>
  <c r="P4" i="34" s="1"/>
  <c r="V125" i="34"/>
  <c r="O6" i="34" s="1"/>
  <c r="R6" i="34" s="1"/>
  <c r="V59" i="34"/>
  <c r="O4" i="34" s="1"/>
  <c r="Q4" i="34" s="1"/>
  <c r="W179" i="34"/>
  <c r="P8" i="34" s="1"/>
  <c r="W125" i="34"/>
  <c r="P6" i="34" s="1"/>
  <c r="V179" i="34"/>
  <c r="O8" i="34" s="1"/>
  <c r="W99" i="33"/>
  <c r="W42" i="33"/>
  <c r="H149" i="33"/>
  <c r="H139" i="33"/>
  <c r="H136" i="33"/>
  <c r="J136" i="33" s="1"/>
  <c r="V136" i="33" s="1"/>
  <c r="H135" i="33"/>
  <c r="H133" i="33"/>
  <c r="H95" i="33"/>
  <c r="H94" i="33"/>
  <c r="J94" i="33" s="1"/>
  <c r="H91" i="33"/>
  <c r="H88" i="33"/>
  <c r="H84" i="33"/>
  <c r="H83" i="33"/>
  <c r="J83" i="33" s="1"/>
  <c r="H82" i="33"/>
  <c r="H81" i="33"/>
  <c r="H77" i="33"/>
  <c r="H76" i="33"/>
  <c r="J76" i="33" s="1"/>
  <c r="V76" i="33" s="1"/>
  <c r="H69" i="33"/>
  <c r="H68" i="33"/>
  <c r="H67" i="33"/>
  <c r="J6" i="33"/>
  <c r="W6" i="33" s="1"/>
  <c r="J176" i="33"/>
  <c r="V176" i="33" s="1"/>
  <c r="J175" i="33"/>
  <c r="V175" i="33" s="1"/>
  <c r="J174" i="33"/>
  <c r="V174" i="33" s="1"/>
  <c r="J173" i="33"/>
  <c r="V173" i="33" s="1"/>
  <c r="J172" i="33"/>
  <c r="V172" i="33" s="1"/>
  <c r="J171" i="33"/>
  <c r="V171" i="33" s="1"/>
  <c r="J170" i="33"/>
  <c r="V170" i="33" s="1"/>
  <c r="J169" i="33"/>
  <c r="V169" i="33" s="1"/>
  <c r="J168" i="33"/>
  <c r="V168" i="33" s="1"/>
  <c r="J167" i="33"/>
  <c r="V167" i="33" s="1"/>
  <c r="J166" i="33"/>
  <c r="V166" i="33" s="1"/>
  <c r="J165" i="33"/>
  <c r="V165" i="33" s="1"/>
  <c r="J164" i="33"/>
  <c r="V164" i="33" s="1"/>
  <c r="J163" i="33"/>
  <c r="V163" i="33" s="1"/>
  <c r="J162" i="33"/>
  <c r="V162" i="33" s="1"/>
  <c r="J161" i="33"/>
  <c r="V161" i="33" s="1"/>
  <c r="J160" i="33"/>
  <c r="V160" i="33" s="1"/>
  <c r="J159" i="33"/>
  <c r="V159" i="33" s="1"/>
  <c r="J158" i="33"/>
  <c r="V158" i="33" s="1"/>
  <c r="J157" i="33"/>
  <c r="V157" i="33" s="1"/>
  <c r="J156" i="33"/>
  <c r="V156" i="33" s="1"/>
  <c r="J155" i="33"/>
  <c r="V155" i="33" s="1"/>
  <c r="J154" i="33"/>
  <c r="V154" i="33" s="1"/>
  <c r="J153" i="33"/>
  <c r="V153" i="33" s="1"/>
  <c r="J152" i="33"/>
  <c r="V152" i="33" s="1"/>
  <c r="J151" i="33"/>
  <c r="V151" i="33" s="1"/>
  <c r="J150" i="33"/>
  <c r="V150" i="33" s="1"/>
  <c r="J149" i="33"/>
  <c r="V149" i="33" s="1"/>
  <c r="J148" i="33"/>
  <c r="V148" i="33" s="1"/>
  <c r="J147" i="33"/>
  <c r="V147" i="33" s="1"/>
  <c r="J146" i="33"/>
  <c r="V146" i="33" s="1"/>
  <c r="J145" i="33"/>
  <c r="V145" i="33" s="1"/>
  <c r="J144" i="33"/>
  <c r="V144" i="33" s="1"/>
  <c r="J143" i="33"/>
  <c r="V143" i="33" s="1"/>
  <c r="J142" i="33"/>
  <c r="V142" i="33" s="1"/>
  <c r="J141" i="33"/>
  <c r="V141" i="33" s="1"/>
  <c r="J140" i="33"/>
  <c r="V140" i="33" s="1"/>
  <c r="J139" i="33"/>
  <c r="V139" i="33" s="1"/>
  <c r="J138" i="33"/>
  <c r="V138" i="33" s="1"/>
  <c r="J137" i="33"/>
  <c r="V137" i="33" s="1"/>
  <c r="J135" i="33"/>
  <c r="V135" i="33" s="1"/>
  <c r="J134" i="33"/>
  <c r="V134" i="33" s="1"/>
  <c r="J133" i="33"/>
  <c r="V133" i="33" s="1"/>
  <c r="J132" i="33"/>
  <c r="V132" i="33" s="1"/>
  <c r="B132" i="33"/>
  <c r="B133" i="33" s="1"/>
  <c r="B134" i="33" s="1"/>
  <c r="B135" i="33" s="1"/>
  <c r="B136" i="33" s="1"/>
  <c r="B137" i="33" s="1"/>
  <c r="B138" i="33" s="1"/>
  <c r="B139" i="33" s="1"/>
  <c r="B140" i="33" s="1"/>
  <c r="B141" i="33" s="1"/>
  <c r="B142" i="33" s="1"/>
  <c r="B143" i="33" s="1"/>
  <c r="B144" i="33" s="1"/>
  <c r="B145" i="33" s="1"/>
  <c r="B146" i="33" s="1"/>
  <c r="B147" i="33" s="1"/>
  <c r="B148" i="33" s="1"/>
  <c r="B149" i="33" s="1"/>
  <c r="B150" i="33" s="1"/>
  <c r="B151" i="33" s="1"/>
  <c r="B152" i="33" s="1"/>
  <c r="B153" i="33" s="1"/>
  <c r="B154" i="33" s="1"/>
  <c r="B155" i="33" s="1"/>
  <c r="B156" i="33" s="1"/>
  <c r="B157" i="33" s="1"/>
  <c r="B158" i="33" s="1"/>
  <c r="B159" i="33" s="1"/>
  <c r="B160" i="33" s="1"/>
  <c r="B161" i="33" s="1"/>
  <c r="B162" i="33" s="1"/>
  <c r="B163" i="33" s="1"/>
  <c r="B164" i="33" s="1"/>
  <c r="B165" i="33" s="1"/>
  <c r="B166" i="33" s="1"/>
  <c r="B167" i="33" s="1"/>
  <c r="B168" i="33" s="1"/>
  <c r="B169" i="33" s="1"/>
  <c r="B170" i="33" s="1"/>
  <c r="B171" i="33" s="1"/>
  <c r="B172" i="33" s="1"/>
  <c r="B173" i="33" s="1"/>
  <c r="B174" i="33" s="1"/>
  <c r="B175" i="33" s="1"/>
  <c r="B176" i="33" s="1"/>
  <c r="J131" i="33"/>
  <c r="V131" i="33" s="1"/>
  <c r="J122" i="33"/>
  <c r="J121" i="33"/>
  <c r="J120" i="33"/>
  <c r="J119" i="33"/>
  <c r="J118" i="33"/>
  <c r="J117" i="33"/>
  <c r="J116" i="33"/>
  <c r="J115" i="33"/>
  <c r="J114" i="33"/>
  <c r="J113" i="33"/>
  <c r="J112" i="33"/>
  <c r="J111" i="33"/>
  <c r="J110" i="33"/>
  <c r="J109" i="33"/>
  <c r="J108" i="33"/>
  <c r="J107" i="33"/>
  <c r="J106" i="33"/>
  <c r="J105" i="33"/>
  <c r="J104" i="33"/>
  <c r="J98" i="33"/>
  <c r="J97" i="33"/>
  <c r="J96" i="33"/>
  <c r="J95" i="33"/>
  <c r="J93" i="33"/>
  <c r="J92" i="33"/>
  <c r="J91" i="33"/>
  <c r="J90" i="33"/>
  <c r="J89" i="33"/>
  <c r="J88" i="33"/>
  <c r="J87" i="33"/>
  <c r="J86" i="33"/>
  <c r="J85" i="33"/>
  <c r="J84" i="33"/>
  <c r="J82" i="33"/>
  <c r="J81" i="33"/>
  <c r="J80" i="33"/>
  <c r="J79" i="33"/>
  <c r="J78" i="33"/>
  <c r="V78" i="33" s="1"/>
  <c r="J77" i="33"/>
  <c r="V77" i="33" s="1"/>
  <c r="J75" i="33"/>
  <c r="V75" i="33" s="1"/>
  <c r="J74" i="33"/>
  <c r="V74" i="33" s="1"/>
  <c r="J73" i="33"/>
  <c r="V73" i="33" s="1"/>
  <c r="J72" i="33"/>
  <c r="V72" i="33" s="1"/>
  <c r="J71" i="33"/>
  <c r="V71" i="33" s="1"/>
  <c r="J70" i="33"/>
  <c r="V70" i="33" s="1"/>
  <c r="J69" i="33"/>
  <c r="V69" i="33" s="1"/>
  <c r="J68" i="33"/>
  <c r="V68" i="33" s="1"/>
  <c r="J67" i="33"/>
  <c r="V67" i="33" s="1"/>
  <c r="J66" i="33"/>
  <c r="V66" i="33" s="1"/>
  <c r="B66" i="33"/>
  <c r="B67" i="33" s="1"/>
  <c r="B68" i="33" s="1"/>
  <c r="B69" i="33" s="1"/>
  <c r="B70" i="33" s="1"/>
  <c r="B71" i="33" s="1"/>
  <c r="B72" i="33" s="1"/>
  <c r="B73" i="33" s="1"/>
  <c r="B74" i="33" s="1"/>
  <c r="B75" i="33" s="1"/>
  <c r="B76" i="33" s="1"/>
  <c r="B77" i="33" s="1"/>
  <c r="B78" i="33" s="1"/>
  <c r="B79" i="33" s="1"/>
  <c r="B80" i="33" s="1"/>
  <c r="B81" i="33" s="1"/>
  <c r="B82" i="33" s="1"/>
  <c r="B83" i="33" s="1"/>
  <c r="B84" i="33" s="1"/>
  <c r="B85" i="33" s="1"/>
  <c r="B86" i="33" s="1"/>
  <c r="B87" i="33" s="1"/>
  <c r="B88" i="33" s="1"/>
  <c r="B89" i="33" s="1"/>
  <c r="B90" i="33" s="1"/>
  <c r="B91" i="33" s="1"/>
  <c r="B92" i="33" s="1"/>
  <c r="B93" i="33" s="1"/>
  <c r="B94" i="33" s="1"/>
  <c r="B95" i="33" s="1"/>
  <c r="B96" i="33" s="1"/>
  <c r="B97" i="33" s="1"/>
  <c r="B98" i="33" s="1"/>
  <c r="B106" i="33" s="1"/>
  <c r="B107" i="33" s="1"/>
  <c r="B108" i="33" s="1"/>
  <c r="B109" i="33" s="1"/>
  <c r="B110" i="33" s="1"/>
  <c r="B111" i="33" s="1"/>
  <c r="B112" i="33" s="1"/>
  <c r="B113" i="33" s="1"/>
  <c r="B114" i="33" s="1"/>
  <c r="B115" i="33" s="1"/>
  <c r="B116" i="33" s="1"/>
  <c r="B117" i="33" s="1"/>
  <c r="B118" i="33" s="1"/>
  <c r="B119" i="33" s="1"/>
  <c r="B120" i="33" s="1"/>
  <c r="B121" i="33" s="1"/>
  <c r="B122" i="33" s="1"/>
  <c r="J65" i="33"/>
  <c r="W65" i="33" s="1"/>
  <c r="J56" i="33"/>
  <c r="W56" i="33" s="1"/>
  <c r="J55" i="33"/>
  <c r="W55" i="33" s="1"/>
  <c r="J54" i="33"/>
  <c r="V54" i="33" s="1"/>
  <c r="J53" i="33"/>
  <c r="W53" i="33" s="1"/>
  <c r="J52" i="33"/>
  <c r="V52" i="33" s="1"/>
  <c r="J51" i="33"/>
  <c r="W51" i="33" s="1"/>
  <c r="J50" i="33"/>
  <c r="V50" i="33" s="1"/>
  <c r="J49" i="33"/>
  <c r="W49" i="33" s="1"/>
  <c r="J48" i="33"/>
  <c r="W48" i="33" s="1"/>
  <c r="J47" i="33"/>
  <c r="W47" i="33" s="1"/>
  <c r="J46" i="33"/>
  <c r="V46" i="33" s="1"/>
  <c r="J45" i="33"/>
  <c r="V45" i="33" s="1"/>
  <c r="J44" i="33"/>
  <c r="W44" i="33" s="1"/>
  <c r="J43" i="33"/>
  <c r="W43" i="33" s="1"/>
  <c r="J41" i="33"/>
  <c r="V41" i="33" s="1"/>
  <c r="J40" i="33"/>
  <c r="W40" i="33" s="1"/>
  <c r="J39" i="33"/>
  <c r="W39" i="33" s="1"/>
  <c r="J38" i="33"/>
  <c r="W38" i="33" s="1"/>
  <c r="J37" i="33"/>
  <c r="V37" i="33" s="1"/>
  <c r="J36" i="33"/>
  <c r="W36" i="33" s="1"/>
  <c r="J35" i="33"/>
  <c r="V35" i="33" s="1"/>
  <c r="J34" i="33"/>
  <c r="W34" i="33" s="1"/>
  <c r="J33" i="33"/>
  <c r="V33" i="33" s="1"/>
  <c r="J32" i="33"/>
  <c r="W32" i="33" s="1"/>
  <c r="J31" i="33"/>
  <c r="W31" i="33" s="1"/>
  <c r="J30" i="33"/>
  <c r="W30" i="33" s="1"/>
  <c r="J29" i="33"/>
  <c r="V29" i="33" s="1"/>
  <c r="J28" i="33"/>
  <c r="W28" i="33" s="1"/>
  <c r="J27" i="33"/>
  <c r="V27" i="33" s="1"/>
  <c r="J26" i="33"/>
  <c r="W26" i="33" s="1"/>
  <c r="J25" i="33"/>
  <c r="V25" i="33" s="1"/>
  <c r="J24" i="33"/>
  <c r="V24" i="33" s="1"/>
  <c r="J23" i="33"/>
  <c r="W23" i="33" s="1"/>
  <c r="J22" i="33"/>
  <c r="W22" i="33" s="1"/>
  <c r="J21" i="33"/>
  <c r="V21" i="33" s="1"/>
  <c r="J20" i="33"/>
  <c r="V20" i="33" s="1"/>
  <c r="J19" i="33"/>
  <c r="V19" i="33" s="1"/>
  <c r="J18" i="33"/>
  <c r="W18" i="33" s="1"/>
  <c r="J17" i="33"/>
  <c r="V17" i="33" s="1"/>
  <c r="J16" i="33"/>
  <c r="W16" i="33" s="1"/>
  <c r="J15" i="33"/>
  <c r="V15" i="33" s="1"/>
  <c r="J14" i="33"/>
  <c r="W14" i="33" s="1"/>
  <c r="J13" i="33"/>
  <c r="V13" i="33" s="1"/>
  <c r="J12" i="33"/>
  <c r="W12" i="33" s="1"/>
  <c r="J11" i="33"/>
  <c r="W11" i="33" s="1"/>
  <c r="J10" i="33"/>
  <c r="W10" i="33" s="1"/>
  <c r="J9" i="33"/>
  <c r="V9" i="33" s="1"/>
  <c r="N8" i="33"/>
  <c r="J8" i="33"/>
  <c r="W8" i="33" s="1"/>
  <c r="J7" i="33"/>
  <c r="W7" i="33" s="1"/>
  <c r="N6" i="33"/>
  <c r="N4" i="33"/>
  <c r="W165" i="33" l="1"/>
  <c r="W167" i="33"/>
  <c r="W169" i="33"/>
  <c r="W171" i="33"/>
  <c r="W173" i="33"/>
  <c r="W175" i="33"/>
  <c r="W166" i="33"/>
  <c r="W168" i="33"/>
  <c r="W170" i="33"/>
  <c r="W172" i="33"/>
  <c r="W174" i="33"/>
  <c r="W176" i="33"/>
  <c r="Q6" i="34"/>
  <c r="O10" i="34"/>
  <c r="R10" i="34" s="1"/>
  <c r="P12" i="34" s="1"/>
  <c r="R4" i="34"/>
  <c r="P10" i="34"/>
  <c r="R8" i="34"/>
  <c r="Q8" i="34"/>
  <c r="W45" i="33"/>
  <c r="W21" i="33"/>
  <c r="W46" i="33"/>
  <c r="V49" i="33"/>
  <c r="W54" i="33"/>
  <c r="W50" i="33"/>
  <c r="V53" i="33"/>
  <c r="V40" i="33"/>
  <c r="W37" i="33"/>
  <c r="V28" i="33"/>
  <c r="W25" i="33"/>
  <c r="W24" i="33"/>
  <c r="V12" i="33"/>
  <c r="V11" i="33"/>
  <c r="W131" i="33"/>
  <c r="W133" i="33"/>
  <c r="W135" i="33"/>
  <c r="W137" i="33"/>
  <c r="W139" i="33"/>
  <c r="W141" i="33"/>
  <c r="W143" i="33"/>
  <c r="W145" i="33"/>
  <c r="W147" i="33"/>
  <c r="W149" i="33"/>
  <c r="W151" i="33"/>
  <c r="W153" i="33"/>
  <c r="W155" i="33"/>
  <c r="W157" i="33"/>
  <c r="W159" i="33"/>
  <c r="W161" i="33"/>
  <c r="W163" i="33"/>
  <c r="W132" i="33"/>
  <c r="W134" i="33"/>
  <c r="W136" i="33"/>
  <c r="W138" i="33"/>
  <c r="W140" i="33"/>
  <c r="W142" i="33"/>
  <c r="W144" i="33"/>
  <c r="W146" i="33"/>
  <c r="W148" i="33"/>
  <c r="W150" i="33"/>
  <c r="W152" i="33"/>
  <c r="W154" i="33"/>
  <c r="W156" i="33"/>
  <c r="W158" i="33"/>
  <c r="W160" i="33"/>
  <c r="W162" i="33"/>
  <c r="W164" i="33"/>
  <c r="W67" i="33"/>
  <c r="W69" i="33"/>
  <c r="W71" i="33"/>
  <c r="W73" i="33"/>
  <c r="W75" i="33"/>
  <c r="W77" i="33"/>
  <c r="W66" i="33"/>
  <c r="W68" i="33"/>
  <c r="W70" i="33"/>
  <c r="W72" i="33"/>
  <c r="W74" i="33"/>
  <c r="W76" i="33"/>
  <c r="W78" i="33"/>
  <c r="W33" i="33"/>
  <c r="V36" i="33"/>
  <c r="J57" i="33"/>
  <c r="V10" i="33"/>
  <c r="W13" i="33"/>
  <c r="V16" i="33"/>
  <c r="W20" i="33"/>
  <c r="W29" i="33"/>
  <c r="V32" i="33"/>
  <c r="W17" i="33"/>
  <c r="W41" i="33"/>
  <c r="V23" i="33"/>
  <c r="N10" i="33"/>
  <c r="W80" i="33"/>
  <c r="V80" i="33"/>
  <c r="W88" i="33"/>
  <c r="V88" i="33"/>
  <c r="W96" i="33"/>
  <c r="V96" i="33"/>
  <c r="W109" i="33"/>
  <c r="V109" i="33"/>
  <c r="W117" i="33"/>
  <c r="V117" i="33"/>
  <c r="V31" i="33"/>
  <c r="V39" i="33"/>
  <c r="V44" i="33"/>
  <c r="V48" i="33"/>
  <c r="V56" i="33"/>
  <c r="V7" i="33"/>
  <c r="V8" i="33"/>
  <c r="W9" i="33"/>
  <c r="V14" i="33"/>
  <c r="W15" i="33"/>
  <c r="V18" i="33"/>
  <c r="W19" i="33"/>
  <c r="V22" i="33"/>
  <c r="V26" i="33"/>
  <c r="W27" i="33"/>
  <c r="V30" i="33"/>
  <c r="V34" i="33"/>
  <c r="W35" i="33"/>
  <c r="V38" i="33"/>
  <c r="V43" i="33"/>
  <c r="V47" i="33"/>
  <c r="V51" i="33"/>
  <c r="W52" i="33"/>
  <c r="V55" i="33"/>
  <c r="J123" i="33"/>
  <c r="W79" i="33"/>
  <c r="V79" i="33"/>
  <c r="W82" i="33"/>
  <c r="V82" i="33"/>
  <c r="W86" i="33"/>
  <c r="V86" i="33"/>
  <c r="W90" i="33"/>
  <c r="V90" i="33"/>
  <c r="W94" i="33"/>
  <c r="V94" i="33"/>
  <c r="W98" i="33"/>
  <c r="V98" i="33"/>
  <c r="W107" i="33"/>
  <c r="V107" i="33"/>
  <c r="W111" i="33"/>
  <c r="V111" i="33"/>
  <c r="W115" i="33"/>
  <c r="V115" i="33"/>
  <c r="W119" i="33"/>
  <c r="V119" i="33"/>
  <c r="W84" i="33"/>
  <c r="V84" i="33"/>
  <c r="W92" i="33"/>
  <c r="V92" i="33"/>
  <c r="W105" i="33"/>
  <c r="V105" i="33"/>
  <c r="W113" i="33"/>
  <c r="V113" i="33"/>
  <c r="W121" i="33"/>
  <c r="V121" i="33"/>
  <c r="W81" i="33"/>
  <c r="V81" i="33"/>
  <c r="W85" i="33"/>
  <c r="V85" i="33"/>
  <c r="W89" i="33"/>
  <c r="V89" i="33"/>
  <c r="W93" i="33"/>
  <c r="V93" i="33"/>
  <c r="W97" i="33"/>
  <c r="V97" i="33"/>
  <c r="W106" i="33"/>
  <c r="V106" i="33"/>
  <c r="W110" i="33"/>
  <c r="V110" i="33"/>
  <c r="W114" i="33"/>
  <c r="V114" i="33"/>
  <c r="W118" i="33"/>
  <c r="V118" i="33"/>
  <c r="W122" i="33"/>
  <c r="V122" i="33"/>
  <c r="V6" i="33"/>
  <c r="V65" i="33"/>
  <c r="W83" i="33"/>
  <c r="V83" i="33"/>
  <c r="W87" i="33"/>
  <c r="V87" i="33"/>
  <c r="W91" i="33"/>
  <c r="V91" i="33"/>
  <c r="W95" i="33"/>
  <c r="V95" i="33"/>
  <c r="W104" i="33"/>
  <c r="V104" i="33"/>
  <c r="W108" i="33"/>
  <c r="V108" i="33"/>
  <c r="W112" i="33"/>
  <c r="V112" i="33"/>
  <c r="W116" i="33"/>
  <c r="V116" i="33"/>
  <c r="W120" i="33"/>
  <c r="V120" i="33"/>
  <c r="V177" i="33"/>
  <c r="O8" i="33" s="1"/>
  <c r="J177" i="33"/>
  <c r="N8" i="32"/>
  <c r="N6" i="32"/>
  <c r="N4" i="32"/>
  <c r="Q10" i="34" l="1"/>
  <c r="W177" i="33"/>
  <c r="P8" i="33" s="1"/>
  <c r="Q8" i="33" s="1"/>
  <c r="W123" i="33"/>
  <c r="P6" i="33" s="1"/>
  <c r="V123" i="33"/>
  <c r="O6" i="33" s="1"/>
  <c r="R6" i="33" s="1"/>
  <c r="W57" i="33"/>
  <c r="P4" i="33" s="1"/>
  <c r="R8" i="33"/>
  <c r="V57" i="33"/>
  <c r="O4" i="33" s="1"/>
  <c r="N10" i="32"/>
  <c r="J170" i="32"/>
  <c r="J169" i="32"/>
  <c r="J168" i="32"/>
  <c r="J167" i="32"/>
  <c r="J166" i="32"/>
  <c r="J165" i="32"/>
  <c r="J164" i="32"/>
  <c r="J163" i="32"/>
  <c r="J162" i="32"/>
  <c r="J161" i="32"/>
  <c r="J160" i="32"/>
  <c r="J159" i="32"/>
  <c r="J158" i="32"/>
  <c r="J157" i="32"/>
  <c r="J156" i="32"/>
  <c r="J155" i="32"/>
  <c r="J154" i="32"/>
  <c r="J153" i="32"/>
  <c r="J152" i="32"/>
  <c r="J151" i="32"/>
  <c r="J150" i="32"/>
  <c r="J149" i="32"/>
  <c r="J148" i="32"/>
  <c r="J147" i="32"/>
  <c r="J146" i="32"/>
  <c r="J145" i="32"/>
  <c r="J144" i="32"/>
  <c r="J143" i="32"/>
  <c r="J142" i="32"/>
  <c r="J141" i="32"/>
  <c r="J140" i="32"/>
  <c r="J139" i="32"/>
  <c r="J138" i="32"/>
  <c r="J137" i="32"/>
  <c r="J136" i="32"/>
  <c r="J135" i="32"/>
  <c r="J134" i="32"/>
  <c r="J133" i="32"/>
  <c r="J132" i="32"/>
  <c r="J131" i="32"/>
  <c r="J130" i="32"/>
  <c r="J129" i="32"/>
  <c r="J128" i="32"/>
  <c r="J127" i="32"/>
  <c r="J126" i="32"/>
  <c r="B126" i="32"/>
  <c r="B127" i="32" s="1"/>
  <c r="B128" i="32" s="1"/>
  <c r="B129" i="32" s="1"/>
  <c r="B130" i="32" s="1"/>
  <c r="B131" i="32" s="1"/>
  <c r="B132" i="32" s="1"/>
  <c r="B133" i="32" s="1"/>
  <c r="B134" i="32" s="1"/>
  <c r="B135" i="32" s="1"/>
  <c r="B136" i="32" s="1"/>
  <c r="B137" i="32" s="1"/>
  <c r="B138" i="32" s="1"/>
  <c r="B139" i="32" s="1"/>
  <c r="B140" i="32" s="1"/>
  <c r="B141" i="32" s="1"/>
  <c r="B142" i="32" s="1"/>
  <c r="B143" i="32" s="1"/>
  <c r="B144" i="32" s="1"/>
  <c r="B145" i="32" s="1"/>
  <c r="B146" i="32" s="1"/>
  <c r="B147" i="32" s="1"/>
  <c r="B148" i="32" s="1"/>
  <c r="B149" i="32" s="1"/>
  <c r="B150" i="32" s="1"/>
  <c r="B151" i="32" s="1"/>
  <c r="B152" i="32" s="1"/>
  <c r="B153" i="32" s="1"/>
  <c r="B154" i="32" s="1"/>
  <c r="B155" i="32" s="1"/>
  <c r="B156" i="32" s="1"/>
  <c r="B157" i="32" s="1"/>
  <c r="B158" i="32" s="1"/>
  <c r="B159" i="32" s="1"/>
  <c r="B160" i="32" s="1"/>
  <c r="B161" i="32" s="1"/>
  <c r="B162" i="32" s="1"/>
  <c r="B163" i="32" s="1"/>
  <c r="B164" i="32" s="1"/>
  <c r="B165" i="32" s="1"/>
  <c r="B166" i="32" s="1"/>
  <c r="B167" i="32" s="1"/>
  <c r="B168" i="32" s="1"/>
  <c r="B169" i="32" s="1"/>
  <c r="B170" i="32" s="1"/>
  <c r="J125" i="32"/>
  <c r="J116" i="32"/>
  <c r="J115" i="32"/>
  <c r="J114" i="32"/>
  <c r="J113" i="32"/>
  <c r="J112" i="32"/>
  <c r="J111" i="32"/>
  <c r="J110" i="32"/>
  <c r="J109" i="32"/>
  <c r="J108" i="32"/>
  <c r="J107" i="32"/>
  <c r="J106" i="32"/>
  <c r="J105" i="32"/>
  <c r="J104" i="32"/>
  <c r="J103" i="32"/>
  <c r="J102" i="32"/>
  <c r="J101" i="32"/>
  <c r="J100" i="32"/>
  <c r="J99" i="32"/>
  <c r="J98" i="32"/>
  <c r="J97" i="32"/>
  <c r="J96" i="32"/>
  <c r="J95" i="32"/>
  <c r="J94" i="32"/>
  <c r="J93" i="32"/>
  <c r="J92" i="32"/>
  <c r="J91" i="32"/>
  <c r="J90" i="32"/>
  <c r="J89" i="32"/>
  <c r="J88" i="32"/>
  <c r="J87" i="32"/>
  <c r="J86" i="32"/>
  <c r="J85" i="32"/>
  <c r="J84" i="32"/>
  <c r="J83" i="32"/>
  <c r="J82" i="32"/>
  <c r="J81" i="32"/>
  <c r="J80" i="32"/>
  <c r="J79" i="32"/>
  <c r="J78" i="32"/>
  <c r="J77" i="32"/>
  <c r="J76" i="32"/>
  <c r="J75" i="32"/>
  <c r="J74" i="32"/>
  <c r="J73" i="32"/>
  <c r="J72" i="32"/>
  <c r="J71" i="32"/>
  <c r="J70" i="32"/>
  <c r="J69" i="32"/>
  <c r="J68" i="32"/>
  <c r="J67" i="32"/>
  <c r="J66" i="32"/>
  <c r="J65" i="32"/>
  <c r="B65" i="32"/>
  <c r="B66" i="32" s="1"/>
  <c r="B67" i="32" s="1"/>
  <c r="B68" i="32" s="1"/>
  <c r="B69" i="32" s="1"/>
  <c r="B70" i="32" s="1"/>
  <c r="B71" i="32" s="1"/>
  <c r="B72" i="32" s="1"/>
  <c r="B73" i="32" s="1"/>
  <c r="B74" i="32" s="1"/>
  <c r="B75" i="32" s="1"/>
  <c r="B76" i="32" s="1"/>
  <c r="B77" i="32" s="1"/>
  <c r="B78" i="32" s="1"/>
  <c r="B79" i="32" s="1"/>
  <c r="B80" i="32" s="1"/>
  <c r="B81" i="32" s="1"/>
  <c r="B82" i="32" s="1"/>
  <c r="B83" i="32" s="1"/>
  <c r="B84" i="32" s="1"/>
  <c r="B85" i="32" s="1"/>
  <c r="B86" i="32" s="1"/>
  <c r="B87" i="32" s="1"/>
  <c r="B88" i="32" s="1"/>
  <c r="B89" i="32" s="1"/>
  <c r="B90" i="32" s="1"/>
  <c r="B91" i="32" s="1"/>
  <c r="B92" i="32" s="1"/>
  <c r="B93" i="32" s="1"/>
  <c r="B94" i="32" s="1"/>
  <c r="B95" i="32" s="1"/>
  <c r="B96" i="32" s="1"/>
  <c r="B97" i="32" s="1"/>
  <c r="B98" i="32" s="1"/>
  <c r="B99" i="32" s="1"/>
  <c r="B100" i="32" s="1"/>
  <c r="B101" i="32" s="1"/>
  <c r="B102" i="32" s="1"/>
  <c r="B103" i="32" s="1"/>
  <c r="B104" i="32" s="1"/>
  <c r="B105" i="32" s="1"/>
  <c r="B106" i="32" s="1"/>
  <c r="B107" i="32" s="1"/>
  <c r="B108" i="32" s="1"/>
  <c r="B109" i="32" s="1"/>
  <c r="B110" i="32" s="1"/>
  <c r="B111" i="32" s="1"/>
  <c r="B112" i="32" s="1"/>
  <c r="B113" i="32" s="1"/>
  <c r="B114" i="32" s="1"/>
  <c r="B115" i="32" s="1"/>
  <c r="B116" i="32" s="1"/>
  <c r="J64" i="32"/>
  <c r="J55" i="32"/>
  <c r="J54" i="32"/>
  <c r="J53" i="32"/>
  <c r="J52" i="32"/>
  <c r="J51" i="32"/>
  <c r="J50" i="32"/>
  <c r="J49" i="32"/>
  <c r="J48" i="32"/>
  <c r="J47" i="32"/>
  <c r="J46" i="32"/>
  <c r="J45" i="32"/>
  <c r="J44" i="32"/>
  <c r="J43" i="32"/>
  <c r="J42" i="32"/>
  <c r="J41" i="32"/>
  <c r="J40" i="32"/>
  <c r="J39" i="32"/>
  <c r="J38" i="32"/>
  <c r="J37" i="32"/>
  <c r="J36" i="32"/>
  <c r="J35" i="32"/>
  <c r="J34" i="32"/>
  <c r="J33" i="32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J6" i="32"/>
  <c r="P10" i="33" l="1"/>
  <c r="Q6" i="33"/>
  <c r="R4" i="33"/>
  <c r="O10" i="33"/>
  <c r="R10" i="33" s="1"/>
  <c r="P12" i="33" s="1"/>
  <c r="Q4" i="33"/>
  <c r="W6" i="32"/>
  <c r="V6" i="32"/>
  <c r="W16" i="32"/>
  <c r="V16" i="32"/>
  <c r="W28" i="32"/>
  <c r="V28" i="32"/>
  <c r="W40" i="32"/>
  <c r="V40" i="32"/>
  <c r="W48" i="32"/>
  <c r="V48" i="32"/>
  <c r="V67" i="32"/>
  <c r="W67" i="32"/>
  <c r="V75" i="32"/>
  <c r="W75" i="32"/>
  <c r="V91" i="32"/>
  <c r="W91" i="32"/>
  <c r="V99" i="32"/>
  <c r="W99" i="32"/>
  <c r="V111" i="32"/>
  <c r="W111" i="32"/>
  <c r="V126" i="32"/>
  <c r="W126" i="32"/>
  <c r="V130" i="32"/>
  <c r="W130" i="32"/>
  <c r="V138" i="32"/>
  <c r="W138" i="32"/>
  <c r="V146" i="32"/>
  <c r="W146" i="32"/>
  <c r="V154" i="32"/>
  <c r="W154" i="32"/>
  <c r="V166" i="32"/>
  <c r="W166" i="32"/>
  <c r="V9" i="32"/>
  <c r="W9" i="32"/>
  <c r="V25" i="32"/>
  <c r="W25" i="32"/>
  <c r="W68" i="32"/>
  <c r="V68" i="32"/>
  <c r="W72" i="32"/>
  <c r="V72" i="32"/>
  <c r="W76" i="32"/>
  <c r="V76" i="32"/>
  <c r="W80" i="32"/>
  <c r="V80" i="32"/>
  <c r="W84" i="32"/>
  <c r="V84" i="32"/>
  <c r="W88" i="32"/>
  <c r="V88" i="32"/>
  <c r="W92" i="32"/>
  <c r="V92" i="32"/>
  <c r="W96" i="32"/>
  <c r="V96" i="32"/>
  <c r="W100" i="32"/>
  <c r="V100" i="32"/>
  <c r="W104" i="32"/>
  <c r="V104" i="32"/>
  <c r="W108" i="32"/>
  <c r="V108" i="32"/>
  <c r="W112" i="32"/>
  <c r="V112" i="32"/>
  <c r="W116" i="32"/>
  <c r="V116" i="32"/>
  <c r="W127" i="32"/>
  <c r="V127" i="32"/>
  <c r="W131" i="32"/>
  <c r="V131" i="32"/>
  <c r="W135" i="32"/>
  <c r="V135" i="32"/>
  <c r="W139" i="32"/>
  <c r="V139" i="32"/>
  <c r="W143" i="32"/>
  <c r="V143" i="32"/>
  <c r="W147" i="32"/>
  <c r="V147" i="32"/>
  <c r="W151" i="32"/>
  <c r="V151" i="32"/>
  <c r="W155" i="32"/>
  <c r="V155" i="32"/>
  <c r="W159" i="32"/>
  <c r="V159" i="32"/>
  <c r="W163" i="32"/>
  <c r="V163" i="32"/>
  <c r="W167" i="32"/>
  <c r="V167" i="32"/>
  <c r="W12" i="32"/>
  <c r="V12" i="32"/>
  <c r="W24" i="32"/>
  <c r="V24" i="32"/>
  <c r="W36" i="32"/>
  <c r="V36" i="32"/>
  <c r="W52" i="32"/>
  <c r="V52" i="32"/>
  <c r="V83" i="32"/>
  <c r="W83" i="32"/>
  <c r="V107" i="32"/>
  <c r="W107" i="32"/>
  <c r="V170" i="32"/>
  <c r="W170" i="32"/>
  <c r="V13" i="32"/>
  <c r="W13" i="32"/>
  <c r="V21" i="32"/>
  <c r="W21" i="32"/>
  <c r="V29" i="32"/>
  <c r="W29" i="32"/>
  <c r="V33" i="32"/>
  <c r="W33" i="32"/>
  <c r="V37" i="32"/>
  <c r="W37" i="32"/>
  <c r="V41" i="32"/>
  <c r="W41" i="32"/>
  <c r="V45" i="32"/>
  <c r="W45" i="32"/>
  <c r="V49" i="32"/>
  <c r="W49" i="32"/>
  <c r="V53" i="32"/>
  <c r="W53" i="32"/>
  <c r="W7" i="32"/>
  <c r="V7" i="32"/>
  <c r="W10" i="32"/>
  <c r="V10" i="32"/>
  <c r="W14" i="32"/>
  <c r="V14" i="32"/>
  <c r="W18" i="32"/>
  <c r="V18" i="32"/>
  <c r="W22" i="32"/>
  <c r="V22" i="32"/>
  <c r="W26" i="32"/>
  <c r="V26" i="32"/>
  <c r="W30" i="32"/>
  <c r="V30" i="32"/>
  <c r="W34" i="32"/>
  <c r="V34" i="32"/>
  <c r="W38" i="32"/>
  <c r="V38" i="32"/>
  <c r="W42" i="32"/>
  <c r="V42" i="32"/>
  <c r="W46" i="32"/>
  <c r="V46" i="32"/>
  <c r="W50" i="32"/>
  <c r="V50" i="32"/>
  <c r="W54" i="32"/>
  <c r="V54" i="32"/>
  <c r="V65" i="32"/>
  <c r="W65" i="32"/>
  <c r="V69" i="32"/>
  <c r="W69" i="32"/>
  <c r="V73" i="32"/>
  <c r="W73" i="32"/>
  <c r="V77" i="32"/>
  <c r="W77" i="32"/>
  <c r="V81" i="32"/>
  <c r="W81" i="32"/>
  <c r="V85" i="32"/>
  <c r="W85" i="32"/>
  <c r="V89" i="32"/>
  <c r="W89" i="32"/>
  <c r="V93" i="32"/>
  <c r="W93" i="32"/>
  <c r="V97" i="32"/>
  <c r="W97" i="32"/>
  <c r="V101" i="32"/>
  <c r="W101" i="32"/>
  <c r="V105" i="32"/>
  <c r="W105" i="32"/>
  <c r="V109" i="32"/>
  <c r="W109" i="32"/>
  <c r="V113" i="32"/>
  <c r="W113" i="32"/>
  <c r="W125" i="32"/>
  <c r="V125" i="32"/>
  <c r="V128" i="32"/>
  <c r="W128" i="32"/>
  <c r="V132" i="32"/>
  <c r="W132" i="32"/>
  <c r="V136" i="32"/>
  <c r="W136" i="32"/>
  <c r="V140" i="32"/>
  <c r="W140" i="32"/>
  <c r="V144" i="32"/>
  <c r="W144" i="32"/>
  <c r="V148" i="32"/>
  <c r="W148" i="32"/>
  <c r="V152" i="32"/>
  <c r="W152" i="32"/>
  <c r="V156" i="32"/>
  <c r="W156" i="32"/>
  <c r="V160" i="32"/>
  <c r="W160" i="32"/>
  <c r="V164" i="32"/>
  <c r="W164" i="32"/>
  <c r="V168" i="32"/>
  <c r="W168" i="32"/>
  <c r="W20" i="32"/>
  <c r="V20" i="32"/>
  <c r="W32" i="32"/>
  <c r="V32" i="32"/>
  <c r="W44" i="32"/>
  <c r="V44" i="32"/>
  <c r="W64" i="32"/>
  <c r="V64" i="32"/>
  <c r="V71" i="32"/>
  <c r="W71" i="32"/>
  <c r="V79" i="32"/>
  <c r="W79" i="32"/>
  <c r="V87" i="32"/>
  <c r="W87" i="32"/>
  <c r="V95" i="32"/>
  <c r="W95" i="32"/>
  <c r="V103" i="32"/>
  <c r="W103" i="32"/>
  <c r="V115" i="32"/>
  <c r="W115" i="32"/>
  <c r="V134" i="32"/>
  <c r="W134" i="32"/>
  <c r="V142" i="32"/>
  <c r="W142" i="32"/>
  <c r="V150" i="32"/>
  <c r="W150" i="32"/>
  <c r="V158" i="32"/>
  <c r="W158" i="32"/>
  <c r="V162" i="32"/>
  <c r="W162" i="32"/>
  <c r="V17" i="32"/>
  <c r="W17" i="32"/>
  <c r="W8" i="32"/>
  <c r="V8" i="32"/>
  <c r="W11" i="32"/>
  <c r="V11" i="32"/>
  <c r="W15" i="32"/>
  <c r="V15" i="32"/>
  <c r="W19" i="32"/>
  <c r="V19" i="32"/>
  <c r="W23" i="32"/>
  <c r="V23" i="32"/>
  <c r="W27" i="32"/>
  <c r="V27" i="32"/>
  <c r="W31" i="32"/>
  <c r="V31" i="32"/>
  <c r="W35" i="32"/>
  <c r="V35" i="32"/>
  <c r="W39" i="32"/>
  <c r="V39" i="32"/>
  <c r="W43" i="32"/>
  <c r="V43" i="32"/>
  <c r="W47" i="32"/>
  <c r="V47" i="32"/>
  <c r="W51" i="32"/>
  <c r="V51" i="32"/>
  <c r="V55" i="32"/>
  <c r="W55" i="32"/>
  <c r="W66" i="32"/>
  <c r="V66" i="32"/>
  <c r="W70" i="32"/>
  <c r="V70" i="32"/>
  <c r="W74" i="32"/>
  <c r="V74" i="32"/>
  <c r="W78" i="32"/>
  <c r="V78" i="32"/>
  <c r="W82" i="32"/>
  <c r="V82" i="32"/>
  <c r="W86" i="32"/>
  <c r="V86" i="32"/>
  <c r="W90" i="32"/>
  <c r="V90" i="32"/>
  <c r="W94" i="32"/>
  <c r="V94" i="32"/>
  <c r="W98" i="32"/>
  <c r="V98" i="32"/>
  <c r="W102" i="32"/>
  <c r="V102" i="32"/>
  <c r="W106" i="32"/>
  <c r="V106" i="32"/>
  <c r="W110" i="32"/>
  <c r="V110" i="32"/>
  <c r="W114" i="32"/>
  <c r="V114" i="32"/>
  <c r="W129" i="32"/>
  <c r="V129" i="32"/>
  <c r="W133" i="32"/>
  <c r="V133" i="32"/>
  <c r="W137" i="32"/>
  <c r="V137" i="32"/>
  <c r="W141" i="32"/>
  <c r="V141" i="32"/>
  <c r="W145" i="32"/>
  <c r="V145" i="32"/>
  <c r="W149" i="32"/>
  <c r="V149" i="32"/>
  <c r="W153" i="32"/>
  <c r="V153" i="32"/>
  <c r="W157" i="32"/>
  <c r="V157" i="32"/>
  <c r="W161" i="32"/>
  <c r="V161" i="32"/>
  <c r="W165" i="32"/>
  <c r="V165" i="32"/>
  <c r="W169" i="32"/>
  <c r="V169" i="32"/>
  <c r="J56" i="32"/>
  <c r="J117" i="32"/>
  <c r="J171" i="32"/>
  <c r="J199" i="31"/>
  <c r="J200" i="31"/>
  <c r="J201" i="31"/>
  <c r="J202" i="31"/>
  <c r="J203" i="31"/>
  <c r="J52" i="31"/>
  <c r="J53" i="31"/>
  <c r="J54" i="31"/>
  <c r="J55" i="31"/>
  <c r="J56" i="31"/>
  <c r="J208" i="31"/>
  <c r="W208" i="31" s="1"/>
  <c r="J207" i="31"/>
  <c r="W207" i="31" s="1"/>
  <c r="J206" i="31"/>
  <c r="W206" i="31" s="1"/>
  <c r="V205" i="31"/>
  <c r="J205" i="31"/>
  <c r="W205" i="31" s="1"/>
  <c r="J204" i="31"/>
  <c r="J198" i="31"/>
  <c r="J197" i="31"/>
  <c r="J196" i="31"/>
  <c r="J195" i="31"/>
  <c r="J194" i="31"/>
  <c r="J193" i="31"/>
  <c r="J192" i="31"/>
  <c r="J191" i="31"/>
  <c r="J190" i="31"/>
  <c r="J189" i="31"/>
  <c r="J188" i="31"/>
  <c r="J187" i="31"/>
  <c r="J186" i="31"/>
  <c r="J185" i="31"/>
  <c r="J184" i="31"/>
  <c r="J183" i="31"/>
  <c r="J182" i="31"/>
  <c r="J181" i="31"/>
  <c r="J180" i="31"/>
  <c r="V180" i="31" s="1"/>
  <c r="J179" i="31"/>
  <c r="W179" i="31" s="1"/>
  <c r="J178" i="31"/>
  <c r="W178" i="31" s="1"/>
  <c r="J177" i="31"/>
  <c r="V177" i="31" s="1"/>
  <c r="J176" i="31"/>
  <c r="V176" i="31" s="1"/>
  <c r="J175" i="31"/>
  <c r="V175" i="31" s="1"/>
  <c r="J174" i="31"/>
  <c r="W174" i="31" s="1"/>
  <c r="J173" i="31"/>
  <c r="V173" i="31" s="1"/>
  <c r="J172" i="31"/>
  <c r="W172" i="31" s="1"/>
  <c r="J171" i="31"/>
  <c r="V171" i="31" s="1"/>
  <c r="J170" i="31"/>
  <c r="W170" i="31" s="1"/>
  <c r="J169" i="31"/>
  <c r="V169" i="31" s="1"/>
  <c r="J168" i="31"/>
  <c r="W168" i="31" s="1"/>
  <c r="J167" i="31"/>
  <c r="W167" i="31" s="1"/>
  <c r="J166" i="31"/>
  <c r="W166" i="31" s="1"/>
  <c r="J165" i="31"/>
  <c r="V165" i="31" s="1"/>
  <c r="J164" i="31"/>
  <c r="V164" i="31" s="1"/>
  <c r="B164" i="31"/>
  <c r="B165" i="31" s="1"/>
  <c r="B166" i="31" s="1"/>
  <c r="B167" i="31" s="1"/>
  <c r="B168" i="31" s="1"/>
  <c r="B169" i="31" s="1"/>
  <c r="B170" i="31" s="1"/>
  <c r="B171" i="31" s="1"/>
  <c r="B172" i="31" s="1"/>
  <c r="B173" i="31" s="1"/>
  <c r="B174" i="31" s="1"/>
  <c r="B175" i="31" s="1"/>
  <c r="B176" i="31" s="1"/>
  <c r="B177" i="31" s="1"/>
  <c r="B178" i="31" s="1"/>
  <c r="B179" i="31" s="1"/>
  <c r="B180" i="31" s="1"/>
  <c r="B181" i="31" s="1"/>
  <c r="B182" i="31" s="1"/>
  <c r="B183" i="31" s="1"/>
  <c r="B184" i="31" s="1"/>
  <c r="B185" i="31" s="1"/>
  <c r="B186" i="31" s="1"/>
  <c r="B187" i="31" s="1"/>
  <c r="B188" i="31" s="1"/>
  <c r="B189" i="31" s="1"/>
  <c r="B190" i="31" s="1"/>
  <c r="B191" i="31" s="1"/>
  <c r="B192" i="31" s="1"/>
  <c r="B193" i="31" s="1"/>
  <c r="B194" i="31" s="1"/>
  <c r="B195" i="31" s="1"/>
  <c r="B196" i="31" s="1"/>
  <c r="B197" i="31" s="1"/>
  <c r="B198" i="31" s="1"/>
  <c r="B199" i="31" s="1"/>
  <c r="B200" i="31" s="1"/>
  <c r="B201" i="31" s="1"/>
  <c r="B202" i="31" s="1"/>
  <c r="B203" i="31" s="1"/>
  <c r="B204" i="31" s="1"/>
  <c r="B205" i="31" s="1"/>
  <c r="B206" i="31" s="1"/>
  <c r="B207" i="31" s="1"/>
  <c r="B208" i="31" s="1"/>
  <c r="J163" i="31"/>
  <c r="V163" i="31" s="1"/>
  <c r="J154" i="31"/>
  <c r="W154" i="31" s="1"/>
  <c r="J153" i="31"/>
  <c r="J152" i="31"/>
  <c r="J151" i="31"/>
  <c r="J150" i="31"/>
  <c r="J149" i="31"/>
  <c r="J148" i="31"/>
  <c r="V148" i="31" s="1"/>
  <c r="J147" i="31"/>
  <c r="J146" i="31"/>
  <c r="J145" i="31"/>
  <c r="J144" i="31"/>
  <c r="J143" i="31"/>
  <c r="J142" i="31"/>
  <c r="J141" i="31"/>
  <c r="J140" i="31"/>
  <c r="W139" i="31"/>
  <c r="J139" i="31"/>
  <c r="V139" i="31" s="1"/>
  <c r="J138" i="31"/>
  <c r="V138" i="31" s="1"/>
  <c r="J137" i="31"/>
  <c r="V137" i="31" s="1"/>
  <c r="J136" i="31"/>
  <c r="W136" i="31" s="1"/>
  <c r="J135" i="31"/>
  <c r="V135" i="31" s="1"/>
  <c r="J134" i="31"/>
  <c r="V134" i="31" s="1"/>
  <c r="J133" i="31"/>
  <c r="W133" i="31" s="1"/>
  <c r="J132" i="31"/>
  <c r="W132" i="31" s="1"/>
  <c r="J131" i="31"/>
  <c r="V131" i="31" s="1"/>
  <c r="J130" i="31"/>
  <c r="V130" i="31" s="1"/>
  <c r="J129" i="31"/>
  <c r="J128" i="31"/>
  <c r="J127" i="31"/>
  <c r="J126" i="31"/>
  <c r="J125" i="31"/>
  <c r="J124" i="31"/>
  <c r="J123" i="31"/>
  <c r="J122" i="31"/>
  <c r="J121" i="31"/>
  <c r="J120" i="31"/>
  <c r="J119" i="31"/>
  <c r="V119" i="31" s="1"/>
  <c r="J118" i="31"/>
  <c r="V118" i="31" s="1"/>
  <c r="J117" i="31"/>
  <c r="W117" i="31" s="1"/>
  <c r="J116" i="31"/>
  <c r="W116" i="31" s="1"/>
  <c r="J115" i="31"/>
  <c r="V115" i="31" s="1"/>
  <c r="J114" i="31"/>
  <c r="W114" i="31" s="1"/>
  <c r="J113" i="31"/>
  <c r="V113" i="31" s="1"/>
  <c r="J112" i="31"/>
  <c r="W112" i="31" s="1"/>
  <c r="J111" i="31"/>
  <c r="V111" i="31" s="1"/>
  <c r="J110" i="31"/>
  <c r="W110" i="31" s="1"/>
  <c r="J109" i="31"/>
  <c r="V109" i="31" s="1"/>
  <c r="J108" i="31"/>
  <c r="W108" i="31" s="1"/>
  <c r="W107" i="31"/>
  <c r="J107" i="31"/>
  <c r="V107" i="31" s="1"/>
  <c r="W106" i="31"/>
  <c r="V106" i="31"/>
  <c r="J106" i="31"/>
  <c r="V12" i="31" s="1"/>
  <c r="W105" i="31"/>
  <c r="V105" i="31"/>
  <c r="J105" i="31"/>
  <c r="W11" i="31" s="1"/>
  <c r="W104" i="31"/>
  <c r="V104" i="31"/>
  <c r="J104" i="31"/>
  <c r="W10" i="31" s="1"/>
  <c r="W103" i="31"/>
  <c r="V103" i="31"/>
  <c r="J103" i="31"/>
  <c r="W9" i="31" s="1"/>
  <c r="B103" i="31"/>
  <c r="B104" i="31" s="1"/>
  <c r="B105" i="31" s="1"/>
  <c r="B106" i="31" s="1"/>
  <c r="B107" i="31" s="1"/>
  <c r="B108" i="31" s="1"/>
  <c r="B109" i="31" s="1"/>
  <c r="B110" i="31" s="1"/>
  <c r="B111" i="31" s="1"/>
  <c r="B112" i="31" s="1"/>
  <c r="B113" i="31" s="1"/>
  <c r="B114" i="31" s="1"/>
  <c r="B115" i="31" s="1"/>
  <c r="B116" i="31" s="1"/>
  <c r="B117" i="31" s="1"/>
  <c r="B118" i="31" s="1"/>
  <c r="B119" i="31" s="1"/>
  <c r="B120" i="31" s="1"/>
  <c r="B121" i="31" s="1"/>
  <c r="B122" i="31" s="1"/>
  <c r="B123" i="31" s="1"/>
  <c r="B124" i="31" s="1"/>
  <c r="B125" i="31" s="1"/>
  <c r="B126" i="31" s="1"/>
  <c r="B127" i="31" s="1"/>
  <c r="B128" i="31" s="1"/>
  <c r="B129" i="31" s="1"/>
  <c r="B130" i="31" s="1"/>
  <c r="B131" i="31" s="1"/>
  <c r="B132" i="31" s="1"/>
  <c r="B133" i="31" s="1"/>
  <c r="B134" i="31" s="1"/>
  <c r="B135" i="31" s="1"/>
  <c r="B136" i="31" s="1"/>
  <c r="B137" i="31" s="1"/>
  <c r="B138" i="31" s="1"/>
  <c r="B139" i="31" s="1"/>
  <c r="B140" i="31" s="1"/>
  <c r="B141" i="31" s="1"/>
  <c r="B142" i="31" s="1"/>
  <c r="B143" i="31" s="1"/>
  <c r="B144" i="31" s="1"/>
  <c r="B145" i="31" s="1"/>
  <c r="B146" i="31" s="1"/>
  <c r="B147" i="31" s="1"/>
  <c r="B148" i="31" s="1"/>
  <c r="B149" i="31" s="1"/>
  <c r="B150" i="31" s="1"/>
  <c r="B151" i="31" s="1"/>
  <c r="B152" i="31" s="1"/>
  <c r="B153" i="31" s="1"/>
  <c r="B154" i="31" s="1"/>
  <c r="W102" i="31"/>
  <c r="W155" i="31" s="1"/>
  <c r="V102" i="31"/>
  <c r="V155" i="31" s="1"/>
  <c r="J102" i="31"/>
  <c r="W8" i="31" s="1"/>
  <c r="J93" i="31"/>
  <c r="V93" i="31" s="1"/>
  <c r="W92" i="31"/>
  <c r="V92" i="31"/>
  <c r="J92" i="31"/>
  <c r="J91" i="31"/>
  <c r="J90" i="31"/>
  <c r="J89" i="31"/>
  <c r="V89" i="31" s="1"/>
  <c r="J88" i="31"/>
  <c r="W88" i="31" s="1"/>
  <c r="W87" i="31"/>
  <c r="J87" i="31"/>
  <c r="V87" i="31" s="1"/>
  <c r="J86" i="31"/>
  <c r="J85" i="31"/>
  <c r="J84" i="31"/>
  <c r="J83" i="31"/>
  <c r="J82" i="31"/>
  <c r="J81" i="31"/>
  <c r="J80" i="31"/>
  <c r="J79" i="31"/>
  <c r="J78" i="31"/>
  <c r="J77" i="31"/>
  <c r="J76" i="31"/>
  <c r="W76" i="31" s="1"/>
  <c r="J75" i="31"/>
  <c r="V75" i="31" s="1"/>
  <c r="J74" i="31"/>
  <c r="W74" i="31" s="1"/>
  <c r="J73" i="31"/>
  <c r="V73" i="31" s="1"/>
  <c r="J72" i="31"/>
  <c r="W72" i="31" s="1"/>
  <c r="W71" i="31"/>
  <c r="J71" i="31"/>
  <c r="V71" i="31" s="1"/>
  <c r="J70" i="31"/>
  <c r="W70" i="31" s="1"/>
  <c r="J69" i="31"/>
  <c r="V69" i="31" s="1"/>
  <c r="J68" i="31"/>
  <c r="W68" i="31" s="1"/>
  <c r="J67" i="31"/>
  <c r="V67" i="31" s="1"/>
  <c r="J66" i="31"/>
  <c r="W66" i="31" s="1"/>
  <c r="J65" i="31"/>
  <c r="V65" i="31" s="1"/>
  <c r="J64" i="31"/>
  <c r="W64" i="31" s="1"/>
  <c r="W63" i="31"/>
  <c r="J63" i="31"/>
  <c r="V63" i="31" s="1"/>
  <c r="J62" i="31"/>
  <c r="W62" i="31" s="1"/>
  <c r="J61" i="31"/>
  <c r="V61" i="31" s="1"/>
  <c r="J60" i="31"/>
  <c r="W60" i="31" s="1"/>
  <c r="J59" i="31"/>
  <c r="V59" i="31" s="1"/>
  <c r="J58" i="31"/>
  <c r="W58" i="31" s="1"/>
  <c r="J57" i="31"/>
  <c r="V57" i="31" s="1"/>
  <c r="J51" i="31"/>
  <c r="V51" i="31" s="1"/>
  <c r="J50" i="31"/>
  <c r="J49" i="31"/>
  <c r="J48" i="31"/>
  <c r="J47" i="31"/>
  <c r="J46" i="31"/>
  <c r="J45" i="31"/>
  <c r="V45" i="31" s="1"/>
  <c r="J44" i="31"/>
  <c r="W44" i="31" s="1"/>
  <c r="J43" i="31"/>
  <c r="W43" i="31" s="1"/>
  <c r="J42" i="31"/>
  <c r="V42" i="31" s="1"/>
  <c r="J41" i="31"/>
  <c r="V41" i="31" s="1"/>
  <c r="J40" i="31"/>
  <c r="V40" i="31" s="1"/>
  <c r="J39" i="31"/>
  <c r="W39" i="31" s="1"/>
  <c r="J38" i="31"/>
  <c r="V38" i="31" s="1"/>
  <c r="J37" i="31"/>
  <c r="V37" i="31" s="1"/>
  <c r="J36" i="31"/>
  <c r="V36" i="31" s="1"/>
  <c r="J35" i="31"/>
  <c r="W35" i="31" s="1"/>
  <c r="J34" i="31"/>
  <c r="V34" i="31" s="1"/>
  <c r="J33" i="31"/>
  <c r="W33" i="31" s="1"/>
  <c r="J32" i="31"/>
  <c r="V32" i="31" s="1"/>
  <c r="J31" i="31"/>
  <c r="W31" i="31" s="1"/>
  <c r="J30" i="31"/>
  <c r="V30" i="31" s="1"/>
  <c r="J29" i="31"/>
  <c r="V29" i="31" s="1"/>
  <c r="J28" i="31"/>
  <c r="W28" i="31" s="1"/>
  <c r="J27" i="31"/>
  <c r="W27" i="31" s="1"/>
  <c r="J26" i="31"/>
  <c r="V26" i="31" s="1"/>
  <c r="J25" i="31"/>
  <c r="V25" i="31" s="1"/>
  <c r="J24" i="31"/>
  <c r="V24" i="31" s="1"/>
  <c r="J23" i="31"/>
  <c r="W23" i="31" s="1"/>
  <c r="J22" i="31"/>
  <c r="V22" i="31" s="1"/>
  <c r="J21" i="31"/>
  <c r="V21" i="31" s="1"/>
  <c r="J20" i="31"/>
  <c r="W20" i="31" s="1"/>
  <c r="J19" i="31"/>
  <c r="W19" i="31" s="1"/>
  <c r="J18" i="31"/>
  <c r="V18" i="31" s="1"/>
  <c r="J17" i="31"/>
  <c r="W17" i="31" s="1"/>
  <c r="J16" i="31"/>
  <c r="V16" i="31" s="1"/>
  <c r="J15" i="31"/>
  <c r="J14" i="31"/>
  <c r="J13" i="31"/>
  <c r="W15" i="31" s="1"/>
  <c r="J12" i="31"/>
  <c r="V14" i="31" s="1"/>
  <c r="J11" i="31"/>
  <c r="V13" i="31" s="1"/>
  <c r="Q10" i="31"/>
  <c r="P10" i="31"/>
  <c r="O10" i="31"/>
  <c r="N10" i="31"/>
  <c r="J10" i="31"/>
  <c r="J9" i="31"/>
  <c r="R8" i="31"/>
  <c r="J8" i="31"/>
  <c r="J7" i="31"/>
  <c r="R6" i="31"/>
  <c r="J6" i="31"/>
  <c r="R4" i="31"/>
  <c r="J191" i="30"/>
  <c r="J192" i="30"/>
  <c r="J193" i="30"/>
  <c r="J46" i="30"/>
  <c r="J47" i="30"/>
  <c r="J48" i="30"/>
  <c r="J49" i="30"/>
  <c r="J50" i="30"/>
  <c r="J186" i="30"/>
  <c r="J187" i="30"/>
  <c r="J188" i="30"/>
  <c r="J189" i="30"/>
  <c r="J190" i="30"/>
  <c r="J194" i="30"/>
  <c r="J185" i="30"/>
  <c r="J184" i="30"/>
  <c r="W59" i="31" l="1"/>
  <c r="W75" i="31"/>
  <c r="W119" i="31"/>
  <c r="V133" i="31"/>
  <c r="W131" i="31"/>
  <c r="W175" i="31"/>
  <c r="W29" i="31"/>
  <c r="W67" i="31"/>
  <c r="Q10" i="33"/>
  <c r="W117" i="32"/>
  <c r="P6" i="32" s="1"/>
  <c r="V117" i="32"/>
  <c r="O6" i="32" s="1"/>
  <c r="V171" i="32"/>
  <c r="O8" i="32" s="1"/>
  <c r="W171" i="32"/>
  <c r="P8" i="32" s="1"/>
  <c r="W56" i="32"/>
  <c r="P4" i="32" s="1"/>
  <c r="V56" i="32"/>
  <c r="O4" i="32" s="1"/>
  <c r="V27" i="31"/>
  <c r="W111" i="31"/>
  <c r="V154" i="31"/>
  <c r="V179" i="31"/>
  <c r="V17" i="31"/>
  <c r="V20" i="31"/>
  <c r="W25" i="31"/>
  <c r="V60" i="31"/>
  <c r="V64" i="31"/>
  <c r="V68" i="31"/>
  <c r="V72" i="31"/>
  <c r="V76" i="31"/>
  <c r="V88" i="31"/>
  <c r="W115" i="31"/>
  <c r="W135" i="31"/>
  <c r="W148" i="31"/>
  <c r="V168" i="31"/>
  <c r="V170" i="31"/>
  <c r="V206" i="31"/>
  <c r="W164" i="31"/>
  <c r="R10" i="31"/>
  <c r="P12" i="31" s="1"/>
  <c r="V11" i="31"/>
  <c r="V35" i="31"/>
  <c r="W138" i="31"/>
  <c r="W134" i="31"/>
  <c r="W130" i="31"/>
  <c r="V44" i="31"/>
  <c r="W40" i="31"/>
  <c r="W118" i="31"/>
  <c r="W180" i="31"/>
  <c r="V178" i="31"/>
  <c r="V117" i="31"/>
  <c r="W176" i="31"/>
  <c r="V114" i="31"/>
  <c r="V174" i="31"/>
  <c r="V172" i="31"/>
  <c r="W171" i="31"/>
  <c r="V110" i="31"/>
  <c r="W12" i="31"/>
  <c r="V167" i="31"/>
  <c r="V166" i="31"/>
  <c r="V9" i="31"/>
  <c r="W163" i="31"/>
  <c r="W165" i="31"/>
  <c r="W169" i="31"/>
  <c r="W173" i="31"/>
  <c r="W177" i="31"/>
  <c r="J209" i="31"/>
  <c r="V10" i="31"/>
  <c r="J155" i="31"/>
  <c r="V108" i="31"/>
  <c r="W109" i="31"/>
  <c r="V112" i="31"/>
  <c r="W113" i="31"/>
  <c r="V116" i="31"/>
  <c r="V132" i="31"/>
  <c r="V136" i="31"/>
  <c r="W137" i="31"/>
  <c r="V33" i="31"/>
  <c r="W51" i="31"/>
  <c r="V15" i="31"/>
  <c r="J94" i="31"/>
  <c r="W94" i="31" s="1"/>
  <c r="W36" i="31"/>
  <c r="W41" i="31"/>
  <c r="V19" i="31"/>
  <c r="W24" i="31"/>
  <c r="V28" i="31"/>
  <c r="V43" i="31"/>
  <c r="W45" i="31"/>
  <c r="V31" i="31"/>
  <c r="W32" i="31"/>
  <c r="W37" i="31"/>
  <c r="W13" i="31"/>
  <c r="W16" i="31"/>
  <c r="W21" i="31"/>
  <c r="W14" i="31"/>
  <c r="V23" i="31"/>
  <c r="V39" i="31"/>
  <c r="V58" i="31"/>
  <c r="V62" i="31"/>
  <c r="V66" i="31"/>
  <c r="V70" i="31"/>
  <c r="V74" i="31"/>
  <c r="V207" i="31"/>
  <c r="V208" i="31"/>
  <c r="W18" i="31"/>
  <c r="W42" i="31"/>
  <c r="W57" i="31"/>
  <c r="W61" i="31"/>
  <c r="W65" i="31"/>
  <c r="W69" i="31"/>
  <c r="W73" i="31"/>
  <c r="W89" i="31"/>
  <c r="W93" i="31"/>
  <c r="W22" i="31"/>
  <c r="W26" i="31"/>
  <c r="W30" i="31"/>
  <c r="W34" i="31"/>
  <c r="W38" i="31"/>
  <c r="J183" i="30"/>
  <c r="J182" i="30"/>
  <c r="J176" i="30"/>
  <c r="J177" i="30"/>
  <c r="J178" i="30"/>
  <c r="J179" i="30"/>
  <c r="J180" i="30"/>
  <c r="J181" i="30"/>
  <c r="J7" i="30"/>
  <c r="J8" i="30"/>
  <c r="J9" i="30"/>
  <c r="J10" i="30"/>
  <c r="J6" i="30"/>
  <c r="O10" i="32" l="1"/>
  <c r="R10" i="32" s="1"/>
  <c r="P12" i="32" s="1"/>
  <c r="R8" i="32"/>
  <c r="Q8" i="32"/>
  <c r="Q6" i="32"/>
  <c r="R6" i="32"/>
  <c r="P10" i="32"/>
  <c r="Q4" i="32"/>
  <c r="R4" i="32"/>
  <c r="V209" i="31"/>
  <c r="W209" i="31"/>
  <c r="J198" i="30"/>
  <c r="W198" i="30" s="1"/>
  <c r="J197" i="30"/>
  <c r="W197" i="30" s="1"/>
  <c r="J196" i="30"/>
  <c r="V196" i="30" s="1"/>
  <c r="J195" i="30"/>
  <c r="W195" i="30" s="1"/>
  <c r="J175" i="30"/>
  <c r="V175" i="30" s="1"/>
  <c r="J174" i="30"/>
  <c r="W174" i="30" s="1"/>
  <c r="J173" i="30"/>
  <c r="V173" i="30" s="1"/>
  <c r="J172" i="30"/>
  <c r="V172" i="30" s="1"/>
  <c r="J171" i="30"/>
  <c r="W171" i="30" s="1"/>
  <c r="J170" i="30"/>
  <c r="V170" i="30" s="1"/>
  <c r="J169" i="30"/>
  <c r="W169" i="30" s="1"/>
  <c r="J168" i="30"/>
  <c r="V168" i="30" s="1"/>
  <c r="J167" i="30"/>
  <c r="W167" i="30" s="1"/>
  <c r="J166" i="30"/>
  <c r="V166" i="30" s="1"/>
  <c r="J165" i="30"/>
  <c r="W165" i="30" s="1"/>
  <c r="J164" i="30"/>
  <c r="V164" i="30" s="1"/>
  <c r="J163" i="30"/>
  <c r="W163" i="30" s="1"/>
  <c r="J162" i="30"/>
  <c r="V162" i="30" s="1"/>
  <c r="J161" i="30"/>
  <c r="W161" i="30" s="1"/>
  <c r="J160" i="30"/>
  <c r="V160" i="30" s="1"/>
  <c r="J159" i="30"/>
  <c r="W159" i="30" s="1"/>
  <c r="B159" i="30"/>
  <c r="B160" i="30" s="1"/>
  <c r="B161" i="30" s="1"/>
  <c r="B162" i="30" s="1"/>
  <c r="B163" i="30" s="1"/>
  <c r="B164" i="30" s="1"/>
  <c r="B165" i="30" s="1"/>
  <c r="B166" i="30" s="1"/>
  <c r="B167" i="30" s="1"/>
  <c r="B168" i="30" s="1"/>
  <c r="B169" i="30" s="1"/>
  <c r="B170" i="30" s="1"/>
  <c r="B171" i="30" s="1"/>
  <c r="B172" i="30" s="1"/>
  <c r="B173" i="30" s="1"/>
  <c r="B174" i="30" s="1"/>
  <c r="B175" i="30" s="1"/>
  <c r="B176" i="30" s="1"/>
  <c r="B177" i="30" s="1"/>
  <c r="B178" i="30" s="1"/>
  <c r="B179" i="30" s="1"/>
  <c r="B180" i="30" s="1"/>
  <c r="B181" i="30" s="1"/>
  <c r="B182" i="30" s="1"/>
  <c r="B183" i="30" s="1"/>
  <c r="B184" i="30" s="1"/>
  <c r="B185" i="30" s="1"/>
  <c r="B186" i="30" s="1"/>
  <c r="B187" i="30" s="1"/>
  <c r="B188" i="30" s="1"/>
  <c r="B189" i="30" s="1"/>
  <c r="B190" i="30" s="1"/>
  <c r="B191" i="30" s="1"/>
  <c r="B192" i="30" s="1"/>
  <c r="B193" i="30" s="1"/>
  <c r="B194" i="30" s="1"/>
  <c r="B195" i="30" s="1"/>
  <c r="B196" i="30" s="1"/>
  <c r="B197" i="30" s="1"/>
  <c r="B198" i="30" s="1"/>
  <c r="J158" i="30"/>
  <c r="W158" i="30" s="1"/>
  <c r="J149" i="30"/>
  <c r="W149" i="30" s="1"/>
  <c r="J148" i="30"/>
  <c r="J147" i="30"/>
  <c r="J146" i="30"/>
  <c r="J145" i="30"/>
  <c r="J144" i="30"/>
  <c r="J143" i="30"/>
  <c r="V143" i="30" s="1"/>
  <c r="J142" i="30"/>
  <c r="J141" i="30"/>
  <c r="J140" i="30"/>
  <c r="J139" i="30"/>
  <c r="J138" i="30"/>
  <c r="J137" i="30"/>
  <c r="J136" i="30"/>
  <c r="J135" i="30"/>
  <c r="J134" i="30"/>
  <c r="W134" i="30" s="1"/>
  <c r="J133" i="30"/>
  <c r="V133" i="30" s="1"/>
  <c r="J132" i="30"/>
  <c r="V132" i="30" s="1"/>
  <c r="J131" i="30"/>
  <c r="V131" i="30" s="1"/>
  <c r="J130" i="30"/>
  <c r="W130" i="30" s="1"/>
  <c r="J129" i="30"/>
  <c r="V129" i="30" s="1"/>
  <c r="J128" i="30"/>
  <c r="W128" i="30" s="1"/>
  <c r="J127" i="30"/>
  <c r="V127" i="30" s="1"/>
  <c r="J126" i="30"/>
  <c r="W126" i="30" s="1"/>
  <c r="J125" i="30"/>
  <c r="V125" i="30" s="1"/>
  <c r="J124" i="30"/>
  <c r="J123" i="30"/>
  <c r="J122" i="30"/>
  <c r="J121" i="30"/>
  <c r="J120" i="30"/>
  <c r="J119" i="30"/>
  <c r="J118" i="30"/>
  <c r="J117" i="30"/>
  <c r="J116" i="30"/>
  <c r="J115" i="30"/>
  <c r="J114" i="30"/>
  <c r="W114" i="30" s="1"/>
  <c r="J113" i="30"/>
  <c r="V113" i="30" s="1"/>
  <c r="J112" i="30"/>
  <c r="V112" i="30" s="1"/>
  <c r="J111" i="30"/>
  <c r="W111" i="30" s="1"/>
  <c r="J110" i="30"/>
  <c r="W110" i="30" s="1"/>
  <c r="J109" i="30"/>
  <c r="V109" i="30" s="1"/>
  <c r="J108" i="30"/>
  <c r="W108" i="30" s="1"/>
  <c r="J107" i="30"/>
  <c r="V107" i="30" s="1"/>
  <c r="J106" i="30"/>
  <c r="W106" i="30" s="1"/>
  <c r="J105" i="30"/>
  <c r="V105" i="30" s="1"/>
  <c r="J104" i="30"/>
  <c r="V104" i="30" s="1"/>
  <c r="J103" i="30"/>
  <c r="W103" i="30" s="1"/>
  <c r="J102" i="30"/>
  <c r="W102" i="30" s="1"/>
  <c r="V101" i="30"/>
  <c r="V100" i="30"/>
  <c r="W99" i="30"/>
  <c r="V99" i="30"/>
  <c r="W98" i="30"/>
  <c r="B98" i="30"/>
  <c r="B99" i="30" s="1"/>
  <c r="B100" i="30" s="1"/>
  <c r="B101" i="30" s="1"/>
  <c r="B102" i="30" s="1"/>
  <c r="B103" i="30" s="1"/>
  <c r="B104" i="30" s="1"/>
  <c r="B105" i="30" s="1"/>
  <c r="B106" i="30" s="1"/>
  <c r="B107" i="30" s="1"/>
  <c r="B108" i="30" s="1"/>
  <c r="B109" i="30" s="1"/>
  <c r="B110" i="30" s="1"/>
  <c r="B111" i="30" s="1"/>
  <c r="B112" i="30" s="1"/>
  <c r="B113" i="30" s="1"/>
  <c r="B114" i="30" s="1"/>
  <c r="B115" i="30" s="1"/>
  <c r="B116" i="30" s="1"/>
  <c r="B117" i="30" s="1"/>
  <c r="B118" i="30" s="1"/>
  <c r="B119" i="30" s="1"/>
  <c r="B120" i="30" s="1"/>
  <c r="B121" i="30" s="1"/>
  <c r="B122" i="30" s="1"/>
  <c r="B123" i="30" s="1"/>
  <c r="B124" i="30" s="1"/>
  <c r="B125" i="30" s="1"/>
  <c r="B126" i="30" s="1"/>
  <c r="V97" i="30"/>
  <c r="W97" i="30"/>
  <c r="J88" i="30"/>
  <c r="V88" i="30" s="1"/>
  <c r="J87" i="30"/>
  <c r="V87" i="30" s="1"/>
  <c r="J86" i="30"/>
  <c r="J85" i="30"/>
  <c r="J84" i="30"/>
  <c r="V84" i="30" s="1"/>
  <c r="J83" i="30"/>
  <c r="W83" i="30" s="1"/>
  <c r="J82" i="30"/>
  <c r="W82" i="30" s="1"/>
  <c r="J81" i="30"/>
  <c r="J80" i="30"/>
  <c r="J79" i="30"/>
  <c r="J78" i="30"/>
  <c r="J77" i="30"/>
  <c r="J76" i="30"/>
  <c r="J75" i="30"/>
  <c r="J74" i="30"/>
  <c r="J73" i="30"/>
  <c r="J72" i="30"/>
  <c r="J71" i="30"/>
  <c r="V71" i="30" s="1"/>
  <c r="J70" i="30"/>
  <c r="W70" i="30" s="1"/>
  <c r="J69" i="30"/>
  <c r="W69" i="30" s="1"/>
  <c r="J68" i="30"/>
  <c r="V68" i="30" s="1"/>
  <c r="J67" i="30"/>
  <c r="V67" i="30" s="1"/>
  <c r="J66" i="30"/>
  <c r="W66" i="30" s="1"/>
  <c r="J65" i="30"/>
  <c r="W65" i="30" s="1"/>
  <c r="J64" i="30"/>
  <c r="V64" i="30" s="1"/>
  <c r="J63" i="30"/>
  <c r="V63" i="30" s="1"/>
  <c r="J62" i="30"/>
  <c r="W62" i="30" s="1"/>
  <c r="J61" i="30"/>
  <c r="W61" i="30" s="1"/>
  <c r="J60" i="30"/>
  <c r="V60" i="30" s="1"/>
  <c r="J59" i="30"/>
  <c r="V59" i="30" s="1"/>
  <c r="J58" i="30"/>
  <c r="W58" i="30" s="1"/>
  <c r="J57" i="30"/>
  <c r="W57" i="30" s="1"/>
  <c r="J56" i="30"/>
  <c r="V56" i="30" s="1"/>
  <c r="J55" i="30"/>
  <c r="V55" i="30" s="1"/>
  <c r="J54" i="30"/>
  <c r="W54" i="30" s="1"/>
  <c r="J53" i="30"/>
  <c r="W53" i="30" s="1"/>
  <c r="J52" i="30"/>
  <c r="V52" i="30" s="1"/>
  <c r="J51" i="30"/>
  <c r="V51" i="30" s="1"/>
  <c r="J45" i="30"/>
  <c r="W45" i="30" s="1"/>
  <c r="J44" i="30"/>
  <c r="W44" i="30" s="1"/>
  <c r="J43" i="30"/>
  <c r="V43" i="30" s="1"/>
  <c r="J42" i="30"/>
  <c r="V42" i="30" s="1"/>
  <c r="J41" i="30"/>
  <c r="W41" i="30" s="1"/>
  <c r="J40" i="30"/>
  <c r="W40" i="30" s="1"/>
  <c r="J39" i="30"/>
  <c r="V39" i="30" s="1"/>
  <c r="J38" i="30"/>
  <c r="V38" i="30" s="1"/>
  <c r="J37" i="30"/>
  <c r="W37" i="30" s="1"/>
  <c r="J36" i="30"/>
  <c r="W36" i="30" s="1"/>
  <c r="J35" i="30"/>
  <c r="V35" i="30" s="1"/>
  <c r="J34" i="30"/>
  <c r="V34" i="30" s="1"/>
  <c r="J33" i="30"/>
  <c r="W33" i="30" s="1"/>
  <c r="J32" i="30"/>
  <c r="W32" i="30" s="1"/>
  <c r="J31" i="30"/>
  <c r="V31" i="30" s="1"/>
  <c r="J30" i="30"/>
  <c r="V30" i="30" s="1"/>
  <c r="J29" i="30"/>
  <c r="W29" i="30" s="1"/>
  <c r="J28" i="30"/>
  <c r="W28" i="30" s="1"/>
  <c r="J27" i="30"/>
  <c r="V27" i="30" s="1"/>
  <c r="J26" i="30"/>
  <c r="V26" i="30" s="1"/>
  <c r="J25" i="30"/>
  <c r="W25" i="30" s="1"/>
  <c r="J24" i="30"/>
  <c r="W24" i="30" s="1"/>
  <c r="J23" i="30"/>
  <c r="V23" i="30" s="1"/>
  <c r="J22" i="30"/>
  <c r="V22" i="30" s="1"/>
  <c r="J21" i="30"/>
  <c r="W21" i="30" s="1"/>
  <c r="J20" i="30"/>
  <c r="W20" i="30" s="1"/>
  <c r="J19" i="30"/>
  <c r="V19" i="30" s="1"/>
  <c r="J18" i="30"/>
  <c r="V18" i="30" s="1"/>
  <c r="J17" i="30"/>
  <c r="W17" i="30" s="1"/>
  <c r="J16" i="30"/>
  <c r="W16" i="30" s="1"/>
  <c r="J15" i="30"/>
  <c r="J14" i="30"/>
  <c r="J13" i="30"/>
  <c r="V15" i="30" s="1"/>
  <c r="J12" i="30"/>
  <c r="V14" i="30" s="1"/>
  <c r="J11" i="30"/>
  <c r="V13" i="30" s="1"/>
  <c r="P10" i="30"/>
  <c r="O10" i="30"/>
  <c r="N10" i="30"/>
  <c r="J101" i="30"/>
  <c r="W12" i="30" s="1"/>
  <c r="J100" i="30"/>
  <c r="W11" i="30" s="1"/>
  <c r="R8" i="30"/>
  <c r="J99" i="30"/>
  <c r="V10" i="30" s="1"/>
  <c r="J98" i="30"/>
  <c r="V9" i="30" s="1"/>
  <c r="R6" i="30"/>
  <c r="J97" i="30"/>
  <c r="W8" i="30" s="1"/>
  <c r="R4" i="30"/>
  <c r="Q10" i="30"/>
  <c r="J110" i="29"/>
  <c r="J111" i="29"/>
  <c r="J112" i="29"/>
  <c r="J113" i="29"/>
  <c r="J114" i="29"/>
  <c r="J115" i="29"/>
  <c r="J116" i="29"/>
  <c r="J117" i="29"/>
  <c r="J118" i="29"/>
  <c r="J119" i="29"/>
  <c r="R4" i="29"/>
  <c r="Q4" i="29"/>
  <c r="V195" i="30" l="1"/>
  <c r="V198" i="30"/>
  <c r="Q10" i="32"/>
  <c r="W27" i="30"/>
  <c r="W64" i="30"/>
  <c r="V83" i="30"/>
  <c r="W131" i="30"/>
  <c r="B127" i="30"/>
  <c r="B128" i="30" s="1"/>
  <c r="B129" i="30" s="1"/>
  <c r="B130" i="30" s="1"/>
  <c r="B131" i="30" s="1"/>
  <c r="B132" i="30" s="1"/>
  <c r="B133" i="30" s="1"/>
  <c r="B134" i="30" s="1"/>
  <c r="B135" i="30" s="1"/>
  <c r="B136" i="30" s="1"/>
  <c r="B137" i="30" s="1"/>
  <c r="B138" i="30" s="1"/>
  <c r="B139" i="30" s="1"/>
  <c r="B140" i="30" s="1"/>
  <c r="B141" i="30" s="1"/>
  <c r="B142" i="30" s="1"/>
  <c r="B143" i="30" s="1"/>
  <c r="B144" i="30" s="1"/>
  <c r="B145" i="30" s="1"/>
  <c r="B146" i="30" s="1"/>
  <c r="B147" i="30" s="1"/>
  <c r="B148" i="30" s="1"/>
  <c r="B149" i="30" s="1"/>
  <c r="W143" i="30"/>
  <c r="V158" i="30"/>
  <c r="W164" i="30"/>
  <c r="V197" i="30"/>
  <c r="R10" i="30"/>
  <c r="P12" i="30" s="1"/>
  <c r="V17" i="30"/>
  <c r="W56" i="30"/>
  <c r="W172" i="30"/>
  <c r="V174" i="30"/>
  <c r="W175" i="30"/>
  <c r="V171" i="30"/>
  <c r="V110" i="30"/>
  <c r="W168" i="30"/>
  <c r="V165" i="30"/>
  <c r="V163" i="30"/>
  <c r="V161" i="30"/>
  <c r="V103" i="30"/>
  <c r="V159" i="30"/>
  <c r="W23" i="30"/>
  <c r="W43" i="30"/>
  <c r="V58" i="30"/>
  <c r="V66" i="30"/>
  <c r="W87" i="30"/>
  <c r="W132" i="30"/>
  <c r="W39" i="30"/>
  <c r="W60" i="30"/>
  <c r="W68" i="30"/>
  <c r="V82" i="30"/>
  <c r="W84" i="30"/>
  <c r="W100" i="30"/>
  <c r="V111" i="30"/>
  <c r="V130" i="30"/>
  <c r="V134" i="30"/>
  <c r="W173" i="30"/>
  <c r="W196" i="30"/>
  <c r="W35" i="30"/>
  <c r="V62" i="30"/>
  <c r="V70" i="30"/>
  <c r="W88" i="30"/>
  <c r="V102" i="30"/>
  <c r="W104" i="30"/>
  <c r="W160" i="30"/>
  <c r="V167" i="30"/>
  <c r="V169" i="30"/>
  <c r="V108" i="30"/>
  <c r="W127" i="30"/>
  <c r="W67" i="30"/>
  <c r="W71" i="30"/>
  <c r="W133" i="30"/>
  <c r="W55" i="30"/>
  <c r="W59" i="30"/>
  <c r="W63" i="30"/>
  <c r="W19" i="30"/>
  <c r="V25" i="30"/>
  <c r="W31" i="30"/>
  <c r="W52" i="30"/>
  <c r="V126" i="30"/>
  <c r="V128" i="30"/>
  <c r="W162" i="30"/>
  <c r="W166" i="30"/>
  <c r="W170" i="30"/>
  <c r="J199" i="30"/>
  <c r="V106" i="30"/>
  <c r="W107" i="30"/>
  <c r="W112" i="30"/>
  <c r="W125" i="30"/>
  <c r="W129" i="30"/>
  <c r="V98" i="30"/>
  <c r="V114" i="30"/>
  <c r="J150" i="30"/>
  <c r="W101" i="30"/>
  <c r="W105" i="30"/>
  <c r="W113" i="30"/>
  <c r="W109" i="30"/>
  <c r="V33" i="30"/>
  <c r="V41" i="30"/>
  <c r="V54" i="30"/>
  <c r="V21" i="30"/>
  <c r="V29" i="30"/>
  <c r="V37" i="30"/>
  <c r="V45" i="30"/>
  <c r="W14" i="30"/>
  <c r="W10" i="30"/>
  <c r="W18" i="30"/>
  <c r="W22" i="30"/>
  <c r="W26" i="30"/>
  <c r="W30" i="30"/>
  <c r="W34" i="30"/>
  <c r="W38" i="30"/>
  <c r="W42" i="30"/>
  <c r="W51" i="30"/>
  <c r="W15" i="30"/>
  <c r="V11" i="30"/>
  <c r="V12" i="30"/>
  <c r="W13" i="30"/>
  <c r="V16" i="30"/>
  <c r="V20" i="30"/>
  <c r="V24" i="30"/>
  <c r="V28" i="30"/>
  <c r="V32" i="30"/>
  <c r="V36" i="30"/>
  <c r="V40" i="30"/>
  <c r="V44" i="30"/>
  <c r="V53" i="30"/>
  <c r="V57" i="30"/>
  <c r="V61" i="30"/>
  <c r="V65" i="30"/>
  <c r="V69" i="30"/>
  <c r="V149" i="30"/>
  <c r="V150" i="30" s="1"/>
  <c r="J89" i="30"/>
  <c r="W89" i="30" s="1"/>
  <c r="W9" i="30"/>
  <c r="J14" i="29"/>
  <c r="J15" i="29"/>
  <c r="V195" i="29"/>
  <c r="J195" i="29"/>
  <c r="W195" i="29" s="1"/>
  <c r="J194" i="29"/>
  <c r="J193" i="29"/>
  <c r="J192" i="29"/>
  <c r="J191" i="29"/>
  <c r="J190" i="29"/>
  <c r="J189" i="29"/>
  <c r="V189" i="29" s="1"/>
  <c r="J188" i="29"/>
  <c r="J187" i="29"/>
  <c r="J186" i="29"/>
  <c r="J185" i="29"/>
  <c r="J184" i="29"/>
  <c r="J183" i="29"/>
  <c r="J182" i="29"/>
  <c r="J181" i="29"/>
  <c r="J180" i="29"/>
  <c r="W180" i="29" s="1"/>
  <c r="J179" i="29"/>
  <c r="W179" i="29" s="1"/>
  <c r="J178" i="29"/>
  <c r="V178" i="29" s="1"/>
  <c r="J177" i="29"/>
  <c r="V177" i="29" s="1"/>
  <c r="J176" i="29"/>
  <c r="W176" i="29" s="1"/>
  <c r="J175" i="29"/>
  <c r="W175" i="29" s="1"/>
  <c r="J174" i="29"/>
  <c r="V174" i="29" s="1"/>
  <c r="J173" i="29"/>
  <c r="V173" i="29" s="1"/>
  <c r="J172" i="29"/>
  <c r="W172" i="29" s="1"/>
  <c r="J171" i="29"/>
  <c r="W171" i="29" s="1"/>
  <c r="J170" i="29"/>
  <c r="V170" i="29" s="1"/>
  <c r="J169" i="29"/>
  <c r="V169" i="29" s="1"/>
  <c r="J168" i="29"/>
  <c r="W168" i="29" s="1"/>
  <c r="J167" i="29"/>
  <c r="W167" i="29" s="1"/>
  <c r="J166" i="29"/>
  <c r="V166" i="29" s="1"/>
  <c r="J165" i="29"/>
  <c r="V165" i="29" s="1"/>
  <c r="J164" i="29"/>
  <c r="W164" i="29" s="1"/>
  <c r="J163" i="29"/>
  <c r="W163" i="29" s="1"/>
  <c r="J162" i="29"/>
  <c r="V162" i="29" s="1"/>
  <c r="J161" i="29"/>
  <c r="W161" i="29" s="1"/>
  <c r="J160" i="29"/>
  <c r="V160" i="29" s="1"/>
  <c r="J159" i="29"/>
  <c r="V159" i="29" s="1"/>
  <c r="J158" i="29"/>
  <c r="V158" i="29" s="1"/>
  <c r="J157" i="29"/>
  <c r="W157" i="29" s="1"/>
  <c r="J156" i="29"/>
  <c r="V156" i="29" s="1"/>
  <c r="J155" i="29"/>
  <c r="V155" i="29" s="1"/>
  <c r="J154" i="29"/>
  <c r="V154" i="29" s="1"/>
  <c r="B154" i="29"/>
  <c r="B155" i="29" s="1"/>
  <c r="B156" i="29" s="1"/>
  <c r="B157" i="29" s="1"/>
  <c r="B158" i="29" s="1"/>
  <c r="B159" i="29" s="1"/>
  <c r="B160" i="29" s="1"/>
  <c r="B161" i="29" s="1"/>
  <c r="B162" i="29" s="1"/>
  <c r="B163" i="29" s="1"/>
  <c r="B164" i="29" s="1"/>
  <c r="B165" i="29" s="1"/>
  <c r="B166" i="29" s="1"/>
  <c r="B167" i="29" s="1"/>
  <c r="B168" i="29" s="1"/>
  <c r="B169" i="29" s="1"/>
  <c r="B170" i="29" s="1"/>
  <c r="B171" i="29" s="1"/>
  <c r="B172" i="29" s="1"/>
  <c r="B173" i="29" s="1"/>
  <c r="B174" i="29" s="1"/>
  <c r="B175" i="29" s="1"/>
  <c r="B176" i="29" s="1"/>
  <c r="B177" i="29" s="1"/>
  <c r="B178" i="29" s="1"/>
  <c r="B179" i="29" s="1"/>
  <c r="B180" i="29" s="1"/>
  <c r="B181" i="29" s="1"/>
  <c r="B182" i="29" s="1"/>
  <c r="B183" i="29" s="1"/>
  <c r="B184" i="29" s="1"/>
  <c r="B185" i="29" s="1"/>
  <c r="B186" i="29" s="1"/>
  <c r="B187" i="29" s="1"/>
  <c r="B188" i="29" s="1"/>
  <c r="B189" i="29" s="1"/>
  <c r="B190" i="29" s="1"/>
  <c r="B191" i="29" s="1"/>
  <c r="B192" i="29" s="1"/>
  <c r="B193" i="29" s="1"/>
  <c r="B194" i="29" s="1"/>
  <c r="B195" i="29" s="1"/>
  <c r="J153" i="29"/>
  <c r="V153" i="29" s="1"/>
  <c r="J144" i="29"/>
  <c r="W144" i="29" s="1"/>
  <c r="J143" i="29"/>
  <c r="J142" i="29"/>
  <c r="J141" i="29"/>
  <c r="J140" i="29"/>
  <c r="J139" i="29"/>
  <c r="J138" i="29"/>
  <c r="V138" i="29" s="1"/>
  <c r="J137" i="29"/>
  <c r="J136" i="29"/>
  <c r="J135" i="29"/>
  <c r="J134" i="29"/>
  <c r="J133" i="29"/>
  <c r="J132" i="29"/>
  <c r="J131" i="29"/>
  <c r="J130" i="29"/>
  <c r="J129" i="29"/>
  <c r="V129" i="29" s="1"/>
  <c r="J128" i="29"/>
  <c r="V128" i="29" s="1"/>
  <c r="V127" i="29"/>
  <c r="J127" i="29"/>
  <c r="W127" i="29" s="1"/>
  <c r="J126" i="29"/>
  <c r="V126" i="29" s="1"/>
  <c r="J125" i="29"/>
  <c r="V125" i="29" s="1"/>
  <c r="J124" i="29"/>
  <c r="V124" i="29" s="1"/>
  <c r="J123" i="29"/>
  <c r="W123" i="29" s="1"/>
  <c r="J122" i="29"/>
  <c r="V122" i="29" s="1"/>
  <c r="J121" i="29"/>
  <c r="V121" i="29" s="1"/>
  <c r="J120" i="29"/>
  <c r="V120" i="29" s="1"/>
  <c r="J109" i="29"/>
  <c r="W109" i="29" s="1"/>
  <c r="J108" i="29"/>
  <c r="W108" i="29" s="1"/>
  <c r="J107" i="29"/>
  <c r="V107" i="29" s="1"/>
  <c r="J106" i="29"/>
  <c r="V106" i="29" s="1"/>
  <c r="J105" i="29"/>
  <c r="W105" i="29" s="1"/>
  <c r="J104" i="29"/>
  <c r="W104" i="29" s="1"/>
  <c r="J103" i="29"/>
  <c r="V103" i="29" s="1"/>
  <c r="J102" i="29"/>
  <c r="V102" i="29" s="1"/>
  <c r="J101" i="29"/>
  <c r="W101" i="29" s="1"/>
  <c r="J100" i="29"/>
  <c r="W100" i="29" s="1"/>
  <c r="J99" i="29"/>
  <c r="V99" i="29" s="1"/>
  <c r="J98" i="29"/>
  <c r="V98" i="29" s="1"/>
  <c r="J97" i="29"/>
  <c r="V97" i="29" s="1"/>
  <c r="J96" i="29"/>
  <c r="W96" i="29" s="1"/>
  <c r="J95" i="29"/>
  <c r="V95" i="29" s="1"/>
  <c r="J94" i="29"/>
  <c r="V94" i="29" s="1"/>
  <c r="J93" i="29"/>
  <c r="V93" i="29" s="1"/>
  <c r="B93" i="29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B114" i="29" s="1"/>
  <c r="B115" i="29" s="1"/>
  <c r="B116" i="29" s="1"/>
  <c r="B117" i="29" s="1"/>
  <c r="B118" i="29" s="1"/>
  <c r="B119" i="29" s="1"/>
  <c r="B120" i="29" s="1"/>
  <c r="B121" i="29" s="1"/>
  <c r="B122" i="29" s="1"/>
  <c r="B123" i="29" s="1"/>
  <c r="B124" i="29" s="1"/>
  <c r="B125" i="29" s="1"/>
  <c r="B126" i="29" s="1"/>
  <c r="B127" i="29" s="1"/>
  <c r="B128" i="29" s="1"/>
  <c r="B129" i="29" s="1"/>
  <c r="B130" i="29" s="1"/>
  <c r="B131" i="29" s="1"/>
  <c r="B132" i="29" s="1"/>
  <c r="B133" i="29" s="1"/>
  <c r="B134" i="29" s="1"/>
  <c r="B135" i="29" s="1"/>
  <c r="B136" i="29" s="1"/>
  <c r="B137" i="29" s="1"/>
  <c r="B138" i="29" s="1"/>
  <c r="B139" i="29" s="1"/>
  <c r="B140" i="29" s="1"/>
  <c r="B141" i="29" s="1"/>
  <c r="B142" i="29" s="1"/>
  <c r="B143" i="29" s="1"/>
  <c r="B144" i="29" s="1"/>
  <c r="J92" i="29"/>
  <c r="V92" i="29" s="1"/>
  <c r="J83" i="29"/>
  <c r="V83" i="29" s="1"/>
  <c r="J82" i="29"/>
  <c r="V82" i="29" s="1"/>
  <c r="J81" i="29"/>
  <c r="J80" i="29"/>
  <c r="J79" i="29"/>
  <c r="V79" i="29" s="1"/>
  <c r="J78" i="29"/>
  <c r="W78" i="29" s="1"/>
  <c r="J77" i="29"/>
  <c r="V77" i="29" s="1"/>
  <c r="J76" i="29"/>
  <c r="J75" i="29"/>
  <c r="J74" i="29"/>
  <c r="J73" i="29"/>
  <c r="J72" i="29"/>
  <c r="J71" i="29"/>
  <c r="J70" i="29"/>
  <c r="J69" i="29"/>
  <c r="J68" i="29"/>
  <c r="J67" i="29"/>
  <c r="J66" i="29"/>
  <c r="W66" i="29" s="1"/>
  <c r="J65" i="29"/>
  <c r="V65" i="29" s="1"/>
  <c r="J64" i="29"/>
  <c r="W64" i="29" s="1"/>
  <c r="J63" i="29"/>
  <c r="V63" i="29" s="1"/>
  <c r="J62" i="29"/>
  <c r="W62" i="29" s="1"/>
  <c r="J61" i="29"/>
  <c r="V61" i="29" s="1"/>
  <c r="J60" i="29"/>
  <c r="W60" i="29" s="1"/>
  <c r="J59" i="29"/>
  <c r="V59" i="29" s="1"/>
  <c r="J58" i="29"/>
  <c r="W58" i="29" s="1"/>
  <c r="J57" i="29"/>
  <c r="V57" i="29" s="1"/>
  <c r="J56" i="29"/>
  <c r="W56" i="29" s="1"/>
  <c r="J55" i="29"/>
  <c r="V55" i="29" s="1"/>
  <c r="J54" i="29"/>
  <c r="W54" i="29" s="1"/>
  <c r="J53" i="29"/>
  <c r="V53" i="29" s="1"/>
  <c r="J52" i="29"/>
  <c r="W52" i="29" s="1"/>
  <c r="J51" i="29"/>
  <c r="V51" i="29" s="1"/>
  <c r="J50" i="29"/>
  <c r="W50" i="29" s="1"/>
  <c r="J49" i="29"/>
  <c r="V49" i="29" s="1"/>
  <c r="J48" i="29"/>
  <c r="W48" i="29" s="1"/>
  <c r="J47" i="29"/>
  <c r="V47" i="29" s="1"/>
  <c r="J46" i="29"/>
  <c r="V46" i="29" s="1"/>
  <c r="J45" i="29"/>
  <c r="V45" i="29" s="1"/>
  <c r="J44" i="29"/>
  <c r="W44" i="29" s="1"/>
  <c r="J43" i="29"/>
  <c r="V43" i="29" s="1"/>
  <c r="J42" i="29"/>
  <c r="V42" i="29" s="1"/>
  <c r="J41" i="29"/>
  <c r="V41" i="29" s="1"/>
  <c r="J40" i="29"/>
  <c r="W40" i="29" s="1"/>
  <c r="J39" i="29"/>
  <c r="V39" i="29" s="1"/>
  <c r="J38" i="29"/>
  <c r="V38" i="29" s="1"/>
  <c r="J37" i="29"/>
  <c r="V37" i="29" s="1"/>
  <c r="J36" i="29"/>
  <c r="W36" i="29" s="1"/>
  <c r="J35" i="29"/>
  <c r="V35" i="29" s="1"/>
  <c r="J34" i="29"/>
  <c r="V34" i="29" s="1"/>
  <c r="J33" i="29"/>
  <c r="V33" i="29" s="1"/>
  <c r="J32" i="29"/>
  <c r="W32" i="29" s="1"/>
  <c r="J31" i="29"/>
  <c r="V31" i="29" s="1"/>
  <c r="J30" i="29"/>
  <c r="V30" i="29" s="1"/>
  <c r="J29" i="29"/>
  <c r="V29" i="29" s="1"/>
  <c r="J28" i="29"/>
  <c r="W28" i="29" s="1"/>
  <c r="J27" i="29"/>
  <c r="V27" i="29" s="1"/>
  <c r="J26" i="29"/>
  <c r="V26" i="29" s="1"/>
  <c r="J25" i="29"/>
  <c r="V25" i="29" s="1"/>
  <c r="J24" i="29"/>
  <c r="W24" i="29" s="1"/>
  <c r="J23" i="29"/>
  <c r="V23" i="29" s="1"/>
  <c r="J22" i="29"/>
  <c r="V22" i="29" s="1"/>
  <c r="J21" i="29"/>
  <c r="V21" i="29" s="1"/>
  <c r="J20" i="29"/>
  <c r="W20" i="29" s="1"/>
  <c r="J19" i="29"/>
  <c r="V19" i="29" s="1"/>
  <c r="J18" i="29"/>
  <c r="V18" i="29" s="1"/>
  <c r="J17" i="29"/>
  <c r="V17" i="29" s="1"/>
  <c r="J16" i="29"/>
  <c r="W16" i="29" s="1"/>
  <c r="J13" i="29"/>
  <c r="V15" i="29" s="1"/>
  <c r="J12" i="29"/>
  <c r="V14" i="29" s="1"/>
  <c r="J11" i="29"/>
  <c r="V13" i="29" s="1"/>
  <c r="J10" i="29"/>
  <c r="W12" i="29" s="1"/>
  <c r="J9" i="29"/>
  <c r="W11" i="29" s="1"/>
  <c r="J8" i="29"/>
  <c r="V10" i="29" s="1"/>
  <c r="J7" i="29"/>
  <c r="V9" i="29" s="1"/>
  <c r="J6" i="29"/>
  <c r="W8" i="29" s="1"/>
  <c r="V132" i="28"/>
  <c r="J132" i="28"/>
  <c r="W132" i="28" s="1"/>
  <c r="J131" i="28"/>
  <c r="J130" i="28"/>
  <c r="J129" i="28"/>
  <c r="J128" i="28"/>
  <c r="J127" i="28"/>
  <c r="J126" i="28"/>
  <c r="V126" i="28" s="1"/>
  <c r="J125" i="28"/>
  <c r="J124" i="28"/>
  <c r="J123" i="28"/>
  <c r="J122" i="28"/>
  <c r="J121" i="28"/>
  <c r="J120" i="28"/>
  <c r="J119" i="28"/>
  <c r="J118" i="28"/>
  <c r="J117" i="28"/>
  <c r="V117" i="28" s="1"/>
  <c r="J116" i="28"/>
  <c r="V116" i="28" s="1"/>
  <c r="J115" i="28"/>
  <c r="V115" i="28" s="1"/>
  <c r="J114" i="28"/>
  <c r="V114" i="28" s="1"/>
  <c r="J113" i="28"/>
  <c r="V113" i="28" s="1"/>
  <c r="J112" i="28"/>
  <c r="V112" i="28" s="1"/>
  <c r="W111" i="28"/>
  <c r="J111" i="28"/>
  <c r="V111" i="28" s="1"/>
  <c r="J110" i="28"/>
  <c r="V110" i="28" s="1"/>
  <c r="J109" i="28"/>
  <c r="V109" i="28" s="1"/>
  <c r="J108" i="28"/>
  <c r="V108" i="28" s="1"/>
  <c r="J107" i="28"/>
  <c r="V107" i="28" s="1"/>
  <c r="J106" i="28"/>
  <c r="V106" i="28" s="1"/>
  <c r="J105" i="28"/>
  <c r="V105" i="28" s="1"/>
  <c r="J104" i="28"/>
  <c r="V104" i="28" s="1"/>
  <c r="J103" i="28"/>
  <c r="V103" i="28" s="1"/>
  <c r="J102" i="28"/>
  <c r="V102" i="28" s="1"/>
  <c r="J101" i="28"/>
  <c r="V101" i="28" s="1"/>
  <c r="J100" i="28"/>
  <c r="V100" i="28" s="1"/>
  <c r="J99" i="28"/>
  <c r="V99" i="28" s="1"/>
  <c r="J98" i="28"/>
  <c r="V98" i="28" s="1"/>
  <c r="W97" i="28"/>
  <c r="J97" i="28"/>
  <c r="V97" i="28" s="1"/>
  <c r="J96" i="28"/>
  <c r="V96" i="28" s="1"/>
  <c r="J95" i="28"/>
  <c r="V95" i="28" s="1"/>
  <c r="J94" i="28"/>
  <c r="V94" i="28" s="1"/>
  <c r="J93" i="28"/>
  <c r="V93" i="28" s="1"/>
  <c r="J92" i="28"/>
  <c r="V92" i="28" s="1"/>
  <c r="J91" i="28"/>
  <c r="V91" i="28" s="1"/>
  <c r="B91" i="28"/>
  <c r="B92" i="28" s="1"/>
  <c r="B93" i="28" s="1"/>
  <c r="B94" i="28" s="1"/>
  <c r="B95" i="28" s="1"/>
  <c r="B96" i="28" s="1"/>
  <c r="B97" i="28" s="1"/>
  <c r="B98" i="28" s="1"/>
  <c r="B99" i="28" s="1"/>
  <c r="B100" i="28" s="1"/>
  <c r="B101" i="28" s="1"/>
  <c r="B102" i="28" s="1"/>
  <c r="B103" i="28" s="1"/>
  <c r="B104" i="28" s="1"/>
  <c r="B105" i="28" s="1"/>
  <c r="B106" i="28" s="1"/>
  <c r="B107" i="28" s="1"/>
  <c r="B108" i="28" s="1"/>
  <c r="B109" i="28" s="1"/>
  <c r="B110" i="28" s="1"/>
  <c r="B111" i="28" s="1"/>
  <c r="B112" i="28" s="1"/>
  <c r="B113" i="28" s="1"/>
  <c r="B114" i="28" s="1"/>
  <c r="B115" i="28" s="1"/>
  <c r="B116" i="28" s="1"/>
  <c r="B117" i="28" s="1"/>
  <c r="B118" i="28" s="1"/>
  <c r="B119" i="28" s="1"/>
  <c r="B120" i="28" s="1"/>
  <c r="B121" i="28" s="1"/>
  <c r="B122" i="28" s="1"/>
  <c r="B123" i="28" s="1"/>
  <c r="B124" i="28" s="1"/>
  <c r="B125" i="28" s="1"/>
  <c r="B126" i="28" s="1"/>
  <c r="B127" i="28" s="1"/>
  <c r="B128" i="28" s="1"/>
  <c r="B129" i="28" s="1"/>
  <c r="B130" i="28" s="1"/>
  <c r="B131" i="28" s="1"/>
  <c r="B132" i="28" s="1"/>
  <c r="J90" i="28"/>
  <c r="J81" i="28"/>
  <c r="V81" i="28" s="1"/>
  <c r="J80" i="28"/>
  <c r="V80" i="28" s="1"/>
  <c r="J79" i="28"/>
  <c r="J78" i="28"/>
  <c r="J77" i="28"/>
  <c r="V77" i="28" s="1"/>
  <c r="J76" i="28"/>
  <c r="V76" i="28" s="1"/>
  <c r="J75" i="28"/>
  <c r="W75" i="28" s="1"/>
  <c r="J74" i="28"/>
  <c r="J73" i="28"/>
  <c r="J72" i="28"/>
  <c r="J71" i="28"/>
  <c r="J70" i="28"/>
  <c r="J69" i="28"/>
  <c r="J68" i="28"/>
  <c r="J67" i="28"/>
  <c r="J66" i="28"/>
  <c r="J65" i="28"/>
  <c r="J64" i="28"/>
  <c r="V64" i="28" s="1"/>
  <c r="W63" i="28"/>
  <c r="J63" i="28"/>
  <c r="V63" i="28" s="1"/>
  <c r="J62" i="28"/>
  <c r="W62" i="28" s="1"/>
  <c r="J61" i="28"/>
  <c r="V61" i="28" s="1"/>
  <c r="J60" i="28"/>
  <c r="V60" i="28" s="1"/>
  <c r="J59" i="28"/>
  <c r="V59" i="28" s="1"/>
  <c r="J58" i="28"/>
  <c r="W58" i="28" s="1"/>
  <c r="J57" i="28"/>
  <c r="V57" i="28" s="1"/>
  <c r="J56" i="28"/>
  <c r="V56" i="28" s="1"/>
  <c r="W55" i="28"/>
  <c r="J55" i="28"/>
  <c r="V55" i="28" s="1"/>
  <c r="J54" i="28"/>
  <c r="W54" i="28" s="1"/>
  <c r="J53" i="28"/>
  <c r="V53" i="28" s="1"/>
  <c r="J52" i="28"/>
  <c r="V52" i="28" s="1"/>
  <c r="J51" i="28"/>
  <c r="V51" i="28" s="1"/>
  <c r="J50" i="28"/>
  <c r="W50" i="28" s="1"/>
  <c r="J49" i="28"/>
  <c r="V49" i="28" s="1"/>
  <c r="J48" i="28"/>
  <c r="V48" i="28" s="1"/>
  <c r="J47" i="28"/>
  <c r="W47" i="28" s="1"/>
  <c r="J46" i="28"/>
  <c r="W46" i="28" s="1"/>
  <c r="J45" i="28"/>
  <c r="V45" i="28" s="1"/>
  <c r="J44" i="28"/>
  <c r="V44" i="28" s="1"/>
  <c r="J43" i="28"/>
  <c r="W43" i="28" s="1"/>
  <c r="J42" i="28"/>
  <c r="W42" i="28" s="1"/>
  <c r="J41" i="28"/>
  <c r="V41" i="28" s="1"/>
  <c r="J40" i="28"/>
  <c r="V40" i="28" s="1"/>
  <c r="J39" i="28"/>
  <c r="V39" i="28" s="1"/>
  <c r="J38" i="28"/>
  <c r="W38" i="28" s="1"/>
  <c r="J37" i="28"/>
  <c r="V37" i="28" s="1"/>
  <c r="J36" i="28"/>
  <c r="V36" i="28" s="1"/>
  <c r="J35" i="28"/>
  <c r="V35" i="28" s="1"/>
  <c r="J34" i="28"/>
  <c r="W34" i="28" s="1"/>
  <c r="J33" i="28"/>
  <c r="V33" i="28" s="1"/>
  <c r="J32" i="28"/>
  <c r="V32" i="28" s="1"/>
  <c r="J31" i="28"/>
  <c r="W31" i="28" s="1"/>
  <c r="J30" i="28"/>
  <c r="W30" i="28" s="1"/>
  <c r="J29" i="28"/>
  <c r="V29" i="28" s="1"/>
  <c r="J28" i="28"/>
  <c r="V28" i="28" s="1"/>
  <c r="J27" i="28"/>
  <c r="W27" i="28" s="1"/>
  <c r="J26" i="28"/>
  <c r="W26" i="28" s="1"/>
  <c r="J25" i="28"/>
  <c r="V25" i="28" s="1"/>
  <c r="J24" i="28"/>
  <c r="V24" i="28" s="1"/>
  <c r="J23" i="28"/>
  <c r="W23" i="28" s="1"/>
  <c r="J22" i="28"/>
  <c r="W22" i="28" s="1"/>
  <c r="J21" i="28"/>
  <c r="V21" i="28" s="1"/>
  <c r="J20" i="28"/>
  <c r="V20" i="28" s="1"/>
  <c r="J19" i="28"/>
  <c r="W19" i="28" s="1"/>
  <c r="J18" i="28"/>
  <c r="W18" i="28" s="1"/>
  <c r="J17" i="28"/>
  <c r="V17" i="28" s="1"/>
  <c r="J16" i="28"/>
  <c r="V16" i="28" s="1"/>
  <c r="J15" i="28"/>
  <c r="V15" i="28" s="1"/>
  <c r="J14" i="28"/>
  <c r="W14" i="28" s="1"/>
  <c r="J13" i="28"/>
  <c r="V13" i="28" s="1"/>
  <c r="J12" i="28"/>
  <c r="V12" i="28" s="1"/>
  <c r="J11" i="28"/>
  <c r="W11" i="28" s="1"/>
  <c r="J10" i="28"/>
  <c r="V10" i="28" s="1"/>
  <c r="J9" i="28"/>
  <c r="W9" i="28" s="1"/>
  <c r="Q8" i="28"/>
  <c r="P8" i="28"/>
  <c r="O8" i="28"/>
  <c r="N8" i="28"/>
  <c r="J8" i="28"/>
  <c r="V8" i="28" s="1"/>
  <c r="J7" i="28"/>
  <c r="V7" i="28" s="1"/>
  <c r="R6" i="28"/>
  <c r="J6" i="28"/>
  <c r="W6" i="28" s="1"/>
  <c r="R4" i="28"/>
  <c r="J132" i="27"/>
  <c r="W132" i="27" s="1"/>
  <c r="J131" i="27"/>
  <c r="J130" i="27"/>
  <c r="J129" i="27"/>
  <c r="J128" i="27"/>
  <c r="J127" i="27"/>
  <c r="J126" i="27"/>
  <c r="V126" i="27" s="1"/>
  <c r="J125" i="27"/>
  <c r="J124" i="27"/>
  <c r="J123" i="27"/>
  <c r="J122" i="27"/>
  <c r="J121" i="27"/>
  <c r="J120" i="27"/>
  <c r="J119" i="27"/>
  <c r="J118" i="27"/>
  <c r="J117" i="27"/>
  <c r="V117" i="27" s="1"/>
  <c r="J116" i="27"/>
  <c r="W116" i="27" s="1"/>
  <c r="V115" i="27"/>
  <c r="J115" i="27"/>
  <c r="W115" i="27" s="1"/>
  <c r="J114" i="27"/>
  <c r="V114" i="27" s="1"/>
  <c r="J113" i="27"/>
  <c r="V113" i="27" s="1"/>
  <c r="W112" i="27"/>
  <c r="J112" i="27"/>
  <c r="V112" i="27" s="1"/>
  <c r="J111" i="27"/>
  <c r="W111" i="27" s="1"/>
  <c r="J110" i="27"/>
  <c r="V110" i="27" s="1"/>
  <c r="J109" i="27"/>
  <c r="W109" i="27" s="1"/>
  <c r="J108" i="27"/>
  <c r="V108" i="27" s="1"/>
  <c r="V107" i="27"/>
  <c r="J107" i="27"/>
  <c r="W107" i="27" s="1"/>
  <c r="J106" i="27"/>
  <c r="V106" i="27" s="1"/>
  <c r="J105" i="27"/>
  <c r="W105" i="27" s="1"/>
  <c r="J104" i="27"/>
  <c r="W104" i="27" s="1"/>
  <c r="J103" i="27"/>
  <c r="W103" i="27" s="1"/>
  <c r="J102" i="27"/>
  <c r="V102" i="27" s="1"/>
  <c r="J101" i="27"/>
  <c r="W101" i="27" s="1"/>
  <c r="J100" i="27"/>
  <c r="V100" i="27" s="1"/>
  <c r="J99" i="27"/>
  <c r="W99" i="27" s="1"/>
  <c r="J98" i="27"/>
  <c r="V98" i="27" s="1"/>
  <c r="J97" i="27"/>
  <c r="V97" i="27" s="1"/>
  <c r="W96" i="27"/>
  <c r="J96" i="27"/>
  <c r="V96" i="27" s="1"/>
  <c r="J95" i="27"/>
  <c r="W95" i="27" s="1"/>
  <c r="J94" i="27"/>
  <c r="V94" i="27" s="1"/>
  <c r="J93" i="27"/>
  <c r="V93" i="27" s="1"/>
  <c r="J92" i="27"/>
  <c r="W92" i="27" s="1"/>
  <c r="J91" i="27"/>
  <c r="W91" i="27" s="1"/>
  <c r="B91" i="27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J90" i="27"/>
  <c r="V90" i="27" s="1"/>
  <c r="J81" i="27"/>
  <c r="V81" i="27" s="1"/>
  <c r="J80" i="27"/>
  <c r="V80" i="27" s="1"/>
  <c r="J79" i="27"/>
  <c r="J78" i="27"/>
  <c r="J77" i="27"/>
  <c r="V77" i="27" s="1"/>
  <c r="J76" i="27"/>
  <c r="W76" i="27" s="1"/>
  <c r="J75" i="27"/>
  <c r="W75" i="27" s="1"/>
  <c r="J74" i="27"/>
  <c r="J73" i="27"/>
  <c r="J72" i="27"/>
  <c r="J71" i="27"/>
  <c r="J70" i="27"/>
  <c r="J69" i="27"/>
  <c r="J68" i="27"/>
  <c r="J67" i="27"/>
  <c r="J66" i="27"/>
  <c r="J65" i="27"/>
  <c r="J64" i="27"/>
  <c r="V64" i="27" s="1"/>
  <c r="J63" i="27"/>
  <c r="W63" i="27" s="1"/>
  <c r="J62" i="27"/>
  <c r="W62" i="27" s="1"/>
  <c r="J61" i="27"/>
  <c r="V61" i="27" s="1"/>
  <c r="J60" i="27"/>
  <c r="V60" i="27" s="1"/>
  <c r="J59" i="27"/>
  <c r="W59" i="27" s="1"/>
  <c r="J58" i="27"/>
  <c r="W58" i="27" s="1"/>
  <c r="J57" i="27"/>
  <c r="V57" i="27" s="1"/>
  <c r="J56" i="27"/>
  <c r="V56" i="27" s="1"/>
  <c r="J55" i="27"/>
  <c r="W55" i="27" s="1"/>
  <c r="J54" i="27"/>
  <c r="W54" i="27" s="1"/>
  <c r="J53" i="27"/>
  <c r="V53" i="27" s="1"/>
  <c r="J52" i="27"/>
  <c r="V52" i="27" s="1"/>
  <c r="J51" i="27"/>
  <c r="W51" i="27" s="1"/>
  <c r="J50" i="27"/>
  <c r="W50" i="27" s="1"/>
  <c r="J49" i="27"/>
  <c r="V49" i="27" s="1"/>
  <c r="J48" i="27"/>
  <c r="V48" i="27" s="1"/>
  <c r="J47" i="27"/>
  <c r="W47" i="27" s="1"/>
  <c r="J46" i="27"/>
  <c r="W46" i="27" s="1"/>
  <c r="J45" i="27"/>
  <c r="V45" i="27" s="1"/>
  <c r="J44" i="27"/>
  <c r="V44" i="27" s="1"/>
  <c r="J43" i="27"/>
  <c r="W43" i="27" s="1"/>
  <c r="J42" i="27"/>
  <c r="W42" i="27" s="1"/>
  <c r="J41" i="27"/>
  <c r="V41" i="27" s="1"/>
  <c r="J40" i="27"/>
  <c r="V40" i="27" s="1"/>
  <c r="J39" i="27"/>
  <c r="W39" i="27" s="1"/>
  <c r="J38" i="27"/>
  <c r="W38" i="27" s="1"/>
  <c r="J37" i="27"/>
  <c r="V37" i="27" s="1"/>
  <c r="J36" i="27"/>
  <c r="V36" i="27" s="1"/>
  <c r="J35" i="27"/>
  <c r="W35" i="27" s="1"/>
  <c r="J34" i="27"/>
  <c r="W34" i="27" s="1"/>
  <c r="J33" i="27"/>
  <c r="V33" i="27" s="1"/>
  <c r="J32" i="27"/>
  <c r="V32" i="27" s="1"/>
  <c r="J31" i="27"/>
  <c r="W31" i="27" s="1"/>
  <c r="J30" i="27"/>
  <c r="W30" i="27" s="1"/>
  <c r="J29" i="27"/>
  <c r="V29" i="27" s="1"/>
  <c r="J28" i="27"/>
  <c r="V28" i="27" s="1"/>
  <c r="J27" i="27"/>
  <c r="W27" i="27" s="1"/>
  <c r="J26" i="27"/>
  <c r="W26" i="27" s="1"/>
  <c r="J25" i="27"/>
  <c r="V25" i="27" s="1"/>
  <c r="J24" i="27"/>
  <c r="V24" i="27" s="1"/>
  <c r="J23" i="27"/>
  <c r="W23" i="27" s="1"/>
  <c r="J22" i="27"/>
  <c r="W22" i="27" s="1"/>
  <c r="J21" i="27"/>
  <c r="V21" i="27" s="1"/>
  <c r="J20" i="27"/>
  <c r="V20" i="27" s="1"/>
  <c r="J19" i="27"/>
  <c r="W19" i="27" s="1"/>
  <c r="J18" i="27"/>
  <c r="W18" i="27" s="1"/>
  <c r="J17" i="27"/>
  <c r="V17" i="27" s="1"/>
  <c r="J16" i="27"/>
  <c r="V16" i="27" s="1"/>
  <c r="J15" i="27"/>
  <c r="W15" i="27" s="1"/>
  <c r="J14" i="27"/>
  <c r="W14" i="27" s="1"/>
  <c r="J13" i="27"/>
  <c r="V13" i="27" s="1"/>
  <c r="J12" i="27"/>
  <c r="V12" i="27" s="1"/>
  <c r="J11" i="27"/>
  <c r="W11" i="27" s="1"/>
  <c r="J10" i="27"/>
  <c r="W10" i="27" s="1"/>
  <c r="J9" i="27"/>
  <c r="W9" i="27" s="1"/>
  <c r="Q8" i="27"/>
  <c r="P8" i="27"/>
  <c r="O8" i="27"/>
  <c r="N8" i="27"/>
  <c r="J8" i="27"/>
  <c r="V8" i="27" s="1"/>
  <c r="J7" i="27"/>
  <c r="V7" i="27" s="1"/>
  <c r="R6" i="27"/>
  <c r="J6" i="27"/>
  <c r="W6" i="27" s="1"/>
  <c r="R4" i="27"/>
  <c r="J130" i="26"/>
  <c r="J79" i="26"/>
  <c r="J78" i="26"/>
  <c r="J129" i="26"/>
  <c r="W57" i="27" l="1"/>
  <c r="W60" i="27"/>
  <c r="W100" i="27"/>
  <c r="W10" i="28"/>
  <c r="V27" i="28"/>
  <c r="V47" i="28"/>
  <c r="W59" i="28"/>
  <c r="W49" i="27"/>
  <c r="W52" i="27"/>
  <c r="V105" i="27"/>
  <c r="W15" i="28"/>
  <c r="V18" i="28"/>
  <c r="W35" i="28"/>
  <c r="V38" i="28"/>
  <c r="W51" i="28"/>
  <c r="W105" i="28"/>
  <c r="W7" i="27"/>
  <c r="W13" i="27"/>
  <c r="W16" i="27"/>
  <c r="W21" i="27"/>
  <c r="W24" i="27"/>
  <c r="W33" i="27"/>
  <c r="V76" i="27"/>
  <c r="V92" i="27"/>
  <c r="V101" i="27"/>
  <c r="V103" i="27"/>
  <c r="V111" i="27"/>
  <c r="V14" i="28"/>
  <c r="V23" i="28"/>
  <c r="V42" i="28"/>
  <c r="V50" i="28"/>
  <c r="V54" i="28"/>
  <c r="V58" i="28"/>
  <c r="V62" i="28"/>
  <c r="W76" i="28"/>
  <c r="W103" i="28"/>
  <c r="W114" i="28"/>
  <c r="W116" i="28"/>
  <c r="W126" i="28"/>
  <c r="W189" i="29"/>
  <c r="W97" i="27"/>
  <c r="V116" i="27"/>
  <c r="V19" i="28"/>
  <c r="V26" i="28"/>
  <c r="V31" i="28"/>
  <c r="V46" i="28"/>
  <c r="W52" i="28"/>
  <c r="W56" i="28"/>
  <c r="W60" i="28"/>
  <c r="W64" i="28"/>
  <c r="V75" i="28"/>
  <c r="W80" i="28"/>
  <c r="W128" i="29"/>
  <c r="R8" i="27"/>
  <c r="P10" i="27" s="1"/>
  <c r="W12" i="27"/>
  <c r="W17" i="27"/>
  <c r="W20" i="27"/>
  <c r="W25" i="27"/>
  <c r="W28" i="27"/>
  <c r="V22" i="28"/>
  <c r="W95" i="28"/>
  <c r="W107" i="28"/>
  <c r="W113" i="28"/>
  <c r="W115" i="28"/>
  <c r="W117" i="28"/>
  <c r="V199" i="30"/>
  <c r="W199" i="30"/>
  <c r="W150" i="30"/>
  <c r="V62" i="29"/>
  <c r="V96" i="29"/>
  <c r="V12" i="29"/>
  <c r="W124" i="29"/>
  <c r="V105" i="29"/>
  <c r="W165" i="29"/>
  <c r="V168" i="29"/>
  <c r="W93" i="29"/>
  <c r="V109" i="29"/>
  <c r="V163" i="29"/>
  <c r="V101" i="29"/>
  <c r="W41" i="29"/>
  <c r="W173" i="29"/>
  <c r="V176" i="29"/>
  <c r="W154" i="29"/>
  <c r="W21" i="29"/>
  <c r="W82" i="29"/>
  <c r="V123" i="29"/>
  <c r="W153" i="29"/>
  <c r="W158" i="29"/>
  <c r="V164" i="29"/>
  <c r="W169" i="29"/>
  <c r="V172" i="29"/>
  <c r="W177" i="29"/>
  <c r="V180" i="29"/>
  <c r="V167" i="29"/>
  <c r="V171" i="29"/>
  <c r="V175" i="29"/>
  <c r="V179" i="29"/>
  <c r="W37" i="29"/>
  <c r="V66" i="29"/>
  <c r="W92" i="29"/>
  <c r="W125" i="29"/>
  <c r="W129" i="29"/>
  <c r="R6" i="29"/>
  <c r="W25" i="29"/>
  <c r="V58" i="29"/>
  <c r="W102" i="29"/>
  <c r="W106" i="29"/>
  <c r="W120" i="29"/>
  <c r="W122" i="29"/>
  <c r="W126" i="29"/>
  <c r="W138" i="29"/>
  <c r="W155" i="29"/>
  <c r="W162" i="29"/>
  <c r="W166" i="29"/>
  <c r="W170" i="29"/>
  <c r="W174" i="29"/>
  <c r="W178" i="29"/>
  <c r="W97" i="29"/>
  <c r="V100" i="29"/>
  <c r="V104" i="29"/>
  <c r="V108" i="29"/>
  <c r="V144" i="29"/>
  <c r="W159" i="29"/>
  <c r="W29" i="29"/>
  <c r="W45" i="29"/>
  <c r="V50" i="29"/>
  <c r="V54" i="29"/>
  <c r="V78" i="29"/>
  <c r="W49" i="29"/>
  <c r="W53" i="29"/>
  <c r="W57" i="29"/>
  <c r="W61" i="29"/>
  <c r="W65" i="29"/>
  <c r="W77" i="29"/>
  <c r="W17" i="29"/>
  <c r="W33" i="29"/>
  <c r="V157" i="29"/>
  <c r="V161" i="29"/>
  <c r="J196" i="29"/>
  <c r="W156" i="29"/>
  <c r="W160" i="29"/>
  <c r="W98" i="29"/>
  <c r="W94" i="29"/>
  <c r="W13" i="29"/>
  <c r="J145" i="29"/>
  <c r="W95" i="29"/>
  <c r="W99" i="29"/>
  <c r="W103" i="29"/>
  <c r="W107" i="29"/>
  <c r="W121" i="29"/>
  <c r="W14" i="29"/>
  <c r="W18" i="29"/>
  <c r="W22" i="29"/>
  <c r="W26" i="29"/>
  <c r="W30" i="29"/>
  <c r="W34" i="29"/>
  <c r="P10" i="29" s="1"/>
  <c r="W38" i="29"/>
  <c r="W42" i="29"/>
  <c r="W46" i="29"/>
  <c r="J84" i="29"/>
  <c r="W84" i="29" s="1"/>
  <c r="V11" i="29"/>
  <c r="V16" i="29"/>
  <c r="V20" i="29"/>
  <c r="V24" i="29"/>
  <c r="V28" i="29"/>
  <c r="V32" i="29"/>
  <c r="V36" i="29"/>
  <c r="V40" i="29"/>
  <c r="V44" i="29"/>
  <c r="V48" i="29"/>
  <c r="V52" i="29"/>
  <c r="O10" i="29" s="1"/>
  <c r="V56" i="29"/>
  <c r="V60" i="29"/>
  <c r="V64" i="29"/>
  <c r="W9" i="29"/>
  <c r="W10" i="29"/>
  <c r="W15" i="29"/>
  <c r="W19" i="29"/>
  <c r="W23" i="29"/>
  <c r="W27" i="29"/>
  <c r="W31" i="29"/>
  <c r="W35" i="29"/>
  <c r="W39" i="29"/>
  <c r="W43" i="29"/>
  <c r="W47" i="29"/>
  <c r="W51" i="29"/>
  <c r="W55" i="29"/>
  <c r="W59" i="29"/>
  <c r="W63" i="29"/>
  <c r="W79" i="29"/>
  <c r="W83" i="29"/>
  <c r="R8" i="28"/>
  <c r="P10" i="28" s="1"/>
  <c r="W109" i="28"/>
  <c r="V43" i="28"/>
  <c r="W39" i="28"/>
  <c r="W101" i="28"/>
  <c r="V30" i="28"/>
  <c r="W99" i="28"/>
  <c r="V11" i="28"/>
  <c r="J133" i="28"/>
  <c r="W93" i="28"/>
  <c r="W91" i="28"/>
  <c r="W90" i="28"/>
  <c r="W92" i="28"/>
  <c r="W94" i="28"/>
  <c r="W96" i="28"/>
  <c r="W98" i="28"/>
  <c r="W100" i="28"/>
  <c r="W102" i="28"/>
  <c r="W104" i="28"/>
  <c r="W106" i="28"/>
  <c r="W108" i="28"/>
  <c r="W110" i="28"/>
  <c r="W112" i="28"/>
  <c r="V34" i="28"/>
  <c r="V9" i="28"/>
  <c r="W12" i="28"/>
  <c r="W16" i="28"/>
  <c r="W20" i="28"/>
  <c r="W24" i="28"/>
  <c r="W28" i="28"/>
  <c r="W32" i="28"/>
  <c r="W36" i="28"/>
  <c r="W40" i="28"/>
  <c r="W44" i="28"/>
  <c r="W48" i="28"/>
  <c r="J82" i="28"/>
  <c r="W82" i="28" s="1"/>
  <c r="W7" i="28"/>
  <c r="W8" i="28"/>
  <c r="W13" i="28"/>
  <c r="W17" i="28"/>
  <c r="W21" i="28"/>
  <c r="W25" i="28"/>
  <c r="W29" i="28"/>
  <c r="W33" i="28"/>
  <c r="W37" i="28"/>
  <c r="W41" i="28"/>
  <c r="W45" i="28"/>
  <c r="W49" i="28"/>
  <c r="W53" i="28"/>
  <c r="W57" i="28"/>
  <c r="W61" i="28"/>
  <c r="W77" i="28"/>
  <c r="W81" i="28"/>
  <c r="V90" i="28"/>
  <c r="V133" i="28" s="1"/>
  <c r="W113" i="27"/>
  <c r="W117" i="27"/>
  <c r="W81" i="27"/>
  <c r="W53" i="27"/>
  <c r="W56" i="27"/>
  <c r="W61" i="27"/>
  <c r="W64" i="27"/>
  <c r="V75" i="27"/>
  <c r="W48" i="27"/>
  <c r="V109" i="27"/>
  <c r="W108" i="27"/>
  <c r="V104" i="27"/>
  <c r="V99" i="27"/>
  <c r="W45" i="27"/>
  <c r="W44" i="27"/>
  <c r="W41" i="27"/>
  <c r="W40" i="27"/>
  <c r="W37" i="27"/>
  <c r="W36" i="27"/>
  <c r="W32" i="27"/>
  <c r="W29" i="27"/>
  <c r="V95" i="27"/>
  <c r="W93" i="27"/>
  <c r="V91" i="27"/>
  <c r="W80" i="27"/>
  <c r="V11" i="27"/>
  <c r="V15" i="27"/>
  <c r="V19" i="27"/>
  <c r="V23" i="27"/>
  <c r="V27" i="27"/>
  <c r="V31" i="27"/>
  <c r="V35" i="27"/>
  <c r="V39" i="27"/>
  <c r="V43" i="27"/>
  <c r="V47" i="27"/>
  <c r="V51" i="27"/>
  <c r="V55" i="27"/>
  <c r="V59" i="27"/>
  <c r="V63" i="27"/>
  <c r="W77" i="27"/>
  <c r="W102" i="27"/>
  <c r="W106" i="27"/>
  <c r="W110" i="27"/>
  <c r="W114" i="27"/>
  <c r="W126" i="27"/>
  <c r="W94" i="27"/>
  <c r="W98" i="27"/>
  <c r="J133" i="27"/>
  <c r="W90" i="27"/>
  <c r="V9" i="27"/>
  <c r="V10" i="27"/>
  <c r="V14" i="27"/>
  <c r="V18" i="27"/>
  <c r="V22" i="27"/>
  <c r="V26" i="27"/>
  <c r="V30" i="27"/>
  <c r="V34" i="27"/>
  <c r="V38" i="27"/>
  <c r="V42" i="27"/>
  <c r="V46" i="27"/>
  <c r="V50" i="27"/>
  <c r="V54" i="27"/>
  <c r="V58" i="27"/>
  <c r="V62" i="27"/>
  <c r="V132" i="27"/>
  <c r="J82" i="27"/>
  <c r="W82" i="27" s="1"/>
  <c r="W8" i="27"/>
  <c r="J65" i="26"/>
  <c r="J66" i="26"/>
  <c r="J67" i="26"/>
  <c r="J68" i="26"/>
  <c r="J69" i="26"/>
  <c r="J70" i="26"/>
  <c r="J71" i="26"/>
  <c r="J72" i="26"/>
  <c r="J73" i="26"/>
  <c r="J74" i="26"/>
  <c r="J118" i="26"/>
  <c r="J119" i="26"/>
  <c r="J120" i="26"/>
  <c r="J121" i="26"/>
  <c r="J122" i="26"/>
  <c r="J123" i="26"/>
  <c r="J124" i="26"/>
  <c r="J125" i="26"/>
  <c r="J132" i="26"/>
  <c r="W132" i="26" s="1"/>
  <c r="J131" i="26"/>
  <c r="J128" i="26"/>
  <c r="J127" i="26"/>
  <c r="J126" i="26"/>
  <c r="V126" i="26" s="1"/>
  <c r="J117" i="26"/>
  <c r="V117" i="26" s="1"/>
  <c r="J116" i="26"/>
  <c r="W116" i="26" s="1"/>
  <c r="J115" i="26"/>
  <c r="V115" i="26" s="1"/>
  <c r="J114" i="26"/>
  <c r="V114" i="26" s="1"/>
  <c r="J113" i="26"/>
  <c r="V113" i="26" s="1"/>
  <c r="J112" i="26"/>
  <c r="W112" i="26" s="1"/>
  <c r="J111" i="26"/>
  <c r="V111" i="26" s="1"/>
  <c r="J110" i="26"/>
  <c r="W110" i="26" s="1"/>
  <c r="J109" i="26"/>
  <c r="V109" i="26" s="1"/>
  <c r="J108" i="26"/>
  <c r="W108" i="26" s="1"/>
  <c r="J107" i="26"/>
  <c r="V107" i="26" s="1"/>
  <c r="J106" i="26"/>
  <c r="W106" i="26" s="1"/>
  <c r="J105" i="26"/>
  <c r="W105" i="26" s="1"/>
  <c r="J104" i="26"/>
  <c r="W104" i="26" s="1"/>
  <c r="J103" i="26"/>
  <c r="V103" i="26" s="1"/>
  <c r="J102" i="26"/>
  <c r="W102" i="26" s="1"/>
  <c r="V101" i="26"/>
  <c r="J101" i="26"/>
  <c r="W101" i="26" s="1"/>
  <c r="J100" i="26"/>
  <c r="W100" i="26" s="1"/>
  <c r="J99" i="26"/>
  <c r="V99" i="26" s="1"/>
  <c r="J98" i="26"/>
  <c r="V98" i="26" s="1"/>
  <c r="J97" i="26"/>
  <c r="V97" i="26" s="1"/>
  <c r="J96" i="26"/>
  <c r="W96" i="26" s="1"/>
  <c r="J95" i="26"/>
  <c r="V95" i="26" s="1"/>
  <c r="J94" i="26"/>
  <c r="W94" i="26" s="1"/>
  <c r="J93" i="26"/>
  <c r="V93" i="26" s="1"/>
  <c r="V92" i="26"/>
  <c r="J92" i="26"/>
  <c r="W92" i="26" s="1"/>
  <c r="J91" i="26"/>
  <c r="V91" i="26" s="1"/>
  <c r="B91" i="26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J90" i="26"/>
  <c r="J81" i="26"/>
  <c r="W81" i="26" s="1"/>
  <c r="J80" i="26"/>
  <c r="V80" i="26" s="1"/>
  <c r="J77" i="26"/>
  <c r="W77" i="26" s="1"/>
  <c r="J76" i="26"/>
  <c r="V76" i="26" s="1"/>
  <c r="J75" i="26"/>
  <c r="V75" i="26" s="1"/>
  <c r="J64" i="26"/>
  <c r="V64" i="26" s="1"/>
  <c r="J63" i="26"/>
  <c r="W63" i="26" s="1"/>
  <c r="J62" i="26"/>
  <c r="V62" i="26" s="1"/>
  <c r="J61" i="26"/>
  <c r="W61" i="26" s="1"/>
  <c r="J60" i="26"/>
  <c r="V60" i="26" s="1"/>
  <c r="J59" i="26"/>
  <c r="W59" i="26" s="1"/>
  <c r="J58" i="26"/>
  <c r="V58" i="26" s="1"/>
  <c r="J57" i="26"/>
  <c r="V57" i="26" s="1"/>
  <c r="J56" i="26"/>
  <c r="W56" i="26" s="1"/>
  <c r="J55" i="26"/>
  <c r="W55" i="26" s="1"/>
  <c r="J54" i="26"/>
  <c r="V54" i="26" s="1"/>
  <c r="J53" i="26"/>
  <c r="V53" i="26" s="1"/>
  <c r="J52" i="26"/>
  <c r="W52" i="26" s="1"/>
  <c r="J51" i="26"/>
  <c r="W51" i="26" s="1"/>
  <c r="J50" i="26"/>
  <c r="V50" i="26" s="1"/>
  <c r="J49" i="26"/>
  <c r="V49" i="26" s="1"/>
  <c r="J48" i="26"/>
  <c r="V48" i="26" s="1"/>
  <c r="J47" i="26"/>
  <c r="W47" i="26" s="1"/>
  <c r="J46" i="26"/>
  <c r="V46" i="26" s="1"/>
  <c r="J45" i="26"/>
  <c r="W45" i="26" s="1"/>
  <c r="J44" i="26"/>
  <c r="V44" i="26" s="1"/>
  <c r="J43" i="26"/>
  <c r="W43" i="26" s="1"/>
  <c r="J42" i="26"/>
  <c r="V42" i="26" s="1"/>
  <c r="J41" i="26"/>
  <c r="V41" i="26" s="1"/>
  <c r="J40" i="26"/>
  <c r="W40" i="26" s="1"/>
  <c r="J39" i="26"/>
  <c r="W39" i="26" s="1"/>
  <c r="J38" i="26"/>
  <c r="V38" i="26" s="1"/>
  <c r="J37" i="26"/>
  <c r="V37" i="26" s="1"/>
  <c r="J36" i="26"/>
  <c r="W36" i="26" s="1"/>
  <c r="J35" i="26"/>
  <c r="W35" i="26" s="1"/>
  <c r="J34" i="26"/>
  <c r="V34" i="26" s="1"/>
  <c r="J33" i="26"/>
  <c r="V33" i="26" s="1"/>
  <c r="J32" i="26"/>
  <c r="V32" i="26" s="1"/>
  <c r="J31" i="26"/>
  <c r="W31" i="26" s="1"/>
  <c r="J30" i="26"/>
  <c r="V30" i="26" s="1"/>
  <c r="J29" i="26"/>
  <c r="W29" i="26" s="1"/>
  <c r="J28" i="26"/>
  <c r="V28" i="26" s="1"/>
  <c r="J27" i="26"/>
  <c r="W27" i="26" s="1"/>
  <c r="J26" i="26"/>
  <c r="V26" i="26" s="1"/>
  <c r="J25" i="26"/>
  <c r="V25" i="26" s="1"/>
  <c r="J24" i="26"/>
  <c r="W24" i="26" s="1"/>
  <c r="J23" i="26"/>
  <c r="W23" i="26" s="1"/>
  <c r="J22" i="26"/>
  <c r="V22" i="26" s="1"/>
  <c r="J21" i="26"/>
  <c r="V21" i="26" s="1"/>
  <c r="J20" i="26"/>
  <c r="V20" i="26" s="1"/>
  <c r="J19" i="26"/>
  <c r="W19" i="26" s="1"/>
  <c r="J18" i="26"/>
  <c r="V18" i="26" s="1"/>
  <c r="J17" i="26"/>
  <c r="V17" i="26" s="1"/>
  <c r="J16" i="26"/>
  <c r="V16" i="26" s="1"/>
  <c r="J15" i="26"/>
  <c r="W15" i="26" s="1"/>
  <c r="J14" i="26"/>
  <c r="V14" i="26" s="1"/>
  <c r="J13" i="26"/>
  <c r="W13" i="26" s="1"/>
  <c r="J12" i="26"/>
  <c r="V12" i="26" s="1"/>
  <c r="J11" i="26"/>
  <c r="W11" i="26" s="1"/>
  <c r="J10" i="26"/>
  <c r="V10" i="26" s="1"/>
  <c r="J9" i="26"/>
  <c r="V9" i="26" s="1"/>
  <c r="P8" i="26"/>
  <c r="O8" i="26"/>
  <c r="N8" i="26"/>
  <c r="J8" i="26"/>
  <c r="V8" i="26" s="1"/>
  <c r="J7" i="26"/>
  <c r="V7" i="26" s="1"/>
  <c r="R6" i="26"/>
  <c r="J6" i="26"/>
  <c r="W6" i="26" s="1"/>
  <c r="R4" i="26"/>
  <c r="Q8" i="26"/>
  <c r="R6" i="25"/>
  <c r="W37" i="26" l="1"/>
  <c r="V52" i="26"/>
  <c r="V96" i="26"/>
  <c r="W80" i="26"/>
  <c r="V102" i="26"/>
  <c r="W126" i="26"/>
  <c r="W16" i="26"/>
  <c r="W97" i="26"/>
  <c r="W113" i="26"/>
  <c r="V55" i="26"/>
  <c r="V81" i="26"/>
  <c r="V106" i="26"/>
  <c r="V108" i="26"/>
  <c r="W117" i="26"/>
  <c r="V132" i="26"/>
  <c r="V11" i="26"/>
  <c r="W21" i="26"/>
  <c r="V39" i="26"/>
  <c r="W53" i="26"/>
  <c r="V112" i="26"/>
  <c r="V145" i="29"/>
  <c r="V196" i="29"/>
  <c r="W196" i="29"/>
  <c r="R8" i="29"/>
  <c r="Q10" i="29" s="1"/>
  <c r="N10" i="29"/>
  <c r="R10" i="29" s="1"/>
  <c r="P12" i="29" s="1"/>
  <c r="W145" i="29"/>
  <c r="W133" i="28"/>
  <c r="V133" i="27"/>
  <c r="W133" i="27"/>
  <c r="R8" i="26"/>
  <c r="P10" i="26" s="1"/>
  <c r="V63" i="26"/>
  <c r="V59" i="26"/>
  <c r="W57" i="26"/>
  <c r="W114" i="26"/>
  <c r="V116" i="26"/>
  <c r="V110" i="26"/>
  <c r="W48" i="26"/>
  <c r="W109" i="26"/>
  <c r="V43" i="26"/>
  <c r="W41" i="26"/>
  <c r="V105" i="26"/>
  <c r="V104" i="26"/>
  <c r="V36" i="26"/>
  <c r="V100" i="26"/>
  <c r="W98" i="26"/>
  <c r="W32" i="26"/>
  <c r="V13" i="26"/>
  <c r="V94" i="26"/>
  <c r="J133" i="26"/>
  <c r="W93" i="26"/>
  <c r="W90" i="26"/>
  <c r="W91" i="26"/>
  <c r="W95" i="26"/>
  <c r="W99" i="26"/>
  <c r="W103" i="26"/>
  <c r="W107" i="26"/>
  <c r="W111" i="26"/>
  <c r="W115" i="26"/>
  <c r="V90" i="26"/>
  <c r="V15" i="26"/>
  <c r="W20" i="26"/>
  <c r="W25" i="26"/>
  <c r="V45" i="26"/>
  <c r="W64" i="26"/>
  <c r="V27" i="26"/>
  <c r="V40" i="26"/>
  <c r="V47" i="26"/>
  <c r="V56" i="26"/>
  <c r="V24" i="26"/>
  <c r="V29" i="26"/>
  <c r="V31" i="26"/>
  <c r="V61" i="26"/>
  <c r="W7" i="26"/>
  <c r="W12" i="26"/>
  <c r="W17" i="26"/>
  <c r="V23" i="26"/>
  <c r="W28" i="26"/>
  <c r="W33" i="26"/>
  <c r="W44" i="26"/>
  <c r="W49" i="26"/>
  <c r="W60" i="26"/>
  <c r="W75" i="26"/>
  <c r="V19" i="26"/>
  <c r="V35" i="26"/>
  <c r="V51" i="26"/>
  <c r="V77" i="26"/>
  <c r="J82" i="26"/>
  <c r="W82" i="26" s="1"/>
  <c r="W8" i="26"/>
  <c r="W9" i="26"/>
  <c r="W10" i="26"/>
  <c r="W14" i="26"/>
  <c r="W18" i="26"/>
  <c r="W22" i="26"/>
  <c r="W26" i="26"/>
  <c r="W30" i="26"/>
  <c r="W34" i="26"/>
  <c r="W38" i="26"/>
  <c r="W42" i="26"/>
  <c r="W46" i="26"/>
  <c r="W50" i="26"/>
  <c r="W54" i="26"/>
  <c r="W58" i="26"/>
  <c r="W62" i="26"/>
  <c r="W76" i="26"/>
  <c r="N8" i="25"/>
  <c r="W133" i="26" l="1"/>
  <c r="V133" i="26"/>
  <c r="J107" i="25"/>
  <c r="J108" i="25"/>
  <c r="J109" i="25"/>
  <c r="J104" i="25"/>
  <c r="V104" i="25" s="1"/>
  <c r="J103" i="25"/>
  <c r="W103" i="25" s="1"/>
  <c r="J102" i="25"/>
  <c r="W102" i="25" s="1"/>
  <c r="J101" i="25"/>
  <c r="V101" i="25" s="1"/>
  <c r="J100" i="25"/>
  <c r="W100" i="25" s="1"/>
  <c r="J99" i="25"/>
  <c r="W99" i="25" s="1"/>
  <c r="J98" i="25"/>
  <c r="W98" i="25" s="1"/>
  <c r="J97" i="25"/>
  <c r="W97" i="25" s="1"/>
  <c r="J56" i="25"/>
  <c r="J57" i="25"/>
  <c r="J58" i="25"/>
  <c r="J59" i="25"/>
  <c r="J60" i="25"/>
  <c r="J61" i="25"/>
  <c r="J62" i="25"/>
  <c r="J63" i="25"/>
  <c r="J64" i="25"/>
  <c r="J65" i="25"/>
  <c r="J51" i="25"/>
  <c r="J52" i="25"/>
  <c r="J53" i="25"/>
  <c r="J54" i="25"/>
  <c r="J55" i="25"/>
  <c r="V52" i="25" l="1"/>
  <c r="W52" i="25"/>
  <c r="W63" i="25"/>
  <c r="V63" i="25"/>
  <c r="W59" i="25"/>
  <c r="V59" i="25"/>
  <c r="W55" i="25"/>
  <c r="V55" i="25"/>
  <c r="V62" i="25"/>
  <c r="W62" i="25"/>
  <c r="W65" i="25"/>
  <c r="V65" i="25"/>
  <c r="W61" i="25"/>
  <c r="V61" i="25"/>
  <c r="W57" i="25"/>
  <c r="V57" i="25"/>
  <c r="W51" i="25"/>
  <c r="V51" i="25"/>
  <c r="V58" i="25"/>
  <c r="W58" i="25"/>
  <c r="V54" i="25"/>
  <c r="W54" i="25"/>
  <c r="W53" i="25"/>
  <c r="V53" i="25"/>
  <c r="V64" i="25"/>
  <c r="W64" i="25"/>
  <c r="V60" i="25"/>
  <c r="W60" i="25"/>
  <c r="V56" i="25"/>
  <c r="W56" i="25"/>
  <c r="W104" i="25"/>
  <c r="V103" i="25"/>
  <c r="V102" i="25"/>
  <c r="W101" i="25"/>
  <c r="V100" i="25"/>
  <c r="V99" i="25"/>
  <c r="V98" i="25"/>
  <c r="V97" i="25"/>
  <c r="J110" i="25"/>
  <c r="W110" i="25" s="1"/>
  <c r="J106" i="25"/>
  <c r="V106" i="25" s="1"/>
  <c r="J105" i="25"/>
  <c r="V105" i="25" s="1"/>
  <c r="J96" i="25"/>
  <c r="W96" i="25" s="1"/>
  <c r="J95" i="25"/>
  <c r="V95" i="25" s="1"/>
  <c r="W94" i="25"/>
  <c r="J94" i="25"/>
  <c r="V94" i="25" s="1"/>
  <c r="J93" i="25"/>
  <c r="V93" i="25" s="1"/>
  <c r="J92" i="25"/>
  <c r="W92" i="25" s="1"/>
  <c r="J91" i="25"/>
  <c r="V91" i="25" s="1"/>
  <c r="J90" i="25"/>
  <c r="V90" i="25" s="1"/>
  <c r="J89" i="25"/>
  <c r="V89" i="25" s="1"/>
  <c r="J88" i="25"/>
  <c r="W88" i="25" s="1"/>
  <c r="J87" i="25"/>
  <c r="V87" i="25" s="1"/>
  <c r="J86" i="25"/>
  <c r="V86" i="25" s="1"/>
  <c r="J85" i="25"/>
  <c r="V85" i="25" s="1"/>
  <c r="J84" i="25"/>
  <c r="W84" i="25" s="1"/>
  <c r="J83" i="25"/>
  <c r="V83" i="25" s="1"/>
  <c r="J82" i="25"/>
  <c r="W82" i="25" s="1"/>
  <c r="J81" i="25"/>
  <c r="V81" i="25" s="1"/>
  <c r="J80" i="25"/>
  <c r="W80" i="25" s="1"/>
  <c r="J79" i="25"/>
  <c r="V79" i="25" s="1"/>
  <c r="B79" i="25"/>
  <c r="B80" i="25" s="1"/>
  <c r="B81" i="25" s="1"/>
  <c r="B82" i="25" s="1"/>
  <c r="B83" i="25" s="1"/>
  <c r="B84" i="25" s="1"/>
  <c r="B85" i="25" s="1"/>
  <c r="B86" i="25" s="1"/>
  <c r="B87" i="25" s="1"/>
  <c r="B88" i="25" s="1"/>
  <c r="B89" i="25" s="1"/>
  <c r="B90" i="25" s="1"/>
  <c r="B91" i="25" s="1"/>
  <c r="B92" i="25" s="1"/>
  <c r="B93" i="25" s="1"/>
  <c r="B94" i="25" s="1"/>
  <c r="B95" i="25" s="1"/>
  <c r="B96" i="25" s="1"/>
  <c r="B97" i="25" s="1"/>
  <c r="B98" i="25" s="1"/>
  <c r="B99" i="25" s="1"/>
  <c r="B100" i="25" s="1"/>
  <c r="B101" i="25" s="1"/>
  <c r="B102" i="25" s="1"/>
  <c r="B103" i="25" s="1"/>
  <c r="B104" i="25" s="1"/>
  <c r="B105" i="25" s="1"/>
  <c r="B106" i="25" s="1"/>
  <c r="J78" i="25"/>
  <c r="J69" i="25"/>
  <c r="J68" i="25"/>
  <c r="J67" i="25"/>
  <c r="J66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V15" i="25" s="1"/>
  <c r="J14" i="25"/>
  <c r="W14" i="25" s="1"/>
  <c r="J13" i="25"/>
  <c r="V13" i="25" s="1"/>
  <c r="W12" i="25"/>
  <c r="J12" i="25"/>
  <c r="V12" i="25" s="1"/>
  <c r="J11" i="25"/>
  <c r="V11" i="25" s="1"/>
  <c r="J10" i="25"/>
  <c r="W10" i="25" s="1"/>
  <c r="J9" i="25"/>
  <c r="V9" i="25" s="1"/>
  <c r="J8" i="25"/>
  <c r="W8" i="25" s="1"/>
  <c r="J7" i="25"/>
  <c r="V7" i="25" s="1"/>
  <c r="J6" i="25"/>
  <c r="W6" i="25" s="1"/>
  <c r="V82" i="25" l="1"/>
  <c r="V22" i="25"/>
  <c r="W22" i="25"/>
  <c r="V34" i="25"/>
  <c r="W34" i="25"/>
  <c r="V46" i="25"/>
  <c r="W46" i="25"/>
  <c r="W69" i="25"/>
  <c r="V69" i="25"/>
  <c r="W19" i="25"/>
  <c r="V19" i="25"/>
  <c r="W23" i="25"/>
  <c r="V23" i="25"/>
  <c r="W27" i="25"/>
  <c r="V27" i="25"/>
  <c r="W31" i="25"/>
  <c r="V31" i="25"/>
  <c r="W35" i="25"/>
  <c r="V35" i="25"/>
  <c r="W39" i="25"/>
  <c r="V39" i="25"/>
  <c r="W43" i="25"/>
  <c r="V43" i="25"/>
  <c r="W47" i="25"/>
  <c r="V47" i="25"/>
  <c r="V66" i="25"/>
  <c r="W66" i="25"/>
  <c r="V26" i="25"/>
  <c r="W26" i="25"/>
  <c r="V38" i="25"/>
  <c r="W38" i="25"/>
  <c r="V20" i="25"/>
  <c r="W20" i="25"/>
  <c r="V28" i="25"/>
  <c r="W28" i="25"/>
  <c r="V36" i="25"/>
  <c r="W36" i="25"/>
  <c r="V40" i="25"/>
  <c r="W40" i="25"/>
  <c r="V48" i="25"/>
  <c r="W48" i="25"/>
  <c r="W67" i="25"/>
  <c r="V67" i="25"/>
  <c r="V18" i="25"/>
  <c r="W18" i="25"/>
  <c r="V30" i="25"/>
  <c r="W30" i="25"/>
  <c r="V42" i="25"/>
  <c r="W42" i="25"/>
  <c r="V50" i="25"/>
  <c r="W50" i="25"/>
  <c r="P8" i="25"/>
  <c r="V16" i="25"/>
  <c r="W16" i="25"/>
  <c r="V24" i="25"/>
  <c r="W24" i="25"/>
  <c r="V32" i="25"/>
  <c r="W32" i="25"/>
  <c r="V44" i="25"/>
  <c r="W44" i="25"/>
  <c r="W17" i="25"/>
  <c r="V17" i="25"/>
  <c r="W21" i="25"/>
  <c r="V21" i="25"/>
  <c r="W25" i="25"/>
  <c r="V25" i="25"/>
  <c r="W29" i="25"/>
  <c r="V29" i="25"/>
  <c r="W33" i="25"/>
  <c r="V33" i="25"/>
  <c r="W37" i="25"/>
  <c r="V37" i="25"/>
  <c r="W41" i="25"/>
  <c r="V41" i="25"/>
  <c r="W45" i="25"/>
  <c r="V45" i="25"/>
  <c r="W49" i="25"/>
  <c r="V49" i="25"/>
  <c r="V68" i="25"/>
  <c r="W68" i="25"/>
  <c r="W86" i="25"/>
  <c r="W89" i="25"/>
  <c r="B107" i="25"/>
  <c r="B108" i="25" s="1"/>
  <c r="B109" i="25" s="1"/>
  <c r="W81" i="25"/>
  <c r="V110" i="25"/>
  <c r="V88" i="25"/>
  <c r="W90" i="25"/>
  <c r="V96" i="25"/>
  <c r="W106" i="25"/>
  <c r="W105" i="25"/>
  <c r="W93" i="25"/>
  <c r="V92" i="25"/>
  <c r="W85" i="25"/>
  <c r="V84" i="25"/>
  <c r="J111" i="25"/>
  <c r="V80" i="25"/>
  <c r="W78" i="25"/>
  <c r="W79" i="25"/>
  <c r="W83" i="25"/>
  <c r="W87" i="25"/>
  <c r="W91" i="25"/>
  <c r="W95" i="25"/>
  <c r="V78" i="25"/>
  <c r="V8" i="25"/>
  <c r="W7" i="25"/>
  <c r="W13" i="25"/>
  <c r="J70" i="25"/>
  <c r="W70" i="25" s="1"/>
  <c r="W9" i="25"/>
  <c r="V10" i="25"/>
  <c r="W11" i="25"/>
  <c r="V14" i="25"/>
  <c r="W15" i="25"/>
  <c r="V111" i="25" l="1"/>
  <c r="W111" i="25"/>
  <c r="J31" i="24" l="1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48" i="24"/>
  <c r="J29" i="24"/>
  <c r="J30" i="24"/>
  <c r="J49" i="24"/>
  <c r="J50" i="24"/>
  <c r="J54" i="24"/>
  <c r="J53" i="24"/>
  <c r="J52" i="24"/>
  <c r="J51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V15" i="24" s="1"/>
  <c r="J14" i="24"/>
  <c r="W14" i="24" s="1"/>
  <c r="J13" i="24"/>
  <c r="V13" i="24" s="1"/>
  <c r="J12" i="24"/>
  <c r="W12" i="24" s="1"/>
  <c r="J11" i="24"/>
  <c r="V11" i="24" s="1"/>
  <c r="J10" i="24"/>
  <c r="W10" i="24" s="1"/>
  <c r="J9" i="24"/>
  <c r="V9" i="24" s="1"/>
  <c r="J8" i="24"/>
  <c r="V8" i="24" s="1"/>
  <c r="V7" i="24"/>
  <c r="J7" i="24"/>
  <c r="W7" i="24" s="1"/>
  <c r="J6" i="24"/>
  <c r="J32" i="22"/>
  <c r="W32" i="22" s="1"/>
  <c r="J31" i="22"/>
  <c r="J30" i="22"/>
  <c r="J29" i="22"/>
  <c r="J28" i="22"/>
  <c r="J27" i="22"/>
  <c r="V27" i="22" s="1"/>
  <c r="J26" i="22"/>
  <c r="V26" i="22" s="1"/>
  <c r="J25" i="22"/>
  <c r="V25" i="22" s="1"/>
  <c r="J24" i="22"/>
  <c r="W24" i="22" s="1"/>
  <c r="J23" i="22"/>
  <c r="V23" i="22" s="1"/>
  <c r="J22" i="22"/>
  <c r="W22" i="22" s="1"/>
  <c r="J21" i="22"/>
  <c r="W21" i="22" s="1"/>
  <c r="V20" i="22"/>
  <c r="J20" i="22"/>
  <c r="W20" i="22" s="1"/>
  <c r="J19" i="22"/>
  <c r="V19" i="22" s="1"/>
  <c r="V18" i="22"/>
  <c r="J18" i="22"/>
  <c r="W18" i="22" s="1"/>
  <c r="J17" i="22"/>
  <c r="V17" i="22" s="1"/>
  <c r="J16" i="22"/>
  <c r="W16" i="22" s="1"/>
  <c r="J15" i="22"/>
  <c r="V15" i="22" s="1"/>
  <c r="J14" i="22"/>
  <c r="V14" i="22" s="1"/>
  <c r="J13" i="22"/>
  <c r="V13" i="22" s="1"/>
  <c r="J12" i="22"/>
  <c r="W12" i="22" s="1"/>
  <c r="J11" i="22"/>
  <c r="V11" i="22" s="1"/>
  <c r="J10" i="22"/>
  <c r="V10" i="22" s="1"/>
  <c r="J9" i="22"/>
  <c r="V9" i="22" s="1"/>
  <c r="J8" i="22"/>
  <c r="W8" i="22" s="1"/>
  <c r="J7" i="22"/>
  <c r="W7" i="22" s="1"/>
  <c r="J6" i="22"/>
  <c r="V6" i="22" s="1"/>
  <c r="N4" i="22"/>
  <c r="W25" i="22" l="1"/>
  <c r="W30" i="24"/>
  <c r="V30" i="24"/>
  <c r="V22" i="22"/>
  <c r="V24" i="22"/>
  <c r="V32" i="22"/>
  <c r="W16" i="24"/>
  <c r="V16" i="24"/>
  <c r="V20" i="24"/>
  <c r="W20" i="24"/>
  <c r="V24" i="24"/>
  <c r="W24" i="24"/>
  <c r="V28" i="24"/>
  <c r="W28" i="24"/>
  <c r="W54" i="24"/>
  <c r="V54" i="24"/>
  <c r="V29" i="24"/>
  <c r="W29" i="24"/>
  <c r="V45" i="24"/>
  <c r="W45" i="24"/>
  <c r="V41" i="24"/>
  <c r="W41" i="24"/>
  <c r="V37" i="24"/>
  <c r="W37" i="24"/>
  <c r="V33" i="24"/>
  <c r="W33" i="24"/>
  <c r="V23" i="24"/>
  <c r="W23" i="24"/>
  <c r="V27" i="24"/>
  <c r="W27" i="24"/>
  <c r="W46" i="24"/>
  <c r="V46" i="24"/>
  <c r="W38" i="24"/>
  <c r="V38" i="24"/>
  <c r="V21" i="22"/>
  <c r="W26" i="22"/>
  <c r="V17" i="24"/>
  <c r="W17" i="24"/>
  <c r="V21" i="24"/>
  <c r="W21" i="24"/>
  <c r="V25" i="24"/>
  <c r="W25" i="24"/>
  <c r="V51" i="24"/>
  <c r="W51" i="24"/>
  <c r="W50" i="24"/>
  <c r="V50" i="24"/>
  <c r="V48" i="24"/>
  <c r="W48" i="24"/>
  <c r="V44" i="24"/>
  <c r="W44" i="24"/>
  <c r="V40" i="24"/>
  <c r="W40" i="24"/>
  <c r="V36" i="24"/>
  <c r="W36" i="24"/>
  <c r="V32" i="24"/>
  <c r="W32" i="24"/>
  <c r="V19" i="24"/>
  <c r="W19" i="24"/>
  <c r="V53" i="24"/>
  <c r="W53" i="24"/>
  <c r="W42" i="24"/>
  <c r="V42" i="24"/>
  <c r="W34" i="24"/>
  <c r="V34" i="24"/>
  <c r="W18" i="24"/>
  <c r="V18" i="24"/>
  <c r="W22" i="24"/>
  <c r="V22" i="24"/>
  <c r="W26" i="24"/>
  <c r="V26" i="24"/>
  <c r="V52" i="24"/>
  <c r="W52" i="24"/>
  <c r="V49" i="24"/>
  <c r="W49" i="24"/>
  <c r="V47" i="24"/>
  <c r="W47" i="24"/>
  <c r="V43" i="24"/>
  <c r="W43" i="24"/>
  <c r="V39" i="24"/>
  <c r="W39" i="24"/>
  <c r="V35" i="24"/>
  <c r="W35" i="24"/>
  <c r="V31" i="24"/>
  <c r="W31" i="24"/>
  <c r="V10" i="24"/>
  <c r="W15" i="24"/>
  <c r="V14" i="24"/>
  <c r="V12" i="24"/>
  <c r="W11" i="24"/>
  <c r="J55" i="24"/>
  <c r="W6" i="24"/>
  <c r="V6" i="24"/>
  <c r="W8" i="24"/>
  <c r="N6" i="24"/>
  <c r="W9" i="24"/>
  <c r="W13" i="24"/>
  <c r="W10" i="22"/>
  <c r="V7" i="22"/>
  <c r="W14" i="22"/>
  <c r="N6" i="22"/>
  <c r="V8" i="22"/>
  <c r="W9" i="22"/>
  <c r="V12" i="22"/>
  <c r="W13" i="22"/>
  <c r="V16" i="22"/>
  <c r="W17" i="22"/>
  <c r="W15" i="22"/>
  <c r="W23" i="22"/>
  <c r="W27" i="22"/>
  <c r="J33" i="22"/>
  <c r="W6" i="22"/>
  <c r="W11" i="22"/>
  <c r="W19" i="22"/>
  <c r="V55" i="24" l="1"/>
  <c r="O6" i="24" s="1"/>
  <c r="R6" i="24" s="1"/>
  <c r="P8" i="24" s="1"/>
  <c r="W55" i="24"/>
  <c r="P6" i="24" s="1"/>
  <c r="V33" i="22"/>
  <c r="O4" i="22" s="1"/>
  <c r="W33" i="22"/>
  <c r="P4" i="22" s="1"/>
  <c r="P6" i="22" s="1"/>
  <c r="R4" i="24" l="1"/>
  <c r="Q4" i="24"/>
  <c r="Q6" i="24" s="1"/>
  <c r="Q4" i="22"/>
  <c r="Q6" i="22" s="1"/>
  <c r="O6" i="22"/>
  <c r="R6" i="22" s="1"/>
  <c r="P8" i="22" s="1"/>
  <c r="R4" i="22"/>
  <c r="Q4" i="25"/>
  <c r="Q8" i="25" s="1"/>
  <c r="R4" i="25" l="1"/>
  <c r="O8" i="25"/>
  <c r="R8" i="25" s="1"/>
  <c r="P10" i="25" s="1"/>
  <c r="V6" i="25"/>
  <c r="V6" i="27"/>
  <c r="V8" i="29"/>
  <c r="V6" i="26"/>
  <c r="V6" i="28"/>
  <c r="V8" i="30"/>
  <c r="V8" i="31"/>
</calcChain>
</file>

<file path=xl/sharedStrings.xml><?xml version="1.0" encoding="utf-8"?>
<sst xmlns="http://schemas.openxmlformats.org/spreadsheetml/2006/main" count="11240" uniqueCount="1013">
  <si>
    <t>Back</t>
  </si>
  <si>
    <t xml:space="preserve">         </t>
  </si>
  <si>
    <t>Winnes Capital Line</t>
  </si>
  <si>
    <t>CALLS DETAILS</t>
  </si>
  <si>
    <t>TOTAL CALLS</t>
  </si>
  <si>
    <t>TGT HIT</t>
  </si>
  <si>
    <t>SL HIT</t>
  </si>
  <si>
    <t>BE EXIT</t>
  </si>
  <si>
    <t>ACCURACY</t>
  </si>
  <si>
    <t>Sr.</t>
  </si>
  <si>
    <t>DATE</t>
  </si>
  <si>
    <t>BUY/SELL</t>
  </si>
  <si>
    <t>SCRIPTS</t>
  </si>
  <si>
    <t>ENTRY</t>
  </si>
  <si>
    <t>EXIT</t>
  </si>
  <si>
    <t>POINTS</t>
  </si>
  <si>
    <t>QTY</t>
  </si>
  <si>
    <t>PROFIT</t>
  </si>
  <si>
    <t>BUY</t>
  </si>
  <si>
    <t>TOTAL</t>
  </si>
  <si>
    <t>Accuracy of the Month</t>
  </si>
  <si>
    <t xml:space="preserve"> </t>
  </si>
  <si>
    <t>www.winnerscapitalline.com</t>
  </si>
  <si>
    <t>Total</t>
  </si>
  <si>
    <t>↓↓↓↓↓</t>
  </si>
  <si>
    <t>Click any Month</t>
  </si>
  <si>
    <t>Year</t>
  </si>
  <si>
    <t>Month</t>
  </si>
  <si>
    <t>November</t>
  </si>
  <si>
    <t>December</t>
  </si>
  <si>
    <t>July</t>
  </si>
  <si>
    <t>August</t>
  </si>
  <si>
    <t>September</t>
  </si>
  <si>
    <t>October</t>
  </si>
  <si>
    <t>22400 CE</t>
  </si>
  <si>
    <t>22100 CE</t>
  </si>
  <si>
    <t>PERFORMANCE OF    EXTRA BANKNIFTY OPTION QTY PER 4 LOT</t>
  </si>
  <si>
    <t>22000 PE</t>
  </si>
  <si>
    <t>21900 PE</t>
  </si>
  <si>
    <t>21900 CE</t>
  </si>
  <si>
    <t>21200 PE</t>
  </si>
  <si>
    <t>21100 PE</t>
  </si>
  <si>
    <t>21300 PE</t>
  </si>
  <si>
    <t>21400 PE</t>
  </si>
  <si>
    <t>21800 CE</t>
  </si>
  <si>
    <t>21700 CE</t>
  </si>
  <si>
    <t>22300 CE</t>
  </si>
  <si>
    <t>22400 PE</t>
  </si>
  <si>
    <t>22500 CE</t>
  </si>
  <si>
    <t>22000 CE</t>
  </si>
  <si>
    <t>22900 CE</t>
  </si>
  <si>
    <t>23300 CE</t>
  </si>
  <si>
    <t>23100 CE</t>
  </si>
  <si>
    <t>23400 CE</t>
  </si>
  <si>
    <t>23700 CE</t>
  </si>
  <si>
    <t>23800 PE</t>
  </si>
  <si>
    <t>24600 CE</t>
  </si>
  <si>
    <t>24500 CE</t>
  </si>
  <si>
    <t>24200 CE</t>
  </si>
  <si>
    <t>22800 PE</t>
  </si>
  <si>
    <t>23000 PE</t>
  </si>
  <si>
    <t>23200 PE</t>
  </si>
  <si>
    <t>23300 PE</t>
  </si>
  <si>
    <t>23500 PE</t>
  </si>
  <si>
    <t>PERFORMANCE OF EQUITY COMBO PACKAGE  SEPTEMBER -2020</t>
  </si>
  <si>
    <t>ENTRYLEVEL</t>
  </si>
  <si>
    <t>EXITLEVEL</t>
  </si>
  <si>
    <t>TOTALPOINTS</t>
  </si>
  <si>
    <t>LOT SIZE</t>
  </si>
  <si>
    <t>SELL</t>
  </si>
  <si>
    <t>AXISBANK</t>
  </si>
  <si>
    <t>RELIANCE</t>
  </si>
  <si>
    <t>23900 CE</t>
  </si>
  <si>
    <t>24000 CE</t>
  </si>
  <si>
    <t>23600 PE</t>
  </si>
  <si>
    <t>ICICIBANK</t>
  </si>
  <si>
    <t>LICHSGFIN</t>
  </si>
  <si>
    <t>23800 CE</t>
  </si>
  <si>
    <t>22700 CE</t>
  </si>
  <si>
    <t>22500 PE</t>
  </si>
  <si>
    <t>LT</t>
  </si>
  <si>
    <t>ESCORTS</t>
  </si>
  <si>
    <t>22300 PE</t>
  </si>
  <si>
    <t>23500 CE</t>
  </si>
  <si>
    <t>22700 PE</t>
  </si>
  <si>
    <t>22100 PE</t>
  </si>
  <si>
    <t>BAJFINANCE</t>
  </si>
  <si>
    <t>INDUSINDBK</t>
  </si>
  <si>
    <t>JSWSTEEL</t>
  </si>
  <si>
    <t>PEL</t>
  </si>
  <si>
    <t>EXTRA STOCK FUTURE INTRADAY QTY PER 1 LOT</t>
  </si>
  <si>
    <t>22200 PE</t>
  </si>
  <si>
    <t>BHARTIARTL</t>
  </si>
  <si>
    <t>HDFCBANK</t>
  </si>
  <si>
    <t>22600 CE</t>
  </si>
  <si>
    <t>21500 PE</t>
  </si>
  <si>
    <t>20900 PE</t>
  </si>
  <si>
    <t>20700 PE</t>
  </si>
  <si>
    <t>21000 PE</t>
  </si>
  <si>
    <t>21400 CE</t>
  </si>
  <si>
    <t>20600 PE</t>
  </si>
  <si>
    <t>21500 CE</t>
  </si>
  <si>
    <t>20000 PE</t>
  </si>
  <si>
    <t>19900 PE</t>
  </si>
  <si>
    <t>TCS</t>
  </si>
  <si>
    <t>LUPIN</t>
  </si>
  <si>
    <t>21400CE</t>
  </si>
  <si>
    <t>EXTRA BANKNIFTY OPTION</t>
  </si>
  <si>
    <t>EXTRA STOCK FUTURE</t>
  </si>
  <si>
    <t xml:space="preserve">   OCTOBER-2020</t>
  </si>
  <si>
    <t>PIDILITIND</t>
  </si>
  <si>
    <t>SBIN</t>
  </si>
  <si>
    <t>21800 PE</t>
  </si>
  <si>
    <t>22800 CE</t>
  </si>
  <si>
    <t>23000 CE</t>
  </si>
  <si>
    <t>24300 CE</t>
  </si>
  <si>
    <t>23100 PE</t>
  </si>
  <si>
    <t>24400 CE</t>
  </si>
  <si>
    <t>IGL</t>
  </si>
  <si>
    <t>TATASTEEL</t>
  </si>
  <si>
    <t>23900 PE</t>
  </si>
  <si>
    <t>23700 PE</t>
  </si>
  <si>
    <t>23400 PE</t>
  </si>
  <si>
    <t>MGL</t>
  </si>
  <si>
    <t>DABUR</t>
  </si>
  <si>
    <t>SIEMENS</t>
  </si>
  <si>
    <t>24700 CE</t>
  </si>
  <si>
    <t>BALKRISIND</t>
  </si>
  <si>
    <t>HEROMOTOCO</t>
  </si>
  <si>
    <t>JUBLFOOD</t>
  </si>
  <si>
    <t>24200 PE</t>
  </si>
  <si>
    <t>25000 CE</t>
  </si>
  <si>
    <t>24100 PE</t>
  </si>
  <si>
    <t>24500 PE</t>
  </si>
  <si>
    <t>24400 PE</t>
  </si>
  <si>
    <t>24300 PE</t>
  </si>
  <si>
    <t>25200 CE</t>
  </si>
  <si>
    <t>HINDUNILVR</t>
  </si>
  <si>
    <t>24800 CE</t>
  </si>
  <si>
    <t>24900 CE</t>
  </si>
  <si>
    <t>MINDTREE</t>
  </si>
  <si>
    <t>24000 PE</t>
  </si>
  <si>
    <t>SRTRANSFIN</t>
  </si>
  <si>
    <t xml:space="preserve">   NOVEMBER -2020</t>
  </si>
  <si>
    <t>25300 CE</t>
  </si>
  <si>
    <t>25600 CE</t>
  </si>
  <si>
    <t>26000 CE</t>
  </si>
  <si>
    <t>26100 CE</t>
  </si>
  <si>
    <t>25800 CE</t>
  </si>
  <si>
    <t>24800 PE</t>
  </si>
  <si>
    <t>26200 CE</t>
  </si>
  <si>
    <t>26300 CE</t>
  </si>
  <si>
    <t>27000 CE</t>
  </si>
  <si>
    <t>27400 CE</t>
  </si>
  <si>
    <t>27800 CE</t>
  </si>
  <si>
    <t>29100 CE</t>
  </si>
  <si>
    <t>28400 CE</t>
  </si>
  <si>
    <t>28900 CE</t>
  </si>
  <si>
    <t>28100 PE</t>
  </si>
  <si>
    <t>28000 PE</t>
  </si>
  <si>
    <t>29500 CE</t>
  </si>
  <si>
    <t>29700 CE</t>
  </si>
  <si>
    <t>29900 CE</t>
  </si>
  <si>
    <t>29800 CE</t>
  </si>
  <si>
    <t>29400 PE</t>
  </si>
  <si>
    <t>29300 PE</t>
  </si>
  <si>
    <t>HCLTECH</t>
  </si>
  <si>
    <t>MCDOWELL-N</t>
  </si>
  <si>
    <t>29300 CE</t>
  </si>
  <si>
    <t>28800 PE</t>
  </si>
  <si>
    <t>30200 CE</t>
  </si>
  <si>
    <t>29000 PE</t>
  </si>
  <si>
    <t xml:space="preserve">   DECEMBER -2020</t>
  </si>
  <si>
    <t>29200 CE</t>
  </si>
  <si>
    <t>30600 CE</t>
  </si>
  <si>
    <t>30500 CE</t>
  </si>
  <si>
    <t>HDFC</t>
  </si>
  <si>
    <t>31200 CE</t>
  </si>
  <si>
    <t>31100 CE</t>
  </si>
  <si>
    <t>30800 CE</t>
  </si>
  <si>
    <t>30300 PE</t>
  </si>
  <si>
    <t>INDIGO</t>
  </si>
  <si>
    <t>30900 CE</t>
  </si>
  <si>
    <t>31000 CE</t>
  </si>
  <si>
    <t>30700 CE</t>
  </si>
  <si>
    <t>30000 CE</t>
  </si>
  <si>
    <t>30400 CE</t>
  </si>
  <si>
    <t xml:space="preserve">   JANUARY -2021</t>
  </si>
  <si>
    <t>31600 CE</t>
  </si>
  <si>
    <t>30700 PE</t>
  </si>
  <si>
    <t>31800 CE</t>
  </si>
  <si>
    <t>32000 CE</t>
  </si>
  <si>
    <t>32100 CE</t>
  </si>
  <si>
    <t>32600 CE</t>
  </si>
  <si>
    <t>EXTRA NIFTY OPTION</t>
  </si>
  <si>
    <t>31600 PE</t>
  </si>
  <si>
    <t>32400 CE</t>
  </si>
  <si>
    <t>32500 CE</t>
  </si>
  <si>
    <t>32200 CE</t>
  </si>
  <si>
    <t>32700 CE</t>
  </si>
  <si>
    <t>32800 CE</t>
  </si>
  <si>
    <t>AUROPHARMA</t>
  </si>
  <si>
    <t>31400 PE</t>
  </si>
  <si>
    <t>31700 PE</t>
  </si>
  <si>
    <t>TECHM</t>
  </si>
  <si>
    <t>14550 CE</t>
  </si>
  <si>
    <t>14700 CE</t>
  </si>
  <si>
    <t>14600 CE</t>
  </si>
  <si>
    <t>32600 PE</t>
  </si>
  <si>
    <t>31200 PE</t>
  </si>
  <si>
    <t>30800 PE</t>
  </si>
  <si>
    <t>31900 CE</t>
  </si>
  <si>
    <t>14200 PE</t>
  </si>
  <si>
    <t>14450 CE</t>
  </si>
  <si>
    <t>14250 PE</t>
  </si>
  <si>
    <t>EXTRA NIFTY OPTION INTRADAY QTY PER 4 LOT</t>
  </si>
  <si>
    <t>14100 PE</t>
  </si>
  <si>
    <t>14150 PE</t>
  </si>
  <si>
    <t>30100 CE</t>
  </si>
  <si>
    <t>13900 PE</t>
  </si>
  <si>
    <t>29900 PE</t>
  </si>
  <si>
    <t>13700 PE</t>
  </si>
  <si>
    <t>14000 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</si>
  <si>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</si>
  <si>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</si>
  <si>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</si>
  <si>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</si>
  <si>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</si>
  <si>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</si>
  <si>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</si>
  <si>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</si>
  <si>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</si>
  <si>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</si>
  <si>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</si>
  <si>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</si>
  <si>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FEBRUARY -2021</t>
  </si>
  <si>
    <t xml:space="preserve"> BUY</t>
  </si>
  <si>
    <t>DRREDDY</t>
  </si>
  <si>
    <t>34600 CE</t>
  </si>
  <si>
    <t>35000 CE</t>
  </si>
  <si>
    <t>34300 PE</t>
  </si>
  <si>
    <t>34700 CE</t>
  </si>
  <si>
    <t>36700 CE</t>
  </si>
  <si>
    <t>35200 PE</t>
  </si>
  <si>
    <t>14800 CE</t>
  </si>
  <si>
    <t>14800 PE</t>
  </si>
  <si>
    <t>15050 CE</t>
  </si>
  <si>
    <t>37000 CE</t>
  </si>
  <si>
    <t>36800 CE</t>
  </si>
  <si>
    <t>ULTRACEMCO</t>
  </si>
  <si>
    <t>15200 CE</t>
  </si>
  <si>
    <t>15250 CE</t>
  </si>
  <si>
    <t>36300 CE</t>
  </si>
  <si>
    <t>35400 PE</t>
  </si>
  <si>
    <t>DLF</t>
  </si>
  <si>
    <t>15000 PE</t>
  </si>
  <si>
    <t>15050 PE</t>
  </si>
  <si>
    <t>15100 CE</t>
  </si>
  <si>
    <t>15150 PE</t>
  </si>
  <si>
    <t>35700 PE</t>
  </si>
  <si>
    <t>36400 CE</t>
  </si>
  <si>
    <t>37100 CE</t>
  </si>
  <si>
    <t>34500 CE</t>
  </si>
  <si>
    <t>15100 PE</t>
  </si>
  <si>
    <t>15350 CE</t>
  </si>
  <si>
    <t>15250 PE</t>
  </si>
  <si>
    <t>37500 CE</t>
  </si>
  <si>
    <t>36300 PE</t>
  </si>
  <si>
    <t>37400 CE</t>
  </si>
  <si>
    <t>37600 CE</t>
  </si>
  <si>
    <t>15300 CE</t>
  </si>
  <si>
    <t>36500 PE</t>
  </si>
  <si>
    <t>ICICIPRULI</t>
  </si>
  <si>
    <t>36000 CE</t>
  </si>
  <si>
    <t>35700 CE</t>
  </si>
  <si>
    <t>36600 CE</t>
  </si>
  <si>
    <t>35000 PE</t>
  </si>
  <si>
    <t>14750 PE</t>
  </si>
  <si>
    <t>35800 CE</t>
  </si>
  <si>
    <t>TATACHEM</t>
  </si>
  <si>
    <t>14700 PE</t>
  </si>
  <si>
    <t>14400 PE</t>
  </si>
  <si>
    <t>36700 PE</t>
  </si>
  <si>
    <t>32700 PE</t>
  </si>
  <si>
    <t>34700 PE</t>
  </si>
  <si>
    <t xml:space="preserve">   MARCH -2021</t>
  </si>
  <si>
    <t>15000 CE</t>
  </si>
  <si>
    <t>14500 PE</t>
  </si>
  <si>
    <t>SBILIFE</t>
  </si>
  <si>
    <t>34000 PE</t>
  </si>
  <si>
    <t>14900 CE</t>
  </si>
  <si>
    <t>ADANIPORTS</t>
  </si>
  <si>
    <t>15150 CE</t>
  </si>
  <si>
    <t>33500 PE</t>
  </si>
  <si>
    <t>BATAINDIA</t>
  </si>
  <si>
    <t>14600 PE</t>
  </si>
  <si>
    <t>15300 PE</t>
  </si>
  <si>
    <t>ULTRA CEMCO</t>
  </si>
  <si>
    <t>36200 CE</t>
  </si>
  <si>
    <t>36100 CE</t>
  </si>
  <si>
    <t>35500 PE</t>
  </si>
  <si>
    <t>HDFCLIFE</t>
  </si>
  <si>
    <t>TATACONSUM</t>
  </si>
  <si>
    <t>15450 CE</t>
  </si>
  <si>
    <t>MARICO</t>
  </si>
  <si>
    <t>BAJAJAUTO</t>
  </si>
  <si>
    <t>35100 CE</t>
  </si>
  <si>
    <t>34500 PE</t>
  </si>
  <si>
    <t>34600 PE</t>
  </si>
  <si>
    <t>COFORGE</t>
  </si>
  <si>
    <t>HAVELLS</t>
  </si>
  <si>
    <t>AMBUJACEM</t>
  </si>
  <si>
    <t>INFY</t>
  </si>
  <si>
    <t>14900 PE</t>
  </si>
  <si>
    <t>14850 PE</t>
  </si>
  <si>
    <t>14450 PE</t>
  </si>
  <si>
    <t>32500 PE</t>
  </si>
  <si>
    <t>BERGEPAINT</t>
  </si>
  <si>
    <t>14650 PE</t>
  </si>
  <si>
    <t>14550 PE</t>
  </si>
  <si>
    <t>GLENAMARK</t>
  </si>
  <si>
    <t>33200 PE</t>
  </si>
  <si>
    <t>33000 PE</t>
  </si>
  <si>
    <t>32800 PE</t>
  </si>
  <si>
    <t>32400 PE</t>
  </si>
  <si>
    <t>14300 PE</t>
  </si>
  <si>
    <t>14350 PE</t>
  </si>
  <si>
    <t>GODREJCP</t>
  </si>
  <si>
    <t>14850 CE</t>
  </si>
  <si>
    <t xml:space="preserve">  APRIL -2021</t>
  </si>
  <si>
    <t xml:space="preserve">   APRIL -2021</t>
  </si>
  <si>
    <t xml:space="preserve">  MARCH -2021</t>
  </si>
  <si>
    <t>33300 PE</t>
  </si>
  <si>
    <t>31300 PE</t>
  </si>
  <si>
    <t>33600 CE</t>
  </si>
  <si>
    <t>33700 CE</t>
  </si>
  <si>
    <t>33900 CE</t>
  </si>
  <si>
    <t>14800  CE</t>
  </si>
  <si>
    <t>14650 CE</t>
  </si>
  <si>
    <t>33100 CE</t>
  </si>
  <si>
    <t>33200 CE</t>
  </si>
  <si>
    <t>33300 CE</t>
  </si>
  <si>
    <t>14950 PE</t>
  </si>
  <si>
    <t>30000 PE</t>
  </si>
  <si>
    <t>29700 PE</t>
  </si>
  <si>
    <t>14400 CE</t>
  </si>
  <si>
    <t>30400 PE</t>
  </si>
  <si>
    <t>14750 CE</t>
  </si>
  <si>
    <t>29800 PE</t>
  </si>
  <si>
    <t>14500 CE</t>
  </si>
  <si>
    <t>31300 CE</t>
  </si>
  <si>
    <t>14250 CE</t>
  </si>
  <si>
    <t>32900 CE</t>
  </si>
  <si>
    <t>30200 PE</t>
  </si>
  <si>
    <t>33400 CE</t>
  </si>
  <si>
    <t>33000 CE</t>
  </si>
  <si>
    <t>33800 CE</t>
  </si>
  <si>
    <t>14950 CE</t>
  </si>
  <si>
    <t>33400 PE</t>
  </si>
  <si>
    <t>M&amp;M</t>
  </si>
  <si>
    <t xml:space="preserve">  MAY -2021</t>
  </si>
  <si>
    <t>31100 PE</t>
  </si>
  <si>
    <t>32000 PE</t>
  </si>
  <si>
    <t>31800 PE</t>
  </si>
  <si>
    <t>33500 CE</t>
  </si>
  <si>
    <t>34400 CE</t>
  </si>
  <si>
    <t>34200 CE</t>
  </si>
  <si>
    <t>33700 PE</t>
  </si>
  <si>
    <t>33600 PE</t>
  </si>
  <si>
    <t>34900 CE</t>
  </si>
  <si>
    <t>35600 CE</t>
  </si>
  <si>
    <t>34400 PE</t>
  </si>
  <si>
    <t>34200 PE</t>
  </si>
  <si>
    <t>TITAN</t>
  </si>
  <si>
    <t>GODREJPROP</t>
  </si>
  <si>
    <t>GRASIM</t>
  </si>
  <si>
    <t>KOTAKBANK</t>
  </si>
  <si>
    <t>ACC</t>
  </si>
  <si>
    <t>15350 PE</t>
  </si>
  <si>
    <t>15500 CE</t>
  </si>
  <si>
    <t>15550 CE</t>
  </si>
  <si>
    <t xml:space="preserve"> JUNE - 2021</t>
  </si>
  <si>
    <t xml:space="preserve"> JUNE -2021</t>
  </si>
  <si>
    <t>34800 PE</t>
  </si>
  <si>
    <t>35800 PE</t>
  </si>
  <si>
    <t>15550 PE</t>
  </si>
  <si>
    <t>15600 CE</t>
  </si>
  <si>
    <t>34900 PE</t>
  </si>
  <si>
    <t>35900 CE</t>
  </si>
  <si>
    <t>15750 CE</t>
  </si>
  <si>
    <t>APOLLOHOSP</t>
  </si>
  <si>
    <t>35200 CE</t>
  </si>
  <si>
    <t>35400 CE</t>
  </si>
  <si>
    <t>35300 CE</t>
  </si>
  <si>
    <t>35500 CE</t>
  </si>
  <si>
    <t>34800 CE</t>
  </si>
  <si>
    <t>35400  CE</t>
  </si>
  <si>
    <t>JINDALSTEEL</t>
  </si>
  <si>
    <t>UBL</t>
  </si>
  <si>
    <t>15700 CE</t>
  </si>
  <si>
    <t>15800 CE</t>
  </si>
  <si>
    <t>15900 CE</t>
  </si>
  <si>
    <t>15700 PE</t>
  </si>
  <si>
    <t>15750 PE</t>
  </si>
  <si>
    <t>15650 CE</t>
  </si>
  <si>
    <t>15850 CE</t>
  </si>
  <si>
    <t>15500 PE</t>
  </si>
  <si>
    <t>15700  CE</t>
  </si>
  <si>
    <t>15800 PE</t>
  </si>
  <si>
    <t>15850 PE</t>
  </si>
  <si>
    <t>15800  CE</t>
  </si>
  <si>
    <t xml:space="preserve"> JULY - 2021</t>
  </si>
  <si>
    <t xml:space="preserve"> JULY -2021</t>
  </si>
  <si>
    <t xml:space="preserve">BUY </t>
  </si>
  <si>
    <t>VOLTAS</t>
  </si>
  <si>
    <t>15900 PE</t>
  </si>
  <si>
    <t>15650 PE</t>
  </si>
  <si>
    <t>15950 PE</t>
  </si>
  <si>
    <t>15600 PE</t>
  </si>
  <si>
    <t>34000 CE</t>
  </si>
  <si>
    <t>34100 PE</t>
  </si>
  <si>
    <t xml:space="preserve"> AUGUST - 2021</t>
  </si>
  <si>
    <t xml:space="preserve"> AUGUST -2021</t>
  </si>
  <si>
    <t>35300 PE</t>
  </si>
  <si>
    <t>36500 CE</t>
  </si>
  <si>
    <t>15950 CE</t>
  </si>
  <si>
    <t>16200 CE</t>
  </si>
  <si>
    <t>16300 PE</t>
  </si>
  <si>
    <t>16250 PE</t>
  </si>
  <si>
    <t>16300 CE</t>
  </si>
  <si>
    <t>HINDPETRO</t>
  </si>
  <si>
    <t>16250 CE</t>
  </si>
  <si>
    <t>16450 CE</t>
  </si>
  <si>
    <t>16500 CE</t>
  </si>
  <si>
    <t>16550 CE</t>
  </si>
  <si>
    <t>16400 PE</t>
  </si>
  <si>
    <t>16500 PE</t>
  </si>
  <si>
    <t>16450 PE</t>
  </si>
  <si>
    <t>16550 PE</t>
  </si>
  <si>
    <t>16650 CE</t>
  </si>
  <si>
    <t>16600 CE</t>
  </si>
  <si>
    <t>16700 CE</t>
  </si>
  <si>
    <t>16850 CE</t>
  </si>
  <si>
    <t>16950 CE</t>
  </si>
  <si>
    <t>ELCHERMOT</t>
  </si>
  <si>
    <t>AUBANK</t>
  </si>
  <si>
    <t>TORNTPHARMA</t>
  </si>
  <si>
    <t>CIPLA</t>
  </si>
  <si>
    <t>DEEPAKNTR</t>
  </si>
  <si>
    <t xml:space="preserve"> SEPTEMBER - 2021</t>
  </si>
  <si>
    <t xml:space="preserve"> SEPTEMBER -2021</t>
  </si>
  <si>
    <t>37300 CE</t>
  </si>
  <si>
    <t>37700 CE</t>
  </si>
  <si>
    <t>36200 PE</t>
  </si>
  <si>
    <t>36600 PE</t>
  </si>
  <si>
    <t>36100 PE</t>
  </si>
  <si>
    <t>36900 CE</t>
  </si>
  <si>
    <t>38600 CE</t>
  </si>
  <si>
    <t>37100 PE</t>
  </si>
  <si>
    <t>38000 CE</t>
  </si>
  <si>
    <t>36400 PE</t>
  </si>
  <si>
    <t>38500 CE</t>
  </si>
  <si>
    <t>38800 CE</t>
  </si>
  <si>
    <t>38700 CE</t>
  </si>
  <si>
    <t>37700 PE</t>
  </si>
  <si>
    <t>37600 PE</t>
  </si>
  <si>
    <t>17150 PE</t>
  </si>
  <si>
    <t>17150 CE</t>
  </si>
  <si>
    <t>17100 CE</t>
  </si>
  <si>
    <t>17350 CE</t>
  </si>
  <si>
    <t>17450 CE</t>
  </si>
  <si>
    <t>17350 PE</t>
  </si>
  <si>
    <t>17300 PE</t>
  </si>
  <si>
    <t>17250 PE</t>
  </si>
  <si>
    <t>17400 CE</t>
  </si>
  <si>
    <t>17400 PE</t>
  </si>
  <si>
    <t>17500 CE</t>
  </si>
  <si>
    <t>17800 CE</t>
  </si>
  <si>
    <t>17600 PE</t>
  </si>
  <si>
    <t>17550 CE</t>
  </si>
  <si>
    <t>17600 CE</t>
  </si>
  <si>
    <t>17650 CE</t>
  </si>
  <si>
    <t>17700 CE</t>
  </si>
  <si>
    <t>17800 PE</t>
  </si>
  <si>
    <t>17950 CE</t>
  </si>
  <si>
    <t>17750 PE</t>
  </si>
  <si>
    <t>17650 PE</t>
  </si>
  <si>
    <t>MUTHOOTFIN</t>
  </si>
  <si>
    <t>PVR</t>
  </si>
  <si>
    <t>IRCTC</t>
  </si>
  <si>
    <t>UPL</t>
  </si>
  <si>
    <t>IEX</t>
  </si>
  <si>
    <t>IPCALAB</t>
  </si>
  <si>
    <t>SUNTV</t>
  </si>
  <si>
    <t>CADILAHC</t>
  </si>
  <si>
    <t>AARTIIIND</t>
  </si>
  <si>
    <t>POLYCAB</t>
  </si>
  <si>
    <t>MARUTI</t>
  </si>
  <si>
    <t>ONGC</t>
  </si>
  <si>
    <t>TVSMOTORS</t>
  </si>
  <si>
    <t>TORNTPOWER</t>
  </si>
  <si>
    <t xml:space="preserve"> OCTOBER - 2021</t>
  </si>
  <si>
    <t xml:space="preserve"> OCTOBER -2021</t>
  </si>
  <si>
    <t>37800 CE</t>
  </si>
  <si>
    <t>37900 CE</t>
  </si>
  <si>
    <t>38100 CE</t>
  </si>
  <si>
    <t>38900 CE</t>
  </si>
  <si>
    <t>38400 CE</t>
  </si>
  <si>
    <t>40200 CE</t>
  </si>
  <si>
    <t>40300 CE</t>
  </si>
  <si>
    <t>40000 CE</t>
  </si>
  <si>
    <t>39300 PE</t>
  </si>
  <si>
    <t>39800  CE</t>
  </si>
  <si>
    <t>39900  CE</t>
  </si>
  <si>
    <t>39700 CE</t>
  </si>
  <si>
    <t>41000 CE</t>
  </si>
  <si>
    <t>39500 PE</t>
  </si>
  <si>
    <t>41200 CE</t>
  </si>
  <si>
    <t>41600 CE</t>
  </si>
  <si>
    <t>41900 CE</t>
  </si>
  <si>
    <t>41500 CE</t>
  </si>
  <si>
    <t>40600 PE</t>
  </si>
  <si>
    <t>40300 PE</t>
  </si>
  <si>
    <t>38300 PE</t>
  </si>
  <si>
    <t>17750 CE</t>
  </si>
  <si>
    <t>17850 CE</t>
  </si>
  <si>
    <t>18000 CE</t>
  </si>
  <si>
    <t>18050 CE</t>
  </si>
  <si>
    <t>18100 CE</t>
  </si>
  <si>
    <t>18250 CE</t>
  </si>
  <si>
    <t>18500 CE</t>
  </si>
  <si>
    <t>18550 CE</t>
  </si>
  <si>
    <t>18450 PE</t>
  </si>
  <si>
    <t>18400 CE</t>
  </si>
  <si>
    <t>18450 CE</t>
  </si>
  <si>
    <t>18300 PE</t>
  </si>
  <si>
    <t>18200 PE</t>
  </si>
  <si>
    <t>18000 PE</t>
  </si>
  <si>
    <t>18200 CE</t>
  </si>
  <si>
    <t>18150 CE</t>
  </si>
  <si>
    <t>18300 CE</t>
  </si>
  <si>
    <t>18100 PE</t>
  </si>
  <si>
    <t xml:space="preserve">LUPIN </t>
  </si>
  <si>
    <t>RAMCOCEM</t>
  </si>
  <si>
    <t>MCX</t>
  </si>
  <si>
    <t>HAL</t>
  </si>
  <si>
    <t>SUNPHARMA</t>
  </si>
  <si>
    <t>STAR</t>
  </si>
  <si>
    <t>CHOLAFIN</t>
  </si>
  <si>
    <t>CUMMINSIND</t>
  </si>
  <si>
    <t>BANDHANBNK</t>
  </si>
  <si>
    <t xml:space="preserve"> NOVEMBER - 2021</t>
  </si>
  <si>
    <t>38700 PE</t>
  </si>
  <si>
    <t>39800 PE</t>
  </si>
  <si>
    <t>39400 CE</t>
  </si>
  <si>
    <t>38600 PE</t>
  </si>
  <si>
    <t>38200 PE</t>
  </si>
  <si>
    <t>38100 PE</t>
  </si>
  <si>
    <t>INDIACEM</t>
  </si>
  <si>
    <t>BHARATIARTLE</t>
  </si>
  <si>
    <t xml:space="preserve"> NOVEMBER -2021</t>
  </si>
  <si>
    <t>ADANIENT</t>
  </si>
  <si>
    <t>TIAN</t>
  </si>
  <si>
    <t>BERGPAINT</t>
  </si>
  <si>
    <t>SRF</t>
  </si>
  <si>
    <t>BHARATFORG</t>
  </si>
  <si>
    <t>JKCEMENT</t>
  </si>
  <si>
    <t>17900 CE</t>
  </si>
  <si>
    <t>17950 PE</t>
  </si>
  <si>
    <t>17900 PE</t>
  </si>
  <si>
    <t>18050 PE</t>
  </si>
  <si>
    <t>38300 CE</t>
  </si>
  <si>
    <t>37200 PE</t>
  </si>
  <si>
    <t>17550 PE</t>
  </si>
  <si>
    <t>LAURASLAB</t>
  </si>
  <si>
    <t>17500 PE</t>
  </si>
  <si>
    <t>17000 PE</t>
  </si>
  <si>
    <t>17250 CE</t>
  </si>
  <si>
    <t>17300 CE</t>
  </si>
  <si>
    <t xml:space="preserve"> DECEMBER - 2021</t>
  </si>
  <si>
    <t xml:space="preserve"> DECEMBER -2021</t>
  </si>
  <si>
    <t>36900 PE</t>
  </si>
  <si>
    <t>37200 CE</t>
  </si>
  <si>
    <t>35100 PE</t>
  </si>
  <si>
    <t>33800 PE</t>
  </si>
  <si>
    <t>33900 PE</t>
  </si>
  <si>
    <t>17200 CE</t>
  </si>
  <si>
    <t>16950 PE</t>
  </si>
  <si>
    <t>17450 PE</t>
  </si>
  <si>
    <t>17200 PE</t>
  </si>
  <si>
    <t>17050 PE</t>
  </si>
  <si>
    <t>16900 PE</t>
  </si>
  <si>
    <t>16900 CE</t>
  </si>
  <si>
    <t>17050 CE</t>
  </si>
  <si>
    <t>16800 PE</t>
  </si>
  <si>
    <t>17000 CE</t>
  </si>
  <si>
    <t>DIXON</t>
  </si>
  <si>
    <t>BRITANNIA</t>
  </si>
  <si>
    <t>BPCL</t>
  </si>
  <si>
    <t>AARTIND</t>
  </si>
  <si>
    <t xml:space="preserve">SUNTV </t>
  </si>
  <si>
    <t>EICHERMOT</t>
  </si>
  <si>
    <t>AARTIIND</t>
  </si>
  <si>
    <t>MCDOWELLN</t>
  </si>
  <si>
    <t>INDUSTOWER</t>
  </si>
  <si>
    <t>MFSL</t>
  </si>
  <si>
    <t>TRENT</t>
  </si>
  <si>
    <t>MANAPPURAM</t>
  </si>
  <si>
    <t>SYNGENE</t>
  </si>
  <si>
    <t>ASIANPAINT</t>
  </si>
  <si>
    <t xml:space="preserve"> JANUARY - 2022</t>
  </si>
  <si>
    <t xml:space="preserve"> JANUARY -2022</t>
  </si>
  <si>
    <t>CONCOR</t>
  </si>
  <si>
    <t>CHAMBALFERT</t>
  </si>
  <si>
    <t>37000 PE</t>
  </si>
  <si>
    <t>37300 PE</t>
  </si>
  <si>
    <t>39000 CE</t>
  </si>
  <si>
    <t>GLENMARK</t>
  </si>
  <si>
    <t>COLPAL</t>
  </si>
  <si>
    <t>39200 CE</t>
  </si>
  <si>
    <t>18350 CE</t>
  </si>
  <si>
    <t>TATACOMM</t>
  </si>
  <si>
    <t>38200 CE</t>
  </si>
  <si>
    <t>ASTRAL</t>
  </si>
  <si>
    <t>36800 PE</t>
  </si>
  <si>
    <t>RBLBANK</t>
  </si>
  <si>
    <t>40100 CE</t>
  </si>
  <si>
    <t>39600 CE</t>
  </si>
  <si>
    <t xml:space="preserve"> FEBRUARY - 2022</t>
  </si>
  <si>
    <t xml:space="preserve"> FEBRUARY -2022</t>
  </si>
  <si>
    <t>OBEROLRLTY</t>
  </si>
  <si>
    <t>COROMANDEL</t>
  </si>
  <si>
    <t>BALRAMCHINI</t>
  </si>
  <si>
    <t>VEDL</t>
  </si>
  <si>
    <t>39200 PE</t>
  </si>
  <si>
    <t>38000 PE</t>
  </si>
  <si>
    <t>37800 PE</t>
  </si>
  <si>
    <t>39100 CE</t>
  </si>
  <si>
    <t>38500 PE</t>
  </si>
  <si>
    <t>36000 PE</t>
  </si>
  <si>
    <t>37500 PE</t>
  </si>
  <si>
    <t>MPHASIS</t>
  </si>
  <si>
    <t>17100 PE</t>
  </si>
  <si>
    <t>16750 PE</t>
  </si>
  <si>
    <t>16100 PE</t>
  </si>
  <si>
    <t>16800 CE</t>
  </si>
  <si>
    <t xml:space="preserve"> MARCH - 2022</t>
  </si>
  <si>
    <t xml:space="preserve"> MARCH -2022</t>
  </si>
  <si>
    <t>34300  PE</t>
  </si>
  <si>
    <t>32300 PE</t>
  </si>
  <si>
    <t>31000 PE</t>
  </si>
  <si>
    <t>30900 PE</t>
  </si>
  <si>
    <t>35600 PE</t>
  </si>
  <si>
    <t>ESORTS</t>
  </si>
  <si>
    <t>COALINDIA</t>
  </si>
  <si>
    <t>GNFC</t>
  </si>
  <si>
    <t>PERSISTENT</t>
  </si>
  <si>
    <t>CHAMBLFERT</t>
  </si>
  <si>
    <t>DIVISLAB</t>
  </si>
  <si>
    <t>TATAMOTORS</t>
  </si>
  <si>
    <t>NAVINFLOUR</t>
  </si>
  <si>
    <t>16700 PE</t>
  </si>
  <si>
    <t>16600 PE</t>
  </si>
  <si>
    <t>16000 PE</t>
  </si>
  <si>
    <t>16000 CE</t>
  </si>
  <si>
    <t>16050 PE</t>
  </si>
  <si>
    <t>16850 PE</t>
  </si>
  <si>
    <t xml:space="preserve"> APRIL - 2022</t>
  </si>
  <si>
    <t xml:space="preserve"> APRIL -2022</t>
  </si>
  <si>
    <t>17850 PE</t>
  </si>
  <si>
    <t xml:space="preserve">DIXON </t>
  </si>
  <si>
    <t xml:space="preserve">ALKEM </t>
  </si>
  <si>
    <t>NTPC</t>
  </si>
  <si>
    <t xml:space="preserve"> MAY - 2022</t>
  </si>
  <si>
    <t xml:space="preserve"> MAY -2022</t>
  </si>
  <si>
    <t>16200 PE</t>
  </si>
  <si>
    <t>16350 CE</t>
  </si>
  <si>
    <t>16400 CE</t>
  </si>
  <si>
    <t>35900 PE</t>
  </si>
  <si>
    <t>16150 CE</t>
  </si>
  <si>
    <t>MOTHERSUMI</t>
  </si>
  <si>
    <t>16050 CE</t>
  </si>
  <si>
    <t>16100 CE</t>
  </si>
  <si>
    <t>16150 PE</t>
  </si>
  <si>
    <t>BANDHANBANK</t>
  </si>
  <si>
    <t>GUJGAS</t>
  </si>
  <si>
    <t xml:space="preserve"> JUNE - 2022</t>
  </si>
  <si>
    <t>16350 PE</t>
  </si>
  <si>
    <t>15450 PE</t>
  </si>
  <si>
    <t>APOLLHOSP</t>
  </si>
  <si>
    <t>DALBHARAT</t>
  </si>
  <si>
    <t>ALKEM</t>
  </si>
  <si>
    <t>TATSTEEL</t>
  </si>
  <si>
    <t>BAJFIANCE</t>
  </si>
  <si>
    <t>HCLTEH</t>
  </si>
  <si>
    <t>TVSMOTOR</t>
  </si>
  <si>
    <t>34100 CE</t>
  </si>
  <si>
    <t>34300 CE</t>
  </si>
  <si>
    <t xml:space="preserve"> JULY - 2022</t>
  </si>
  <si>
    <t>EXTRA NIFTY OPTION INTRADAY QTY PER 6 LOT</t>
  </si>
  <si>
    <t>BSOFT</t>
  </si>
  <si>
    <t>16750 CE</t>
  </si>
  <si>
    <t>TONTPOWER</t>
  </si>
  <si>
    <t>ATUL</t>
  </si>
  <si>
    <t xml:space="preserve"> AUGUST - 2022</t>
  </si>
  <si>
    <t>39300 CE</t>
  </si>
  <si>
    <t>HINDALCO</t>
  </si>
  <si>
    <t>NAUKRI</t>
  </si>
  <si>
    <t>CROMPTON</t>
  </si>
  <si>
    <t>17700 PE</t>
  </si>
  <si>
    <t>38900 PE</t>
  </si>
  <si>
    <t>39100 PE</t>
  </si>
  <si>
    <t>39500 CE</t>
  </si>
  <si>
    <t>38400 PE</t>
  </si>
  <si>
    <t>39900 CE</t>
  </si>
  <si>
    <t>HDFBANK</t>
  </si>
  <si>
    <t>DELTACORP</t>
  </si>
  <si>
    <t>COROFGE</t>
  </si>
  <si>
    <t xml:space="preserve"> SEPTEMBER - 2022</t>
  </si>
  <si>
    <t>39800 CE</t>
  </si>
  <si>
    <t>TORNTPHARM</t>
  </si>
  <si>
    <t>41100 CE</t>
  </si>
  <si>
    <t>41200 PE</t>
  </si>
  <si>
    <t>42000 CE</t>
  </si>
  <si>
    <t>40000 PE</t>
  </si>
  <si>
    <t>APOLLOTYRE</t>
  </si>
  <si>
    <t>41800 CE</t>
  </si>
  <si>
    <t>41700 CE</t>
  </si>
  <si>
    <t>41000 PE</t>
  </si>
  <si>
    <t>40700 PE</t>
  </si>
  <si>
    <t>40500 PE</t>
  </si>
  <si>
    <t>39000 PE</t>
  </si>
  <si>
    <t>38800 PE</t>
  </si>
  <si>
    <t>GSPL</t>
  </si>
  <si>
    <t>37900 PE</t>
  </si>
  <si>
    <t>GRANULES</t>
  </si>
  <si>
    <t>CUMMINSID</t>
  </si>
  <si>
    <t xml:space="preserve"> OCTOBER - 2022</t>
  </si>
  <si>
    <t>OBEROIRLTY</t>
  </si>
  <si>
    <t>40600 CE</t>
  </si>
  <si>
    <t>40700 CE</t>
  </si>
  <si>
    <t>40200 PE</t>
  </si>
  <si>
    <t xml:space="preserve"> NOVEMBER - 2022</t>
  </si>
  <si>
    <t>41100 PE</t>
  </si>
  <si>
    <t>41300 CE</t>
  </si>
  <si>
    <t>41400 PE</t>
  </si>
  <si>
    <t>JK CEMENT</t>
  </si>
  <si>
    <t>18150 PE</t>
  </si>
  <si>
    <t>41500 PE</t>
  </si>
  <si>
    <t>41600 PE</t>
  </si>
  <si>
    <t>18250 PE</t>
  </si>
  <si>
    <t>LTI</t>
  </si>
  <si>
    <t>41700 PE</t>
  </si>
  <si>
    <t>42800 CE</t>
  </si>
  <si>
    <t>42400 CE</t>
  </si>
  <si>
    <t>42000 PE</t>
  </si>
  <si>
    <t>42100 PE</t>
  </si>
  <si>
    <t>42600 CE</t>
  </si>
  <si>
    <t>42500 CE</t>
  </si>
  <si>
    <t>42300 CE</t>
  </si>
  <si>
    <t>41900 PE</t>
  </si>
  <si>
    <t>OFSS</t>
  </si>
  <si>
    <t>KOTAKBAK</t>
  </si>
  <si>
    <t>18400 PE</t>
  </si>
  <si>
    <t>18350 PE</t>
  </si>
  <si>
    <t>42300 PE</t>
  </si>
  <si>
    <t>42700 CE</t>
  </si>
  <si>
    <t>42900 CE</t>
  </si>
  <si>
    <t>42800 PE</t>
  </si>
  <si>
    <t>43500 CE</t>
  </si>
  <si>
    <t>18500 PE</t>
  </si>
  <si>
    <t>43100 CE</t>
  </si>
  <si>
    <t>43300 CE</t>
  </si>
  <si>
    <t>43200 CE</t>
  </si>
  <si>
    <t>43100 PE</t>
  </si>
  <si>
    <t>43000 PE</t>
  </si>
  <si>
    <t>JKCM</t>
  </si>
  <si>
    <t xml:space="preserve"> DECEMBER - 2022</t>
  </si>
  <si>
    <t>43500 PE</t>
  </si>
  <si>
    <t>42700 PE</t>
  </si>
  <si>
    <t>43400 CE</t>
  </si>
  <si>
    <t>44000 CE</t>
  </si>
  <si>
    <t>43300 PE</t>
  </si>
  <si>
    <t>43800 CE</t>
  </si>
  <si>
    <t>43900 CE</t>
  </si>
  <si>
    <t>PERFORMANCE OF EXTRA BANKNIFTY OPTION QTY PER 4 LOT</t>
  </si>
  <si>
    <t>INDUSIDBK</t>
  </si>
  <si>
    <t>SRTRANFIN</t>
  </si>
  <si>
    <t>18750 CE</t>
  </si>
  <si>
    <t>18750 PE</t>
  </si>
  <si>
    <t>18800 PE</t>
  </si>
  <si>
    <t>18700 PE</t>
  </si>
  <si>
    <t>18600 CE</t>
  </si>
  <si>
    <t>18650 CE</t>
  </si>
  <si>
    <t>18650 PE</t>
  </si>
  <si>
    <t>18550 PE</t>
  </si>
  <si>
    <t>LTTS</t>
  </si>
  <si>
    <t>44100 CE</t>
  </si>
  <si>
    <t>44200 CE</t>
  </si>
  <si>
    <t>44100 PE</t>
  </si>
  <si>
    <t>44000 PE</t>
  </si>
  <si>
    <t>43600 CE</t>
  </si>
  <si>
    <t>43600 PE</t>
  </si>
  <si>
    <t>42500 PE</t>
  </si>
  <si>
    <t>42400 PE</t>
  </si>
  <si>
    <t>SBI</t>
  </si>
  <si>
    <t>41300 PE</t>
  </si>
  <si>
    <t>42200 PE</t>
  </si>
  <si>
    <t>RAIN</t>
  </si>
  <si>
    <t>43700 CE</t>
  </si>
  <si>
    <t xml:space="preserve"> JANUARY - 2023</t>
  </si>
  <si>
    <t>METROPOLIS</t>
  </si>
  <si>
    <t>41800 PE</t>
  </si>
  <si>
    <t>42200 CE</t>
  </si>
  <si>
    <t>ABFRL</t>
  </si>
  <si>
    <t>43000 CE</t>
  </si>
  <si>
    <t>42600 PE</t>
  </si>
  <si>
    <t>CANFINHOME</t>
  </si>
  <si>
    <t xml:space="preserve"> FEBRUARY - 2023</t>
  </si>
  <si>
    <t>40400 PE</t>
  </si>
  <si>
    <t>40900 PE</t>
  </si>
  <si>
    <t>40800 PE</t>
  </si>
  <si>
    <t>39600 PE</t>
  </si>
  <si>
    <t>39900 PE</t>
  </si>
  <si>
    <t>40500 CE</t>
  </si>
  <si>
    <t xml:space="preserve"> MARCH - 2023</t>
  </si>
  <si>
    <t>41400 CE</t>
  </si>
  <si>
    <t>ZEEL</t>
  </si>
  <si>
    <t>SBICARD</t>
  </si>
  <si>
    <t>40100 PE</t>
  </si>
  <si>
    <t>39700 PE</t>
  </si>
  <si>
    <t xml:space="preserve"> APRIL - 2023</t>
  </si>
  <si>
    <t>RELIACE</t>
  </si>
  <si>
    <t>HLTECH</t>
  </si>
  <si>
    <t xml:space="preserve"> MAY - 2023</t>
  </si>
  <si>
    <t>42900 PE</t>
  </si>
  <si>
    <t>43400 PE</t>
  </si>
  <si>
    <t>18200  CE</t>
  </si>
  <si>
    <t>44600 CE</t>
  </si>
  <si>
    <t>44500 CE</t>
  </si>
  <si>
    <t>PVRINOX</t>
  </si>
  <si>
    <t>BY</t>
  </si>
  <si>
    <t>18600 PE</t>
  </si>
  <si>
    <t>44200 PE</t>
  </si>
  <si>
    <t>43700 PE</t>
  </si>
  <si>
    <t>44300 CE</t>
  </si>
  <si>
    <t>44400 CE</t>
  </si>
  <si>
    <t>44400 PE</t>
  </si>
  <si>
    <t>43800 PE</t>
  </si>
  <si>
    <t>18850 PE</t>
  </si>
  <si>
    <t>18700 CE</t>
  </si>
  <si>
    <t>18800 CE</t>
  </si>
  <si>
    <t>18900 PE</t>
  </si>
  <si>
    <t>44800 CE</t>
  </si>
  <si>
    <t>44900 CE</t>
  </si>
  <si>
    <t>19050 CE</t>
  </si>
  <si>
    <t>PIIND</t>
  </si>
  <si>
    <t xml:space="preserve">AXISBANK </t>
  </si>
  <si>
    <t>HINDUNILVER</t>
  </si>
  <si>
    <t xml:space="preserve"> JULY - 2023</t>
  </si>
  <si>
    <t>45200 CE</t>
  </si>
  <si>
    <t>19200 CE</t>
  </si>
  <si>
    <t>19300 CE</t>
  </si>
  <si>
    <t>45300 CE</t>
  </si>
  <si>
    <t>45400 CE</t>
  </si>
  <si>
    <t>45100 PE</t>
  </si>
  <si>
    <t>19450 PE</t>
  </si>
  <si>
    <t>19350 CE</t>
  </si>
  <si>
    <t>45500 CE</t>
  </si>
  <si>
    <t>44500 PE</t>
  </si>
  <si>
    <t>19450 CE</t>
  </si>
  <si>
    <t>44700 PE</t>
  </si>
  <si>
    <t>45100 CE</t>
  </si>
  <si>
    <t>44800 PE</t>
  </si>
  <si>
    <t>19400 CE</t>
  </si>
  <si>
    <t>19550 PE</t>
  </si>
  <si>
    <t>44600 PE</t>
  </si>
  <si>
    <t>19500 PE</t>
  </si>
  <si>
    <t>19650 PE</t>
  </si>
  <si>
    <t>19550 CE</t>
  </si>
  <si>
    <t>45000 CE</t>
  </si>
  <si>
    <t>19800 PE</t>
  </si>
  <si>
    <t>45400 PE</t>
  </si>
  <si>
    <t>45200 PE</t>
  </si>
  <si>
    <t>45700 CE</t>
  </si>
  <si>
    <t>45600 CE</t>
  </si>
  <si>
    <t>19750 CE</t>
  </si>
  <si>
    <t>19850 PE</t>
  </si>
  <si>
    <t>19700 CE</t>
  </si>
  <si>
    <t>46600 CE</t>
  </si>
  <si>
    <t>19900 CE</t>
  </si>
  <si>
    <t>45700 PE</t>
  </si>
  <si>
    <t>45600 PE</t>
  </si>
  <si>
    <t>45800 PE</t>
  </si>
  <si>
    <t>19750 PE</t>
  </si>
  <si>
    <t>46200 CE</t>
  </si>
  <si>
    <t>45000 PE</t>
  </si>
  <si>
    <t>19600 PE</t>
  </si>
  <si>
    <t>19650 CE</t>
  </si>
  <si>
    <t>45900 CE</t>
  </si>
  <si>
    <t>PERFORMANCE OF EXTRA BANKNIFTY OPTION QTY PER 8 LOT</t>
  </si>
  <si>
    <t xml:space="preserve"> AUGUST - 2023</t>
  </si>
  <si>
    <t>45500 PE</t>
  </si>
  <si>
    <t>19700 PE</t>
  </si>
  <si>
    <t>45300 PE</t>
  </si>
  <si>
    <t>44900 PE</t>
  </si>
  <si>
    <t>19500 CE</t>
  </si>
  <si>
    <t>44700 CE</t>
  </si>
  <si>
    <t>19350 PE</t>
  </si>
  <si>
    <t>19300 PE</t>
  </si>
  <si>
    <t>44300 PE</t>
  </si>
  <si>
    <t>19850 CE</t>
  </si>
  <si>
    <t>20100 PE</t>
  </si>
  <si>
    <t>20050 PE</t>
  </si>
  <si>
    <t>45800 CE</t>
  </si>
  <si>
    <t>46500 CE</t>
  </si>
  <si>
    <t>46400 CE</t>
  </si>
  <si>
    <t>46300 CE</t>
  </si>
  <si>
    <t>20000 CE</t>
  </si>
  <si>
    <t>20050 CE</t>
  </si>
  <si>
    <t>20150 PE</t>
  </si>
  <si>
    <t>20150 CE</t>
  </si>
  <si>
    <t>20100 CE</t>
  </si>
  <si>
    <t xml:space="preserve"> OCTOBER - 2023</t>
  </si>
  <si>
    <t xml:space="preserve"> SEP - 2023</t>
  </si>
  <si>
    <t>BUT</t>
  </si>
  <si>
    <t>19600 CE</t>
  </si>
  <si>
    <t>19250 CE</t>
  </si>
  <si>
    <t>19050 PE</t>
  </si>
  <si>
    <t>19000 CE</t>
  </si>
  <si>
    <t>19100 CE</t>
  </si>
  <si>
    <t>19200 PE</t>
  </si>
  <si>
    <t>19150 PE</t>
  </si>
  <si>
    <t xml:space="preserve"> NOV - 2023</t>
  </si>
  <si>
    <t>19800 CE</t>
  </si>
  <si>
    <t>19950 CE</t>
  </si>
  <si>
    <t>20200 PE</t>
  </si>
  <si>
    <t xml:space="preserve"> DEC - 2023</t>
  </si>
  <si>
    <t>20300 CE</t>
  </si>
  <si>
    <t>25500 CE</t>
  </si>
  <si>
    <t>20550 CE</t>
  </si>
  <si>
    <t>20750 CE</t>
  </si>
  <si>
    <t>20800 CE</t>
  </si>
  <si>
    <t>21000 CE</t>
  </si>
  <si>
    <t>47000 CE</t>
  </si>
  <si>
    <t>47500 CE</t>
  </si>
  <si>
    <t>49000 PE</t>
  </si>
  <si>
    <t>46000 PE</t>
  </si>
  <si>
    <t>46900 PE</t>
  </si>
  <si>
    <t>47700 CE</t>
  </si>
  <si>
    <t>47100 PE</t>
  </si>
  <si>
    <t>48200 CE</t>
  </si>
  <si>
    <t>48300 CE</t>
  </si>
  <si>
    <t>47500 PE</t>
  </si>
  <si>
    <t>48100 CE</t>
  </si>
  <si>
    <t>21050 CE</t>
  </si>
  <si>
    <t>21350 PE</t>
  </si>
  <si>
    <t>47700 PE</t>
  </si>
  <si>
    <t>21450 PE</t>
  </si>
  <si>
    <t>48000 CE</t>
  </si>
  <si>
    <t>47900 CE</t>
  </si>
  <si>
    <t>48000 PE</t>
  </si>
  <si>
    <t>47300 PE</t>
  </si>
  <si>
    <t>21400  CE</t>
  </si>
  <si>
    <t>47200 PE</t>
  </si>
  <si>
    <t>48600 CE</t>
  </si>
  <si>
    <t>48500 CE</t>
  </si>
  <si>
    <t>47800 PE</t>
  </si>
  <si>
    <t>21550 CE</t>
  </si>
  <si>
    <t>21650 CE</t>
  </si>
  <si>
    <t>21600 CE</t>
  </si>
  <si>
    <t>21700 PE</t>
  </si>
  <si>
    <t xml:space="preserve"> JAN - 2024</t>
  </si>
  <si>
    <t>48700 CE</t>
  </si>
  <si>
    <t>48400 CE</t>
  </si>
  <si>
    <t>21750 CE</t>
  </si>
  <si>
    <t>21650 PE</t>
  </si>
  <si>
    <t>47600 PE</t>
  </si>
  <si>
    <t>47200 CE</t>
  </si>
  <si>
    <t>47000 PE</t>
  </si>
  <si>
    <t>21750 PE</t>
  </si>
  <si>
    <t>48100 PE</t>
  </si>
  <si>
    <t>22050 CE</t>
  </si>
  <si>
    <t>21850 PE</t>
  </si>
  <si>
    <t>21550 PE</t>
  </si>
  <si>
    <t>46800 CE</t>
  </si>
  <si>
    <t>21700  PE</t>
  </si>
  <si>
    <t>21300 CE</t>
  </si>
  <si>
    <t>21250 PE</t>
  </si>
  <si>
    <t>21350 CE</t>
  </si>
  <si>
    <t>21850 CE</t>
  </si>
  <si>
    <t>21600 PE</t>
  </si>
  <si>
    <t>46100 CE</t>
  </si>
  <si>
    <t>47400 CE</t>
  </si>
  <si>
    <t>46000 CE</t>
  </si>
  <si>
    <t>22150 CE</t>
  </si>
  <si>
    <t>47100 CE</t>
  </si>
  <si>
    <t>46900 CE</t>
  </si>
  <si>
    <t>22200 CE</t>
  </si>
  <si>
    <t>46100 PE</t>
  </si>
  <si>
    <t>22250 CE</t>
  </si>
  <si>
    <t>21950 PE</t>
  </si>
  <si>
    <t>22050 PE</t>
  </si>
  <si>
    <t>S</t>
  </si>
  <si>
    <t>47300 CE</t>
  </si>
  <si>
    <t>47800 CE</t>
  </si>
  <si>
    <t>47600 CE</t>
  </si>
  <si>
    <t>22450 CE</t>
  </si>
  <si>
    <t>22350 PE</t>
  </si>
  <si>
    <t>47400 PE</t>
  </si>
  <si>
    <t>46200 PE</t>
  </si>
  <si>
    <t>21950 CE</t>
  </si>
  <si>
    <t>22150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</si>
</sst>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/yy;@"/>
    <numFmt numFmtId="165" formatCode="0_ ;[Red]\-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indexed="9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8"/>
      <color rgb="FF00B050"/>
      <name val="Calibri"/>
      <family val="2"/>
      <scheme val="minor"/>
    </font>
    <font>
      <b/>
      <sz val="36"/>
      <name val="Calibri"/>
      <family val="2"/>
      <scheme val="minor"/>
    </font>
    <font>
      <b/>
      <u/>
      <sz val="18"/>
      <color theme="10"/>
      <name val="Calibri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72"/>
      <color rgb="FFFF0000"/>
      <name val="Calibri"/>
      <family val="2"/>
      <scheme val="minor"/>
    </font>
    <font>
      <b/>
      <sz val="70"/>
      <color rgb="FFFF0000"/>
      <name val="Calibri"/>
      <family val="2"/>
      <scheme val="minor"/>
    </font>
    <font>
      <b/>
      <sz val="28"/>
      <color rgb="FFFFC000"/>
      <name val="Calibri"/>
      <family val="2"/>
    </font>
    <font>
      <b/>
      <sz val="28"/>
      <color rgb="FFFFC000"/>
      <name val="Calibri"/>
      <family val="2"/>
      <scheme val="minor"/>
    </font>
    <font>
      <sz val="11"/>
      <name val="Calibri"/>
      <family val="2"/>
    </font>
    <font>
      <b/>
      <u/>
      <sz val="20"/>
      <color theme="0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/>
  </cellStyleXfs>
  <cellXfs count="254">
    <xf numFmtId="0" fontId="0" fillId="0" borderId="0" xfId="0"/>
    <xf numFmtId="0" fontId="0" fillId="2" borderId="1" xfId="0" applyFill="1" applyBorder="1" applyAlignment="1">
      <alignment shrinkToFit="1"/>
    </xf>
    <xf numFmtId="0" fontId="0" fillId="2" borderId="2" xfId="0" applyFill="1" applyBorder="1" applyAlignment="1">
      <alignment shrinkToFit="1"/>
    </xf>
    <xf numFmtId="1" fontId="0" fillId="2" borderId="2" xfId="0" applyNumberFormat="1" applyFill="1" applyBorder="1" applyAlignment="1">
      <alignment shrinkToFit="1"/>
    </xf>
    <xf numFmtId="0" fontId="0" fillId="2" borderId="3" xfId="0" applyFill="1" applyBorder="1" applyAlignment="1">
      <alignment shrinkToFit="1"/>
    </xf>
    <xf numFmtId="0" fontId="0" fillId="3" borderId="0" xfId="0" applyFill="1" applyAlignment="1">
      <alignment shrinkToFit="1"/>
    </xf>
    <xf numFmtId="0" fontId="0" fillId="2" borderId="5" xfId="0" applyFill="1" applyBorder="1" applyAlignment="1">
      <alignment shrinkToFit="1"/>
    </xf>
    <xf numFmtId="0" fontId="0" fillId="2" borderId="9" xfId="0" applyFill="1" applyBorder="1" applyAlignment="1">
      <alignment shrinkToFit="1"/>
    </xf>
    <xf numFmtId="0" fontId="9" fillId="11" borderId="21" xfId="0" applyFont="1" applyFill="1" applyBorder="1" applyAlignment="1">
      <alignment horizontal="center" shrinkToFit="1"/>
    </xf>
    <xf numFmtId="49" fontId="9" fillId="11" borderId="22" xfId="0" applyNumberFormat="1" applyFont="1" applyFill="1" applyBorder="1" applyAlignment="1">
      <alignment horizontal="center" shrinkToFit="1"/>
    </xf>
    <xf numFmtId="0" fontId="10" fillId="11" borderId="22" xfId="0" applyFont="1" applyFill="1" applyBorder="1" applyAlignment="1">
      <alignment horizontal="center" shrinkToFit="1"/>
    </xf>
    <xf numFmtId="0" fontId="9" fillId="11" borderId="22" xfId="0" applyFont="1" applyFill="1" applyBorder="1" applyAlignment="1">
      <alignment horizontal="center" shrinkToFit="1"/>
    </xf>
    <xf numFmtId="1" fontId="9" fillId="11" borderId="22" xfId="0" applyNumberFormat="1" applyFont="1" applyFill="1" applyBorder="1" applyAlignment="1">
      <alignment horizontal="center" shrinkToFit="1"/>
    </xf>
    <xf numFmtId="1" fontId="9" fillId="11" borderId="23" xfId="0" applyNumberFormat="1" applyFont="1" applyFill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165" fontId="0" fillId="0" borderId="18" xfId="0" applyNumberFormat="1" applyBorder="1" applyAlignment="1">
      <alignment horizontal="center" shrinkToFit="1"/>
    </xf>
    <xf numFmtId="1" fontId="0" fillId="0" borderId="28" xfId="0" applyNumberFormat="1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14" fontId="0" fillId="0" borderId="25" xfId="0" applyNumberFormat="1" applyBorder="1" applyAlignment="1">
      <alignment horizontal="center" shrinkToFit="1"/>
    </xf>
    <xf numFmtId="1" fontId="0" fillId="0" borderId="25" xfId="0" applyNumberFormat="1" applyBorder="1" applyAlignment="1">
      <alignment horizontal="center" shrinkToFit="1"/>
    </xf>
    <xf numFmtId="165" fontId="0" fillId="0" borderId="25" xfId="0" applyNumberFormat="1" applyBorder="1" applyAlignment="1">
      <alignment horizontal="center" shrinkToFit="1"/>
    </xf>
    <xf numFmtId="1" fontId="0" fillId="0" borderId="29" xfId="0" applyNumberFormat="1" applyBorder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0" fillId="0" borderId="42" xfId="0" applyBorder="1" applyAlignment="1">
      <alignment horizontal="center" shrinkToFit="1"/>
    </xf>
    <xf numFmtId="14" fontId="0" fillId="0" borderId="43" xfId="0" applyNumberFormat="1" applyBorder="1" applyAlignment="1">
      <alignment horizontal="center" shrinkToFit="1"/>
    </xf>
    <xf numFmtId="1" fontId="0" fillId="0" borderId="43" xfId="0" applyNumberFormat="1" applyBorder="1" applyAlignment="1">
      <alignment horizontal="center" shrinkToFit="1"/>
    </xf>
    <xf numFmtId="165" fontId="0" fillId="0" borderId="43" xfId="0" applyNumberFormat="1" applyBorder="1" applyAlignment="1">
      <alignment horizontal="center" shrinkToFit="1"/>
    </xf>
    <xf numFmtId="1" fontId="0" fillId="0" borderId="44" xfId="0" applyNumberFormat="1" applyBorder="1" applyAlignment="1">
      <alignment horizontal="center" shrinkToFit="1"/>
    </xf>
    <xf numFmtId="0" fontId="15" fillId="6" borderId="4" xfId="0" applyFont="1" applyFill="1" applyBorder="1" applyAlignment="1">
      <alignment horizontal="center" shrinkToFit="1"/>
    </xf>
    <xf numFmtId="1" fontId="15" fillId="6" borderId="4" xfId="0" applyNumberFormat="1" applyFont="1" applyFill="1" applyBorder="1" applyAlignment="1">
      <alignment horizontal="center" shrinkToFit="1"/>
    </xf>
    <xf numFmtId="0" fontId="0" fillId="2" borderId="37" xfId="0" applyFill="1" applyBorder="1" applyAlignment="1">
      <alignment shrinkToFit="1"/>
    </xf>
    <xf numFmtId="0" fontId="0" fillId="2" borderId="38" xfId="0" applyFill="1" applyBorder="1" applyAlignment="1">
      <alignment shrinkToFit="1"/>
    </xf>
    <xf numFmtId="1" fontId="0" fillId="2" borderId="38" xfId="0" applyNumberFormat="1" applyFill="1" applyBorder="1" applyAlignment="1">
      <alignment shrinkToFit="1"/>
    </xf>
    <xf numFmtId="0" fontId="0" fillId="2" borderId="41" xfId="0" applyFill="1" applyBorder="1" applyAlignment="1">
      <alignment shrinkToFit="1"/>
    </xf>
    <xf numFmtId="1" fontId="0" fillId="3" borderId="0" xfId="0" applyNumberFormat="1" applyFill="1" applyAlignment="1">
      <alignment shrinkToFit="1"/>
    </xf>
    <xf numFmtId="0" fontId="0" fillId="0" borderId="25" xfId="0" applyBorder="1" applyAlignment="1">
      <alignment horizontal="center" shrinkToFit="1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4" fillId="15" borderId="28" xfId="2" applyFill="1" applyBorder="1" applyAlignment="1" applyProtection="1">
      <alignment horizontal="center"/>
    </xf>
    <xf numFmtId="0" fontId="0" fillId="17" borderId="17" xfId="0" applyFill="1" applyBorder="1" applyAlignment="1">
      <alignment horizontal="center"/>
    </xf>
    <xf numFmtId="0" fontId="4" fillId="17" borderId="28" xfId="2" applyFill="1" applyBorder="1" applyAlignment="1" applyProtection="1">
      <alignment horizontal="center"/>
    </xf>
    <xf numFmtId="0" fontId="0" fillId="18" borderId="17" xfId="0" applyFill="1" applyBorder="1" applyAlignment="1">
      <alignment horizontal="center"/>
    </xf>
    <xf numFmtId="0" fontId="4" fillId="18" borderId="28" xfId="2" applyFill="1" applyBorder="1" applyAlignment="1" applyProtection="1">
      <alignment horizontal="center"/>
    </xf>
    <xf numFmtId="0" fontId="0" fillId="15" borderId="24" xfId="0" applyFill="1" applyBorder="1" applyAlignment="1">
      <alignment horizontal="center"/>
    </xf>
    <xf numFmtId="0" fontId="4" fillId="15" borderId="29" xfId="2" applyFill="1" applyBorder="1" applyAlignment="1" applyProtection="1">
      <alignment horizontal="center"/>
    </xf>
    <xf numFmtId="0" fontId="0" fillId="17" borderId="24" xfId="0" applyFill="1" applyBorder="1" applyAlignment="1">
      <alignment horizontal="center"/>
    </xf>
    <xf numFmtId="0" fontId="4" fillId="17" borderId="29" xfId="2" applyFill="1" applyBorder="1" applyAlignment="1" applyProtection="1">
      <alignment horizontal="center"/>
    </xf>
    <xf numFmtId="0" fontId="0" fillId="18" borderId="24" xfId="0" applyFill="1" applyBorder="1" applyAlignment="1">
      <alignment horizontal="center"/>
    </xf>
    <xf numFmtId="0" fontId="4" fillId="18" borderId="29" xfId="2" applyFill="1" applyBorder="1" applyAlignment="1" applyProtection="1">
      <alignment horizontal="center"/>
    </xf>
    <xf numFmtId="0" fontId="0" fillId="19" borderId="24" xfId="0" applyFill="1" applyBorder="1" applyAlignment="1">
      <alignment horizontal="center"/>
    </xf>
    <xf numFmtId="0" fontId="4" fillId="19" borderId="29" xfId="2" applyFill="1" applyBorder="1" applyAlignment="1" applyProtection="1">
      <alignment horizontal="center"/>
    </xf>
    <xf numFmtId="0" fontId="22" fillId="17" borderId="29" xfId="2" applyFont="1" applyFill="1" applyBorder="1" applyAlignment="1" applyProtection="1">
      <alignment horizontal="center"/>
    </xf>
    <xf numFmtId="0" fontId="0" fillId="17" borderId="31" xfId="0" applyFill="1" applyBorder="1" applyAlignment="1">
      <alignment horizontal="center"/>
    </xf>
    <xf numFmtId="0" fontId="0" fillId="19" borderId="31" xfId="0" applyFill="1" applyBorder="1" applyAlignment="1">
      <alignment horizontal="center"/>
    </xf>
    <xf numFmtId="0" fontId="4" fillId="19" borderId="45" xfId="2" applyFill="1" applyBorder="1" applyAlignment="1" applyProtection="1">
      <alignment horizontal="center"/>
    </xf>
    <xf numFmtId="0" fontId="22" fillId="17" borderId="45" xfId="2" applyFont="1" applyFill="1" applyBorder="1" applyAlignment="1" applyProtection="1">
      <alignment horizontal="center"/>
    </xf>
    <xf numFmtId="0" fontId="23" fillId="4" borderId="4" xfId="2" applyFont="1" applyFill="1" applyBorder="1" applyAlignment="1" applyProtection="1">
      <alignment horizontal="center" vertical="center" shrinkToFit="1"/>
    </xf>
    <xf numFmtId="0" fontId="0" fillId="0" borderId="18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16" borderId="25" xfId="0" applyFill="1" applyBorder="1" applyAlignment="1">
      <alignment horizontal="center"/>
    </xf>
    <xf numFmtId="0" fontId="4" fillId="16" borderId="25" xfId="2" applyFill="1" applyBorder="1" applyAlignment="1" applyProtection="1">
      <alignment horizontal="center"/>
    </xf>
    <xf numFmtId="0" fontId="4" fillId="17" borderId="49" xfId="2" applyFill="1" applyBorder="1" applyAlignment="1" applyProtection="1">
      <alignment horizontal="center"/>
    </xf>
    <xf numFmtId="0" fontId="4" fillId="17" borderId="25" xfId="2" applyFill="1" applyBorder="1" applyAlignment="1" applyProtection="1">
      <alignment horizontal="center"/>
    </xf>
    <xf numFmtId="14" fontId="0" fillId="0" borderId="50" xfId="0" applyNumberFormat="1" applyBorder="1" applyAlignment="1">
      <alignment horizontal="center" shrinkToFit="1"/>
    </xf>
    <xf numFmtId="1" fontId="0" fillId="0" borderId="50" xfId="0" applyNumberFormat="1" applyBorder="1" applyAlignment="1">
      <alignment horizontal="center" shrinkToFit="1"/>
    </xf>
    <xf numFmtId="165" fontId="0" fillId="0" borderId="50" xfId="0" applyNumberFormat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9" fillId="11" borderId="10" xfId="0" applyFont="1" applyFill="1" applyBorder="1" applyAlignment="1">
      <alignment horizontal="center" shrinkToFit="1"/>
    </xf>
    <xf numFmtId="49" fontId="9" fillId="11" borderId="11" xfId="0" applyNumberFormat="1" applyFont="1" applyFill="1" applyBorder="1" applyAlignment="1">
      <alignment horizontal="center" shrinkToFit="1"/>
    </xf>
    <xf numFmtId="0" fontId="10" fillId="11" borderId="11" xfId="0" applyFont="1" applyFill="1" applyBorder="1" applyAlignment="1">
      <alignment horizontal="center" shrinkToFit="1"/>
    </xf>
    <xf numFmtId="0" fontId="9" fillId="11" borderId="11" xfId="0" applyFont="1" applyFill="1" applyBorder="1" applyAlignment="1">
      <alignment horizontal="center" shrinkToFit="1"/>
    </xf>
    <xf numFmtId="1" fontId="9" fillId="11" borderId="11" xfId="0" applyNumberFormat="1" applyFont="1" applyFill="1" applyBorder="1" applyAlignment="1">
      <alignment horizontal="center" shrinkToFit="1"/>
    </xf>
    <xf numFmtId="1" fontId="9" fillId="11" borderId="12" xfId="0" applyNumberFormat="1" applyFont="1" applyFill="1" applyBorder="1" applyAlignment="1">
      <alignment horizontal="center" shrinkToFit="1"/>
    </xf>
    <xf numFmtId="0" fontId="0" fillId="2" borderId="9" xfId="0" applyFill="1" applyBorder="1" applyAlignment="1">
      <alignment horizontal="center" shrinkToFit="1"/>
    </xf>
    <xf numFmtId="0" fontId="0" fillId="3" borderId="0" xfId="0" applyFill="1" applyAlignment="1">
      <alignment horizontal="center" vertical="center" shrinkToFit="1"/>
    </xf>
    <xf numFmtId="0" fontId="24" fillId="0" borderId="25" xfId="0" applyFont="1" applyBorder="1" applyAlignment="1">
      <alignment horizontal="center" shrinkToFit="1"/>
    </xf>
    <xf numFmtId="14" fontId="0" fillId="0" borderId="51" xfId="0" applyNumberFormat="1" applyBorder="1" applyAlignment="1">
      <alignment horizontal="center" shrinkToFit="1"/>
    </xf>
    <xf numFmtId="1" fontId="0" fillId="0" borderId="51" xfId="0" applyNumberFormat="1" applyBorder="1" applyAlignment="1">
      <alignment horizontal="center" shrinkToFit="1"/>
    </xf>
    <xf numFmtId="165" fontId="0" fillId="0" borderId="51" xfId="0" applyNumberFormat="1" applyBorder="1" applyAlignment="1">
      <alignment horizontal="center" shrinkToFit="1"/>
    </xf>
    <xf numFmtId="1" fontId="0" fillId="0" borderId="45" xfId="0" applyNumberFormat="1" applyBorder="1" applyAlignment="1">
      <alignment horizontal="center" shrinkToFit="1"/>
    </xf>
    <xf numFmtId="0" fontId="15" fillId="6" borderId="46" xfId="0" applyFont="1" applyFill="1" applyBorder="1" applyAlignment="1">
      <alignment horizontal="center" shrinkToFit="1"/>
    </xf>
    <xf numFmtId="1" fontId="15" fillId="6" borderId="46" xfId="0" applyNumberFormat="1" applyFont="1" applyFill="1" applyBorder="1" applyAlignment="1">
      <alignment horizontal="center" shrinkToFit="1"/>
    </xf>
    <xf numFmtId="14" fontId="0" fillId="3" borderId="25" xfId="0" applyNumberFormat="1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1" fontId="0" fillId="3" borderId="25" xfId="0" applyNumberFormat="1" applyFill="1" applyBorder="1" applyAlignment="1">
      <alignment horizontal="center" vertical="center" shrinkToFit="1"/>
    </xf>
    <xf numFmtId="0" fontId="0" fillId="0" borderId="48" xfId="0" applyBorder="1" applyAlignment="1">
      <alignment horizontal="center" shrinkToFit="1"/>
    </xf>
    <xf numFmtId="14" fontId="0" fillId="3" borderId="50" xfId="0" applyNumberFormat="1" applyFill="1" applyBorder="1" applyAlignment="1">
      <alignment horizontal="center" vertical="center" shrinkToFit="1"/>
    </xf>
    <xf numFmtId="0" fontId="0" fillId="3" borderId="50" xfId="0" applyFill="1" applyBorder="1" applyAlignment="1">
      <alignment horizontal="center" vertical="center" shrinkToFit="1"/>
    </xf>
    <xf numFmtId="1" fontId="0" fillId="3" borderId="50" xfId="0" applyNumberFormat="1" applyFill="1" applyBorder="1" applyAlignment="1">
      <alignment horizontal="center" vertical="center" shrinkToFit="1"/>
    </xf>
    <xf numFmtId="1" fontId="0" fillId="0" borderId="49" xfId="0" applyNumberFormat="1" applyBorder="1" applyAlignment="1">
      <alignment horizontal="center" shrinkToFit="1"/>
    </xf>
    <xf numFmtId="14" fontId="0" fillId="0" borderId="18" xfId="0" applyNumberFormat="1" applyBorder="1" applyAlignment="1">
      <alignment horizontal="center" shrinkToFit="1"/>
    </xf>
    <xf numFmtId="1" fontId="0" fillId="0" borderId="18" xfId="0" applyNumberFormat="1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51" xfId="0" applyBorder="1" applyAlignment="1">
      <alignment horizontal="center" shrinkToFit="1"/>
    </xf>
    <xf numFmtId="0" fontId="0" fillId="0" borderId="50" xfId="0" applyBorder="1" applyAlignment="1">
      <alignment horizontal="center" shrinkToFit="1"/>
    </xf>
    <xf numFmtId="0" fontId="4" fillId="19" borderId="25" xfId="2" applyFill="1" applyBorder="1" applyAlignment="1" applyProtection="1">
      <alignment horizontal="center" vertical="center"/>
    </xf>
    <xf numFmtId="165" fontId="3" fillId="0" borderId="25" xfId="0" applyNumberFormat="1" applyFont="1" applyBorder="1" applyAlignment="1">
      <alignment horizontal="center" shrinkToFit="1"/>
    </xf>
    <xf numFmtId="0" fontId="0" fillId="3" borderId="25" xfId="0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shrinkToFit="1"/>
    </xf>
    <xf numFmtId="0" fontId="7" fillId="6" borderId="15" xfId="0" applyFont="1" applyFill="1" applyBorder="1" applyAlignment="1">
      <alignment horizontal="center" vertical="center" shrinkToFit="1"/>
    </xf>
    <xf numFmtId="164" fontId="8" fillId="7" borderId="6" xfId="0" applyNumberFormat="1" applyFont="1" applyFill="1" applyBorder="1" applyAlignment="1">
      <alignment horizontal="center" shrinkToFit="1"/>
    </xf>
    <xf numFmtId="164" fontId="8" fillId="7" borderId="7" xfId="0" applyNumberFormat="1" applyFont="1" applyFill="1" applyBorder="1" applyAlignment="1">
      <alignment horizontal="center" shrinkToFit="1"/>
    </xf>
    <xf numFmtId="164" fontId="8" fillId="7" borderId="8" xfId="0" applyNumberFormat="1" applyFont="1" applyFill="1" applyBorder="1" applyAlignment="1">
      <alignment horizontal="center" shrinkToFit="1"/>
    </xf>
    <xf numFmtId="0" fontId="8" fillId="8" borderId="6" xfId="0" applyFont="1" applyFill="1" applyBorder="1" applyAlignment="1">
      <alignment horizontal="center" shrinkToFit="1"/>
    </xf>
    <xf numFmtId="0" fontId="8" fillId="8" borderId="7" xfId="0" applyFont="1" applyFill="1" applyBorder="1" applyAlignment="1">
      <alignment horizontal="center" shrinkToFit="1"/>
    </xf>
    <xf numFmtId="0" fontId="8" fillId="8" borderId="8" xfId="0" applyFont="1" applyFill="1" applyBorder="1" applyAlignment="1">
      <alignment horizontal="center" shrinkToFit="1"/>
    </xf>
    <xf numFmtId="0" fontId="3" fillId="9" borderId="47" xfId="0" applyFont="1" applyFill="1" applyBorder="1" applyAlignment="1">
      <alignment horizontal="center" vertical="center" wrapText="1"/>
    </xf>
    <xf numFmtId="0" fontId="3" fillId="9" borderId="4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10" fontId="3" fillId="10" borderId="20" xfId="1" applyNumberFormat="1" applyFont="1" applyFill="1" applyBorder="1" applyAlignment="1">
      <alignment horizontal="center" vertical="center" shrinkToFit="1"/>
    </xf>
    <xf numFmtId="10" fontId="3" fillId="10" borderId="27" xfId="1" applyNumberFormat="1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5" fillId="5" borderId="7" xfId="0" applyFont="1" applyFill="1" applyBorder="1" applyAlignment="1">
      <alignment horizontal="center" vertical="center" shrinkToFit="1"/>
    </xf>
    <xf numFmtId="0" fontId="5" fillId="5" borderId="8" xfId="0" applyFont="1" applyFill="1" applyBorder="1" applyAlignment="1">
      <alignment horizontal="center" vertical="center" shrinkToFit="1"/>
    </xf>
    <xf numFmtId="2" fontId="6" fillId="6" borderId="10" xfId="0" applyNumberFormat="1" applyFont="1" applyFill="1" applyBorder="1" applyAlignment="1">
      <alignment horizontal="center" vertical="center" shrinkToFit="1"/>
    </xf>
    <xf numFmtId="2" fontId="6" fillId="6" borderId="13" xfId="0" applyNumberFormat="1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6" borderId="14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33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4" borderId="0" xfId="0" applyFont="1" applyFill="1" applyAlignment="1">
      <alignment horizontal="center" vertical="center" shrinkToFit="1"/>
    </xf>
    <xf numFmtId="0" fontId="11" fillId="4" borderId="35" xfId="0" applyFont="1" applyFill="1" applyBorder="1" applyAlignment="1">
      <alignment horizontal="center" vertical="center" shrinkToFit="1"/>
    </xf>
    <xf numFmtId="0" fontId="11" fillId="4" borderId="37" xfId="0" applyFont="1" applyFill="1" applyBorder="1" applyAlignment="1">
      <alignment horizontal="center" vertical="center" shrinkToFit="1"/>
    </xf>
    <xf numFmtId="0" fontId="11" fillId="4" borderId="38" xfId="0" applyFont="1" applyFill="1" applyBorder="1" applyAlignment="1">
      <alignment horizontal="center" vertical="center" shrinkToFit="1"/>
    </xf>
    <xf numFmtId="0" fontId="11" fillId="4" borderId="39" xfId="0" applyFont="1" applyFill="1" applyBorder="1" applyAlignment="1">
      <alignment horizontal="center" vertical="center" shrinkToFit="1"/>
    </xf>
    <xf numFmtId="10" fontId="12" fillId="5" borderId="34" xfId="0" applyNumberFormat="1" applyFont="1" applyFill="1" applyBorder="1" applyAlignment="1">
      <alignment horizontal="center" vertical="center" shrinkToFit="1"/>
    </xf>
    <xf numFmtId="10" fontId="12" fillId="5" borderId="2" xfId="0" applyNumberFormat="1" applyFont="1" applyFill="1" applyBorder="1" applyAlignment="1">
      <alignment horizontal="center" vertical="center" shrinkToFit="1"/>
    </xf>
    <xf numFmtId="10" fontId="12" fillId="5" borderId="3" xfId="0" applyNumberFormat="1" applyFont="1" applyFill="1" applyBorder="1" applyAlignment="1">
      <alignment horizontal="center" vertical="center" shrinkToFit="1"/>
    </xf>
    <xf numFmtId="10" fontId="12" fillId="5" borderId="36" xfId="0" applyNumberFormat="1" applyFont="1" applyFill="1" applyBorder="1" applyAlignment="1">
      <alignment horizontal="center" vertical="center" shrinkToFit="1"/>
    </xf>
    <xf numFmtId="10" fontId="12" fillId="5" borderId="0" xfId="0" applyNumberFormat="1" applyFont="1" applyFill="1" applyAlignment="1">
      <alignment horizontal="center" vertical="center" shrinkToFit="1"/>
    </xf>
    <xf numFmtId="10" fontId="12" fillId="5" borderId="9" xfId="0" applyNumberFormat="1" applyFont="1" applyFill="1" applyBorder="1" applyAlignment="1">
      <alignment horizontal="center" vertical="center" shrinkToFit="1"/>
    </xf>
    <xf numFmtId="10" fontId="12" fillId="5" borderId="40" xfId="0" applyNumberFormat="1" applyFont="1" applyFill="1" applyBorder="1" applyAlignment="1">
      <alignment horizontal="center" vertical="center" shrinkToFit="1"/>
    </xf>
    <xf numFmtId="10" fontId="12" fillId="5" borderId="38" xfId="0" applyNumberFormat="1" applyFont="1" applyFill="1" applyBorder="1" applyAlignment="1">
      <alignment horizontal="center" vertical="center" shrinkToFit="1"/>
    </xf>
    <xf numFmtId="10" fontId="12" fillId="5" borderId="41" xfId="0" applyNumberFormat="1" applyFont="1" applyFill="1" applyBorder="1" applyAlignment="1">
      <alignment horizontal="center" vertical="center" shrinkToFit="1"/>
    </xf>
    <xf numFmtId="0" fontId="13" fillId="0" borderId="6" xfId="2" applyNumberFormat="1" applyFont="1" applyBorder="1" applyAlignment="1" applyProtection="1">
      <alignment horizontal="center" shrinkToFit="1"/>
    </xf>
    <xf numFmtId="0" fontId="14" fillId="0" borderId="7" xfId="0" applyFont="1" applyBorder="1" applyAlignment="1">
      <alignment horizontal="center" shrinkToFit="1"/>
    </xf>
    <xf numFmtId="0" fontId="14" fillId="0" borderId="8" xfId="0" applyFont="1" applyBorder="1" applyAlignment="1">
      <alignment horizontal="center" shrinkToFit="1"/>
    </xf>
    <xf numFmtId="2" fontId="3" fillId="12" borderId="16" xfId="0" applyNumberFormat="1" applyFont="1" applyFill="1" applyBorder="1" applyAlignment="1">
      <alignment horizontal="center" vertical="center" shrinkToFit="1"/>
    </xf>
    <xf numFmtId="2" fontId="3" fillId="12" borderId="30" xfId="0" applyNumberFormat="1" applyFont="1" applyFill="1" applyBorder="1" applyAlignment="1">
      <alignment horizontal="center" vertical="center" shrinkToFit="1"/>
    </xf>
    <xf numFmtId="0" fontId="3" fillId="12" borderId="17" xfId="0" applyFont="1" applyFill="1" applyBorder="1" applyAlignment="1">
      <alignment horizontal="center" vertical="center" shrinkToFit="1"/>
    </xf>
    <xf numFmtId="0" fontId="3" fillId="12" borderId="31" xfId="0" applyFont="1" applyFill="1" applyBorder="1" applyAlignment="1">
      <alignment horizontal="center" vertical="center" shrinkToFit="1"/>
    </xf>
    <xf numFmtId="0" fontId="3" fillId="12" borderId="20" xfId="0" applyFont="1" applyFill="1" applyBorder="1" applyAlignment="1">
      <alignment horizontal="center" vertical="center" shrinkToFit="1"/>
    </xf>
    <xf numFmtId="0" fontId="3" fillId="12" borderId="32" xfId="0" applyFont="1" applyFill="1" applyBorder="1" applyAlignment="1">
      <alignment horizontal="center" vertical="center" shrinkToFit="1"/>
    </xf>
    <xf numFmtId="10" fontId="3" fillId="10" borderId="32" xfId="1" applyNumberFormat="1" applyFont="1" applyFill="1" applyBorder="1" applyAlignment="1">
      <alignment horizontal="center" vertical="center" shrinkToFit="1"/>
    </xf>
    <xf numFmtId="2" fontId="3" fillId="12" borderId="57" xfId="0" applyNumberFormat="1" applyFont="1" applyFill="1" applyBorder="1" applyAlignment="1">
      <alignment horizontal="center" vertical="center" shrinkToFi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2" fontId="6" fillId="6" borderId="52" xfId="0" applyNumberFormat="1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wrapText="1" shrinkToFit="1"/>
    </xf>
    <xf numFmtId="0" fontId="6" fillId="6" borderId="14" xfId="0" applyFont="1" applyFill="1" applyBorder="1" applyAlignment="1">
      <alignment horizontal="center" vertical="center" wrapText="1" shrinkToFit="1"/>
    </xf>
    <xf numFmtId="0" fontId="3" fillId="5" borderId="27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13" fillId="0" borderId="37" xfId="2" applyNumberFormat="1" applyFont="1" applyBorder="1" applyAlignment="1" applyProtection="1">
      <alignment horizontal="center" shrinkToFit="1"/>
    </xf>
    <xf numFmtId="0" fontId="14" fillId="0" borderId="38" xfId="0" applyFont="1" applyBorder="1" applyAlignment="1">
      <alignment horizontal="center" shrinkToFit="1"/>
    </xf>
    <xf numFmtId="0" fontId="14" fillId="0" borderId="41" xfId="0" applyFont="1" applyBorder="1" applyAlignment="1">
      <alignment horizontal="center" shrinkToFit="1"/>
    </xf>
    <xf numFmtId="0" fontId="8" fillId="7" borderId="6" xfId="0" applyFont="1" applyFill="1" applyBorder="1" applyAlignment="1">
      <alignment horizontal="center" shrinkToFit="1"/>
    </xf>
    <xf numFmtId="0" fontId="8" fillId="7" borderId="7" xfId="0" applyFont="1" applyFill="1" applyBorder="1" applyAlignment="1">
      <alignment horizontal="center" shrinkToFit="1"/>
    </xf>
    <xf numFmtId="0" fontId="8" fillId="7" borderId="8" xfId="0" applyFont="1" applyFill="1" applyBorder="1" applyAlignment="1">
      <alignment horizontal="center" shrinkToFit="1"/>
    </xf>
    <xf numFmtId="0" fontId="4" fillId="5" borderId="27" xfId="2" applyFill="1" applyBorder="1" applyAlignment="1" applyProtection="1">
      <alignment horizontal="center" vertical="center" wrapText="1"/>
    </xf>
    <xf numFmtId="0" fontId="3" fillId="0" borderId="43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10" fontId="3" fillId="10" borderId="58" xfId="1" applyNumberFormat="1" applyFont="1" applyFill="1" applyBorder="1" applyAlignment="1">
      <alignment horizontal="center" vertical="center" shrinkToFit="1"/>
    </xf>
    <xf numFmtId="10" fontId="3" fillId="10" borderId="59" xfId="1" applyNumberFormat="1" applyFont="1" applyFill="1" applyBorder="1" applyAlignment="1">
      <alignment horizontal="center" vertical="center" shrinkToFit="1"/>
    </xf>
    <xf numFmtId="10" fontId="3" fillId="10" borderId="47" xfId="1" applyNumberFormat="1" applyFont="1" applyFill="1" applyBorder="1" applyAlignment="1">
      <alignment horizontal="center" vertical="center" shrinkToFit="1"/>
    </xf>
    <xf numFmtId="10" fontId="3" fillId="10" borderId="46" xfId="1" applyNumberFormat="1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12" borderId="47" xfId="0" applyFont="1" applyFill="1" applyBorder="1" applyAlignment="1">
      <alignment horizontal="center" vertical="center" shrinkToFit="1"/>
    </xf>
    <xf numFmtId="0" fontId="3" fillId="12" borderId="46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5" borderId="59" xfId="0" applyFont="1" applyFill="1" applyBorder="1" applyAlignment="1">
      <alignment horizontal="center" vertical="center" wrapText="1"/>
    </xf>
    <xf numFmtId="0" fontId="25" fillId="5" borderId="58" xfId="2" applyNumberFormat="1" applyFont="1" applyFill="1" applyBorder="1" applyAlignment="1" applyProtection="1">
      <alignment horizontal="center" vertical="center" wrapText="1"/>
    </xf>
    <xf numFmtId="0" fontId="25" fillId="5" borderId="59" xfId="2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2" fontId="3" fillId="12" borderId="58" xfId="0" applyNumberFormat="1" applyFont="1" applyFill="1" applyBorder="1" applyAlignment="1">
      <alignment horizontal="center" vertical="center" shrinkToFit="1"/>
    </xf>
    <xf numFmtId="2" fontId="3" fillId="12" borderId="46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10" fontId="3" fillId="10" borderId="3" xfId="1" applyNumberFormat="1" applyFont="1" applyFill="1" applyBorder="1" applyAlignment="1">
      <alignment horizontal="center" vertical="center" shrinkToFit="1"/>
    </xf>
    <xf numFmtId="10" fontId="3" fillId="10" borderId="61" xfId="1" applyNumberFormat="1" applyFont="1" applyFill="1" applyBorder="1" applyAlignment="1">
      <alignment horizontal="center" vertical="center" shrinkToFit="1"/>
    </xf>
    <xf numFmtId="0" fontId="6" fillId="6" borderId="63" xfId="0" applyFont="1" applyFill="1" applyBorder="1" applyAlignment="1">
      <alignment horizontal="center" vertical="center" wrapText="1" shrinkToFit="1"/>
    </xf>
    <xf numFmtId="0" fontId="6" fillId="6" borderId="63" xfId="0" applyFont="1" applyFill="1" applyBorder="1" applyAlignment="1">
      <alignment horizontal="center" vertical="center" shrinkToFit="1"/>
    </xf>
    <xf numFmtId="10" fontId="3" fillId="10" borderId="62" xfId="1" applyNumberFormat="1" applyFont="1" applyFill="1" applyBorder="1" applyAlignment="1">
      <alignment horizontal="center" vertical="center" shrinkToFit="1"/>
    </xf>
    <xf numFmtId="10" fontId="3" fillId="10" borderId="41" xfId="1" applyNumberFormat="1" applyFont="1" applyFill="1" applyBorder="1" applyAlignment="1">
      <alignment horizontal="center" vertical="center" shrinkToFit="1"/>
    </xf>
    <xf numFmtId="0" fontId="25" fillId="5" borderId="60" xfId="2" applyNumberFormat="1" applyFont="1" applyFill="1" applyBorder="1" applyAlignment="1" applyProtection="1">
      <alignment horizontal="center" vertical="center" wrapText="1"/>
    </xf>
    <xf numFmtId="0" fontId="25" fillId="5" borderId="30" xfId="2" applyNumberFormat="1" applyFont="1" applyFill="1" applyBorder="1" applyAlignment="1" applyProtection="1">
      <alignment horizontal="center" vertical="center" wrapText="1"/>
    </xf>
    <xf numFmtId="2" fontId="3" fillId="12" borderId="5" xfId="0" applyNumberFormat="1" applyFont="1" applyFill="1" applyBorder="1" applyAlignment="1">
      <alignment horizontal="center" vertical="center" shrinkToFit="1"/>
    </xf>
    <xf numFmtId="2" fontId="3" fillId="12" borderId="37" xfId="0" applyNumberFormat="1" applyFont="1" applyFill="1" applyBorder="1" applyAlignment="1">
      <alignment horizontal="center" vertical="center" shrinkToFit="1"/>
    </xf>
    <xf numFmtId="0" fontId="3" fillId="12" borderId="18" xfId="0" applyFont="1" applyFill="1" applyBorder="1" applyAlignment="1">
      <alignment horizontal="center" vertical="center" shrinkToFit="1"/>
    </xf>
    <xf numFmtId="0" fontId="3" fillId="12" borderId="51" xfId="0" applyFont="1" applyFill="1" applyBorder="1" applyAlignment="1">
      <alignment horizontal="center" vertical="center" shrinkToFit="1"/>
    </xf>
    <xf numFmtId="0" fontId="3" fillId="12" borderId="28" xfId="0" applyFont="1" applyFill="1" applyBorder="1" applyAlignment="1">
      <alignment horizontal="center" vertical="center" shrinkToFit="1"/>
    </xf>
    <xf numFmtId="0" fontId="3" fillId="12" borderId="45" xfId="0" applyFont="1" applyFill="1" applyBorder="1" applyAlignment="1">
      <alignment horizontal="center" vertical="center" shrinkToFit="1"/>
    </xf>
    <xf numFmtId="0" fontId="4" fillId="5" borderId="60" xfId="2" applyFill="1" applyBorder="1" applyAlignment="1" applyProtection="1">
      <alignment horizontal="center" vertical="center" wrapText="1"/>
    </xf>
    <xf numFmtId="0" fontId="4" fillId="5" borderId="60" xfId="2" applyNumberFormat="1" applyFill="1" applyBorder="1" applyAlignment="1" applyProtection="1">
      <alignment horizontal="center" vertical="center" wrapText="1"/>
    </xf>
    <xf numFmtId="0" fontId="4" fillId="5" borderId="30" xfId="2" applyNumberFormat="1" applyFill="1" applyBorder="1" applyAlignment="1" applyProtection="1">
      <alignment horizontal="center" vertical="center" wrapText="1"/>
    </xf>
    <xf numFmtId="17" fontId="8" fillId="7" borderId="6" xfId="0" applyNumberFormat="1" applyFont="1" applyFill="1" applyBorder="1" applyAlignment="1">
      <alignment horizontal="center" shrinkToFit="1"/>
    </xf>
    <xf numFmtId="0" fontId="4" fillId="5" borderId="16" xfId="2" applyFill="1" applyBorder="1" applyAlignment="1" applyProtection="1">
      <alignment horizontal="center" vertical="center" wrapText="1"/>
    </xf>
    <xf numFmtId="2" fontId="3" fillId="12" borderId="4" xfId="0" applyNumberFormat="1" applyFont="1" applyFill="1" applyBorder="1" applyAlignment="1">
      <alignment horizontal="center" vertical="center" shrinkToFit="1"/>
    </xf>
    <xf numFmtId="0" fontId="3" fillId="12" borderId="4" xfId="0" applyFont="1" applyFill="1" applyBorder="1" applyAlignment="1">
      <alignment horizontal="center" vertical="center" shrinkToFit="1"/>
    </xf>
    <xf numFmtId="10" fontId="3" fillId="10" borderId="4" xfId="1" applyNumberFormat="1" applyFont="1" applyFill="1" applyBorder="1" applyAlignment="1">
      <alignment horizontal="center" vertical="center" shrinkToFit="1"/>
    </xf>
    <xf numFmtId="0" fontId="4" fillId="5" borderId="4" xfId="2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4" fillId="5" borderId="4" xfId="2" applyNumberForma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>
      <alignment horizontal="center" vertical="center" shrinkToFit="1"/>
    </xf>
    <xf numFmtId="2" fontId="6" fillId="6" borderId="4" xfId="0" applyNumberFormat="1" applyFont="1" applyFill="1" applyBorder="1" applyAlignment="1">
      <alignment horizontal="center" vertical="center" shrinkToFit="1"/>
    </xf>
    <xf numFmtId="0" fontId="6" fillId="6" borderId="4" xfId="0" applyFont="1" applyFill="1" applyBorder="1" applyAlignment="1">
      <alignment horizontal="center" vertical="center" wrapText="1" shrinkToFit="1"/>
    </xf>
    <xf numFmtId="0" fontId="6" fillId="6" borderId="4" xfId="0" applyFont="1" applyFill="1" applyBorder="1" applyAlignment="1">
      <alignment horizontal="center" vertical="center" shrinkToFit="1"/>
    </xf>
    <xf numFmtId="0" fontId="18" fillId="13" borderId="1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/>
    </xf>
    <xf numFmtId="0" fontId="18" fillId="13" borderId="3" xfId="0" applyFont="1" applyFill="1" applyBorder="1" applyAlignment="1">
      <alignment horizontal="center" vertical="center"/>
    </xf>
    <xf numFmtId="0" fontId="18" fillId="13" borderId="5" xfId="0" applyFont="1" applyFill="1" applyBorder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0" fontId="18" fillId="13" borderId="9" xfId="0" applyFont="1" applyFill="1" applyBorder="1" applyAlignment="1">
      <alignment horizontal="center" vertical="center"/>
    </xf>
    <xf numFmtId="0" fontId="18" fillId="13" borderId="37" xfId="0" applyFont="1" applyFill="1" applyBorder="1" applyAlignment="1">
      <alignment horizontal="center" vertical="center"/>
    </xf>
    <xf numFmtId="0" fontId="18" fillId="13" borderId="38" xfId="0" applyFont="1" applyFill="1" applyBorder="1" applyAlignment="1">
      <alignment horizontal="center" vertical="center"/>
    </xf>
    <xf numFmtId="0" fontId="18" fillId="13" borderId="4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9" borderId="9" xfId="0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center" vertical="center"/>
    </xf>
    <xf numFmtId="0" fontId="19" fillId="9" borderId="41" xfId="0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/>
    </xf>
    <xf numFmtId="0" fontId="20" fillId="14" borderId="2" xfId="0" applyFont="1" applyFill="1" applyBorder="1" applyAlignment="1">
      <alignment horizontal="center" vertical="center"/>
    </xf>
    <xf numFmtId="0" fontId="20" fillId="14" borderId="37" xfId="0" applyFont="1" applyFill="1" applyBorder="1" applyAlignment="1">
      <alignment horizontal="center" vertical="center"/>
    </xf>
    <xf numFmtId="0" fontId="20" fillId="14" borderId="38" xfId="0" applyFont="1" applyFill="1" applyBorder="1" applyAlignment="1">
      <alignment horizontal="center" vertical="center"/>
    </xf>
    <xf numFmtId="0" fontId="21" fillId="14" borderId="2" xfId="0" applyFont="1" applyFill="1" applyBorder="1" applyAlignment="1">
      <alignment horizontal="center" vertical="center"/>
    </xf>
    <xf numFmtId="0" fontId="21" fillId="14" borderId="38" xfId="0" applyFont="1" applyFill="1" applyBorder="1" applyAlignment="1">
      <alignment horizontal="center" vertical="center"/>
    </xf>
    <xf numFmtId="0" fontId="20" fillId="14" borderId="3" xfId="0" applyFont="1" applyFill="1" applyBorder="1" applyAlignment="1">
      <alignment horizontal="center" vertical="center"/>
    </xf>
    <xf numFmtId="0" fontId="20" fillId="14" borderId="41" xfId="0" applyFont="1" applyFill="1" applyBorder="1" applyAlignment="1">
      <alignment horizontal="center" vertical="center"/>
    </xf>
  </cellXfs>
  <cellStyles count="5">
    <cellStyle name="Excel Built-in Normal" xfId="3" xr:uid="{00000000-0005-0000-0000-000000000000}"/>
    <cellStyle name="Hyperlink" xfId="2" builtinId="8"/>
    <cellStyle name="Normal" xfId="0" builtinId="0"/>
    <cellStyle name="Normal 2" xfId="4" xr:uid="{00000000-0005-0000-0000-000003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EP 2020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JUNE 2021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JUNE 2021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AUGUST 2021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SEP 2021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OCT 2021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NOV 2021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DEC 2021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JAN 2022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JAN 2022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MAR 2022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OCT 2020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MAR 2022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MAY 2022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MAY 2022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JULY 2022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AUGUST 2022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AUGUST 2022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OCTOBER 2022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NOV 2022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NOV 2022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NOV 2022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OCT 2020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FEB 2023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FEB 2023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APRIL 2023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APRIL 2023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APRIL 2023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APRIL 2023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APRIL 2023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APRIL 2023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OCT 2023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OCT 2023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OCT 2020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OCT 2023'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hyperlink" Target="#'JAN 2024'!A1"/><Relationship Id="rId1" Type="http://schemas.openxmlformats.org/officeDocument/2006/relationships/hyperlink" Target="#'OCT 2023'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hyperlink" Target="#'FEB 2024'!A1"/><Relationship Id="rId1" Type="http://schemas.openxmlformats.org/officeDocument/2006/relationships/hyperlink" Target="#'OCT 2023'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hyperlink" Target="#'MARCH 2024'!A1"/><Relationship Id="rId1" Type="http://schemas.openxmlformats.org/officeDocument/2006/relationships/hyperlink" Target="#'OCT 2023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OCT 2020'!A1"/><Relationship Id="rId1" Type="http://schemas.openxmlformats.org/officeDocument/2006/relationships/hyperlink" Target="#'JAN 2021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OCT 2020'!A1"/><Relationship Id="rId1" Type="http://schemas.openxmlformats.org/officeDocument/2006/relationships/hyperlink" Target="#'JAN 2021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OCT 2020'!A1"/><Relationship Id="rId1" Type="http://schemas.openxmlformats.org/officeDocument/2006/relationships/hyperlink" Target="#'JAN 2021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APRIL 2021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MAY 2021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71</xdr:row>
      <xdr:rowOff>0</xdr:rowOff>
    </xdr:from>
    <xdr:to>
      <xdr:col>12</xdr:col>
      <xdr:colOff>704850</xdr:colOff>
      <xdr:row>73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72475" y="9648825"/>
          <a:ext cx="704850" cy="7048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829550" y="94773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126</xdr:row>
      <xdr:rowOff>0</xdr:rowOff>
    </xdr:from>
    <xdr:to>
      <xdr:col>12</xdr:col>
      <xdr:colOff>704850</xdr:colOff>
      <xdr:row>128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7829550" y="1971675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829550" y="98583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126</xdr:row>
      <xdr:rowOff>0</xdr:rowOff>
    </xdr:from>
    <xdr:to>
      <xdr:col>12</xdr:col>
      <xdr:colOff>704850</xdr:colOff>
      <xdr:row>128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829550" y="2009775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829550" y="98583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126</xdr:row>
      <xdr:rowOff>0</xdr:rowOff>
    </xdr:from>
    <xdr:to>
      <xdr:col>12</xdr:col>
      <xdr:colOff>704850</xdr:colOff>
      <xdr:row>128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7829550" y="2009775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829550" y="98583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126</xdr:row>
      <xdr:rowOff>0</xdr:rowOff>
    </xdr:from>
    <xdr:to>
      <xdr:col>12</xdr:col>
      <xdr:colOff>704850</xdr:colOff>
      <xdr:row>128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7829550" y="2009775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829550" y="98583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126</xdr:row>
      <xdr:rowOff>0</xdr:rowOff>
    </xdr:from>
    <xdr:to>
      <xdr:col>12</xdr:col>
      <xdr:colOff>704850</xdr:colOff>
      <xdr:row>128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7829550" y="2009775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7829550" y="98583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126</xdr:row>
      <xdr:rowOff>0</xdr:rowOff>
    </xdr:from>
    <xdr:to>
      <xdr:col>12</xdr:col>
      <xdr:colOff>704850</xdr:colOff>
      <xdr:row>128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7829550" y="2009775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7829550" y="75723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126</xdr:row>
      <xdr:rowOff>0</xdr:rowOff>
    </xdr:from>
    <xdr:to>
      <xdr:col>12</xdr:col>
      <xdr:colOff>704850</xdr:colOff>
      <xdr:row>128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7829550" y="1628775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7829550" y="108108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126</xdr:row>
      <xdr:rowOff>0</xdr:rowOff>
    </xdr:from>
    <xdr:to>
      <xdr:col>12</xdr:col>
      <xdr:colOff>704850</xdr:colOff>
      <xdr:row>128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7829550" y="2162175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7829550" y="108108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126</xdr:row>
      <xdr:rowOff>0</xdr:rowOff>
    </xdr:from>
    <xdr:to>
      <xdr:col>12</xdr:col>
      <xdr:colOff>704850</xdr:colOff>
      <xdr:row>128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7829550" y="1990725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7829550" y="108108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704850</xdr:colOff>
      <xdr:row>132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7829550" y="2047875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83</xdr:row>
      <xdr:rowOff>0</xdr:rowOff>
    </xdr:from>
    <xdr:to>
      <xdr:col>12</xdr:col>
      <xdr:colOff>704850</xdr:colOff>
      <xdr:row>85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800975" y="1193482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829550" y="108108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704850</xdr:colOff>
      <xdr:row>132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7829550" y="2124075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7829550" y="108108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704850</xdr:colOff>
      <xdr:row>132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7829550" y="2124075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7829550" y="108108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704850</xdr:colOff>
      <xdr:row>132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7829550" y="2124075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7829550" y="1082040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704850</xdr:colOff>
      <xdr:row>132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7829550" y="212502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7829550" y="1082040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704850</xdr:colOff>
      <xdr:row>132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7829550" y="212502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7829550" y="1082040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704850</xdr:colOff>
      <xdr:row>132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7829550" y="212502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/>
      </xdr:nvSpPr>
      <xdr:spPr>
        <a:xfrm>
          <a:off x="7829550" y="1082040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704850</xdr:colOff>
      <xdr:row>132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>
        <a:xfrm>
          <a:off x="7829550" y="212502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>
          <a:off x="7829550" y="1082040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704850</xdr:colOff>
      <xdr:row>132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7829550" y="212502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7829550" y="1082040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704850</xdr:colOff>
      <xdr:row>132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/>
      </xdr:nvSpPr>
      <xdr:spPr>
        <a:xfrm>
          <a:off x="7829550" y="212502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7829550" y="1082040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12</xdr:col>
      <xdr:colOff>704850</xdr:colOff>
      <xdr:row>132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/>
      </xdr:nvSpPr>
      <xdr:spPr>
        <a:xfrm>
          <a:off x="7829550" y="212502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83</xdr:row>
      <xdr:rowOff>0</xdr:rowOff>
    </xdr:from>
    <xdr:to>
      <xdr:col>12</xdr:col>
      <xdr:colOff>704850</xdr:colOff>
      <xdr:row>85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829550" y="1422082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7829550" y="1082040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122</xdr:row>
      <xdr:rowOff>0</xdr:rowOff>
    </xdr:from>
    <xdr:to>
      <xdr:col>12</xdr:col>
      <xdr:colOff>704850</xdr:colOff>
      <xdr:row>124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/>
      </xdr:nvSpPr>
      <xdr:spPr>
        <a:xfrm>
          <a:off x="7829550" y="212502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>
          <a:off x="7829550" y="1082992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122</xdr:row>
      <xdr:rowOff>0</xdr:rowOff>
    </xdr:from>
    <xdr:to>
      <xdr:col>12</xdr:col>
      <xdr:colOff>704850</xdr:colOff>
      <xdr:row>124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/>
      </xdr:nvSpPr>
      <xdr:spPr>
        <a:xfrm>
          <a:off x="7829550" y="2335530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>
          <a:off x="7829550" y="1082992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122</xdr:row>
      <xdr:rowOff>0</xdr:rowOff>
    </xdr:from>
    <xdr:to>
      <xdr:col>12</xdr:col>
      <xdr:colOff>704850</xdr:colOff>
      <xdr:row>124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/>
      </xdr:nvSpPr>
      <xdr:spPr>
        <a:xfrm>
          <a:off x="7829550" y="2335530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7829550" y="1082992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122</xdr:row>
      <xdr:rowOff>0</xdr:rowOff>
    </xdr:from>
    <xdr:to>
      <xdr:col>12</xdr:col>
      <xdr:colOff>704850</xdr:colOff>
      <xdr:row>124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/>
      </xdr:nvSpPr>
      <xdr:spPr>
        <a:xfrm>
          <a:off x="7829550" y="2335530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7829550" y="1082992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122</xdr:row>
      <xdr:rowOff>0</xdr:rowOff>
    </xdr:from>
    <xdr:to>
      <xdr:col>12</xdr:col>
      <xdr:colOff>704850</xdr:colOff>
      <xdr:row>124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/>
      </xdr:nvSpPr>
      <xdr:spPr>
        <a:xfrm>
          <a:off x="7829550" y="2335530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/>
      </xdr:nvSpPr>
      <xdr:spPr>
        <a:xfrm>
          <a:off x="7829550" y="1082992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122</xdr:row>
      <xdr:rowOff>0</xdr:rowOff>
    </xdr:from>
    <xdr:to>
      <xdr:col>12</xdr:col>
      <xdr:colOff>704850</xdr:colOff>
      <xdr:row>124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SpPr/>
      </xdr:nvSpPr>
      <xdr:spPr>
        <a:xfrm>
          <a:off x="7829550" y="2335530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7829550" y="1082992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122</xdr:row>
      <xdr:rowOff>0</xdr:rowOff>
    </xdr:from>
    <xdr:to>
      <xdr:col>12</xdr:col>
      <xdr:colOff>704850</xdr:colOff>
      <xdr:row>124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SpPr/>
      </xdr:nvSpPr>
      <xdr:spPr>
        <a:xfrm>
          <a:off x="7829550" y="2335530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/>
      </xdr:nvSpPr>
      <xdr:spPr>
        <a:xfrm>
          <a:off x="7829550" y="949642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122</xdr:row>
      <xdr:rowOff>0</xdr:rowOff>
    </xdr:from>
    <xdr:to>
      <xdr:col>12</xdr:col>
      <xdr:colOff>704850</xdr:colOff>
      <xdr:row>124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SpPr/>
      </xdr:nvSpPr>
      <xdr:spPr>
        <a:xfrm>
          <a:off x="7829550" y="1306830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/>
      </xdr:nvSpPr>
      <xdr:spPr>
        <a:xfrm>
          <a:off x="7829550" y="949642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122</xdr:row>
      <xdr:rowOff>0</xdr:rowOff>
    </xdr:from>
    <xdr:to>
      <xdr:col>12</xdr:col>
      <xdr:colOff>704850</xdr:colOff>
      <xdr:row>124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/>
      </xdr:nvSpPr>
      <xdr:spPr>
        <a:xfrm>
          <a:off x="7829550" y="1306830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60</xdr:row>
      <xdr:rowOff>0</xdr:rowOff>
    </xdr:from>
    <xdr:to>
      <xdr:col>12</xdr:col>
      <xdr:colOff>704850</xdr:colOff>
      <xdr:row>62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/>
      </xdr:nvSpPr>
      <xdr:spPr>
        <a:xfrm>
          <a:off x="7829550" y="949642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122</xdr:row>
      <xdr:rowOff>0</xdr:rowOff>
    </xdr:from>
    <xdr:to>
      <xdr:col>12</xdr:col>
      <xdr:colOff>704850</xdr:colOff>
      <xdr:row>124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SpPr/>
      </xdr:nvSpPr>
      <xdr:spPr>
        <a:xfrm>
          <a:off x="7829550" y="1306830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83</xdr:row>
      <xdr:rowOff>0</xdr:rowOff>
    </xdr:from>
    <xdr:to>
      <xdr:col>12</xdr:col>
      <xdr:colOff>704850</xdr:colOff>
      <xdr:row>85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829550" y="828675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62</xdr:row>
      <xdr:rowOff>0</xdr:rowOff>
    </xdr:from>
    <xdr:to>
      <xdr:col>12</xdr:col>
      <xdr:colOff>704850</xdr:colOff>
      <xdr:row>64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/>
      </xdr:nvSpPr>
      <xdr:spPr>
        <a:xfrm>
          <a:off x="7829550" y="949642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124</xdr:row>
      <xdr:rowOff>0</xdr:rowOff>
    </xdr:from>
    <xdr:to>
      <xdr:col>12</xdr:col>
      <xdr:colOff>704850</xdr:colOff>
      <xdr:row>126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SpPr/>
      </xdr:nvSpPr>
      <xdr:spPr>
        <a:xfrm>
          <a:off x="7829550" y="1306830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62</xdr:row>
      <xdr:rowOff>0</xdr:rowOff>
    </xdr:from>
    <xdr:to>
      <xdr:col>12</xdr:col>
      <xdr:colOff>704850</xdr:colOff>
      <xdr:row>64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/>
      </xdr:nvSpPr>
      <xdr:spPr>
        <a:xfrm>
          <a:off x="7829550" y="9877425"/>
          <a:ext cx="704850" cy="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124</xdr:row>
      <xdr:rowOff>0</xdr:rowOff>
    </xdr:from>
    <xdr:to>
      <xdr:col>12</xdr:col>
      <xdr:colOff>704850</xdr:colOff>
      <xdr:row>126</xdr:row>
      <xdr:rowOff>152400</xdr:rowOff>
    </xdr:to>
    <xdr:sp macro="" textlink="">
      <xdr:nvSpPr>
        <xdr:cNvPr id="3" name="Up Arrow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SpPr/>
      </xdr:nvSpPr>
      <xdr:spPr>
        <a:xfrm>
          <a:off x="7829550" y="9877425"/>
          <a:ext cx="704850" cy="533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62</xdr:row>
      <xdr:rowOff>0</xdr:rowOff>
    </xdr:from>
    <xdr:to>
      <xdr:col>12</xdr:col>
      <xdr:colOff>704850</xdr:colOff>
      <xdr:row>64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/>
      </xdr:nvSpPr>
      <xdr:spPr>
        <a:xfrm>
          <a:off x="7829550" y="9877425"/>
          <a:ext cx="704850" cy="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124</xdr:row>
      <xdr:rowOff>0</xdr:rowOff>
    </xdr:from>
    <xdr:to>
      <xdr:col>12</xdr:col>
      <xdr:colOff>704850</xdr:colOff>
      <xdr:row>126</xdr:row>
      <xdr:rowOff>152400</xdr:rowOff>
    </xdr:to>
    <xdr:sp macro="" textlink="">
      <xdr:nvSpPr>
        <xdr:cNvPr id="3" name="Up Arrow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SpPr/>
      </xdr:nvSpPr>
      <xdr:spPr>
        <a:xfrm>
          <a:off x="7829550" y="9877425"/>
          <a:ext cx="704850" cy="533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62</xdr:row>
      <xdr:rowOff>0</xdr:rowOff>
    </xdr:from>
    <xdr:to>
      <xdr:col>12</xdr:col>
      <xdr:colOff>704850</xdr:colOff>
      <xdr:row>64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5943A6-C210-47C6-9C34-6AFDBA00954A}"/>
            </a:ext>
          </a:extLst>
        </xdr:cNvPr>
        <xdr:cNvSpPr/>
      </xdr:nvSpPr>
      <xdr:spPr>
        <a:xfrm>
          <a:off x="8061960" y="10119360"/>
          <a:ext cx="704850" cy="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124</xdr:row>
      <xdr:rowOff>0</xdr:rowOff>
    </xdr:from>
    <xdr:to>
      <xdr:col>12</xdr:col>
      <xdr:colOff>704850</xdr:colOff>
      <xdr:row>126</xdr:row>
      <xdr:rowOff>152400</xdr:rowOff>
    </xdr:to>
    <xdr:sp macro="" textlink="">
      <xdr:nvSpPr>
        <xdr:cNvPr id="3" name="Up Arrow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0DAF58-B005-414D-80E8-2720735C32C3}"/>
            </a:ext>
          </a:extLst>
        </xdr:cNvPr>
        <xdr:cNvSpPr/>
      </xdr:nvSpPr>
      <xdr:spPr>
        <a:xfrm>
          <a:off x="8061960" y="10119360"/>
          <a:ext cx="704850" cy="7239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10574</xdr:colOff>
      <xdr:row>1</xdr:row>
      <xdr:rowOff>10585</xdr:rowOff>
    </xdr:from>
    <xdr:to>
      <xdr:col>4</xdr:col>
      <xdr:colOff>571493</xdr:colOff>
      <xdr:row>10</xdr:row>
      <xdr:rowOff>169335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6899" y="210610"/>
          <a:ext cx="2542119" cy="1787525"/>
        </a:xfrm>
        <a:prstGeom prst="rect">
          <a:avLst/>
        </a:prstGeom>
      </xdr:spPr>
    </xdr:pic>
    <xdr:clientData/>
  </xdr:twoCellAnchor>
  <xdr:oneCellAnchor>
    <xdr:from>
      <xdr:col>5</xdr:col>
      <xdr:colOff>21165</xdr:colOff>
      <xdr:row>1</xdr:row>
      <xdr:rowOff>10583</xdr:rowOff>
    </xdr:from>
    <xdr:ext cx="9175751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SpPr/>
      </xdr:nvSpPr>
      <xdr:spPr>
        <a:xfrm>
          <a:off x="3669240" y="210608"/>
          <a:ext cx="917575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glow rad="101600">
                  <a:schemeClr val="accent2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Winners</a:t>
          </a:r>
          <a:r>
            <a:rPr lang="en-US" sz="5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glow rad="101600">
                  <a:schemeClr val="accent2">
                    <a:satMod val="175000"/>
                    <a:alpha val="40000"/>
                  </a:schemeClr>
                </a:glow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Capital Line</a:t>
          </a:r>
          <a:endParaRPr lang="en-US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glow rad="101600">
                <a:schemeClr val="accent2">
                  <a:satMod val="175000"/>
                  <a:alpha val="40000"/>
                </a:schemeClr>
              </a:glow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10583</xdr:colOff>
      <xdr:row>5</xdr:row>
      <xdr:rowOff>126989</xdr:rowOff>
    </xdr:from>
    <xdr:ext cx="9165167" cy="84375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SpPr/>
      </xdr:nvSpPr>
      <xdr:spPr>
        <a:xfrm>
          <a:off x="3658658" y="1050914"/>
          <a:ext cx="9165167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48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Grow With</a:t>
          </a:r>
          <a:r>
            <a:rPr lang="en-US" sz="48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Experts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85</xdr:row>
      <xdr:rowOff>0</xdr:rowOff>
    </xdr:from>
    <xdr:to>
      <xdr:col>12</xdr:col>
      <xdr:colOff>704850</xdr:colOff>
      <xdr:row>87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829550" y="83343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146</xdr:row>
      <xdr:rowOff>0</xdr:rowOff>
    </xdr:from>
    <xdr:to>
      <xdr:col>12</xdr:col>
      <xdr:colOff>704850</xdr:colOff>
      <xdr:row>148</xdr:row>
      <xdr:rowOff>152400</xdr:rowOff>
    </xdr:to>
    <xdr:sp macro="" textlink="">
      <xdr:nvSpPr>
        <xdr:cNvPr id="3" name="Up Arrow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7829550" y="83343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90</xdr:row>
      <xdr:rowOff>0</xdr:rowOff>
    </xdr:from>
    <xdr:to>
      <xdr:col>12</xdr:col>
      <xdr:colOff>704850</xdr:colOff>
      <xdr:row>92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829550" y="87153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151</xdr:row>
      <xdr:rowOff>0</xdr:rowOff>
    </xdr:from>
    <xdr:to>
      <xdr:col>12</xdr:col>
      <xdr:colOff>704850</xdr:colOff>
      <xdr:row>153</xdr:row>
      <xdr:rowOff>152400</xdr:rowOff>
    </xdr:to>
    <xdr:sp macro="" textlink="">
      <xdr:nvSpPr>
        <xdr:cNvPr id="3" name="Up Arrow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829550" y="1743075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95</xdr:row>
      <xdr:rowOff>0</xdr:rowOff>
    </xdr:from>
    <xdr:to>
      <xdr:col>12</xdr:col>
      <xdr:colOff>704850</xdr:colOff>
      <xdr:row>97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829550" y="96678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156</xdr:row>
      <xdr:rowOff>0</xdr:rowOff>
    </xdr:from>
    <xdr:to>
      <xdr:col>12</xdr:col>
      <xdr:colOff>704850</xdr:colOff>
      <xdr:row>158</xdr:row>
      <xdr:rowOff>152400</xdr:rowOff>
    </xdr:to>
    <xdr:sp macro="" textlink="">
      <xdr:nvSpPr>
        <xdr:cNvPr id="3" name="Up Arrow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7829550" y="2200275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57</xdr:row>
      <xdr:rowOff>0</xdr:rowOff>
    </xdr:from>
    <xdr:to>
      <xdr:col>12</xdr:col>
      <xdr:colOff>704850</xdr:colOff>
      <xdr:row>59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829550" y="106203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118</xdr:row>
      <xdr:rowOff>0</xdr:rowOff>
    </xdr:from>
    <xdr:to>
      <xdr:col>12</xdr:col>
      <xdr:colOff>704850</xdr:colOff>
      <xdr:row>120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829550" y="2295525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58</xdr:row>
      <xdr:rowOff>0</xdr:rowOff>
    </xdr:from>
    <xdr:to>
      <xdr:col>12</xdr:col>
      <xdr:colOff>704850</xdr:colOff>
      <xdr:row>60</xdr:row>
      <xdr:rowOff>152400</xdr:rowOff>
    </xdr:to>
    <xdr:sp macro="" textlink="">
      <xdr:nvSpPr>
        <xdr:cNvPr id="2" name="Up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829550" y="9286875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  <xdr:twoCellAnchor>
    <xdr:from>
      <xdr:col>12</xdr:col>
      <xdr:colOff>0</xdr:colOff>
      <xdr:row>124</xdr:row>
      <xdr:rowOff>0</xdr:rowOff>
    </xdr:from>
    <xdr:to>
      <xdr:col>12</xdr:col>
      <xdr:colOff>704850</xdr:colOff>
      <xdr:row>126</xdr:row>
      <xdr:rowOff>152400</xdr:rowOff>
    </xdr:to>
    <xdr:sp macro="" textlink="">
      <xdr:nvSpPr>
        <xdr:cNvPr id="3" name="Up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829550" y="18573750"/>
          <a:ext cx="704850" cy="7334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N" sz="1100" b="1"/>
            <a:t>UP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nnerscapitalline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3.xml"/><Relationship Id="rId4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4.xml"/><Relationship Id="rId4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5.xml"/><Relationship Id="rId4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6.xml"/><Relationship Id="rId4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7.xml"/><Relationship Id="rId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innerscapitalline.com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8.xml"/><Relationship Id="rId4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19.xml"/><Relationship Id="rId4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0.xml"/><Relationship Id="rId4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1.xml"/><Relationship Id="rId4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2.xml"/><Relationship Id="rId4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3.xml"/><Relationship Id="rId4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4.xml"/><Relationship Id="rId4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5.xml"/><Relationship Id="rId4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6.xml"/><Relationship Id="rId4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7.xml"/><Relationship Id="rId4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8.xml"/><Relationship Id="rId4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29.xml"/><Relationship Id="rId4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0.xml"/><Relationship Id="rId4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1.xml"/><Relationship Id="rId4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2.xml"/><Relationship Id="rId4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3.xml"/><Relationship Id="rId4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4.xml"/><Relationship Id="rId4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5.xml"/><Relationship Id="rId4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6.xml"/><Relationship Id="rId4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7.xml"/><Relationship Id="rId4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2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8.xml"/><Relationship Id="rId4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39.xml"/><Relationship Id="rId4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40.xml"/><Relationship Id="rId4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41.xml"/><Relationship Id="rId4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42.xml"/><Relationship Id="rId4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43.xml"/><Relationship Id="rId4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nerscapitalline.com/" TargetMode="External"/><Relationship Id="rId2" Type="http://schemas.openxmlformats.org/officeDocument/2006/relationships/hyperlink" Target="http://www.winnerscapitalline.com/" TargetMode="External"/><Relationship Id="rId1" Type="http://schemas.openxmlformats.org/officeDocument/2006/relationships/hyperlink" Target="http://www.winnerscapitalline.com/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topLeftCell="A6" workbookViewId="0">
      <selection activeCell="Q4" sqref="Q4:Q5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25" style="5" customWidth="1"/>
    <col min="6" max="7" width="11.44140625" style="5" customWidth="1"/>
    <col min="8" max="8" width="11.4414062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18.554687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5.2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24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44013</v>
      </c>
      <c r="C3" s="104"/>
      <c r="D3" s="104"/>
      <c r="E3" s="104"/>
      <c r="F3" s="104"/>
      <c r="G3" s="104"/>
      <c r="H3" s="104"/>
      <c r="I3" s="104"/>
      <c r="J3" s="105"/>
      <c r="K3" s="7"/>
      <c r="M3" s="123"/>
      <c r="N3" s="125"/>
      <c r="O3" s="125"/>
      <c r="P3" s="125"/>
      <c r="Q3" s="125"/>
      <c r="R3" s="102"/>
    </row>
    <row r="4" spans="1:23" ht="16.2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09" t="s">
        <v>107</v>
      </c>
      <c r="N4" s="111">
        <f>COUNT(C6:C32)</f>
        <v>5</v>
      </c>
      <c r="O4" s="113">
        <f>V33</f>
        <v>4</v>
      </c>
      <c r="P4" s="113">
        <f>W33</f>
        <v>1</v>
      </c>
      <c r="Q4" s="115">
        <f>N4-O4-P4</f>
        <v>0</v>
      </c>
      <c r="R4" s="117">
        <f>O4/N4</f>
        <v>0.8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10"/>
      <c r="N5" s="112"/>
      <c r="O5" s="114"/>
      <c r="P5" s="114"/>
      <c r="Q5" s="116"/>
      <c r="R5" s="118"/>
      <c r="V5" s="5" t="s">
        <v>5</v>
      </c>
      <c r="W5" s="5" t="s">
        <v>6</v>
      </c>
    </row>
    <row r="6" spans="1:23" x14ac:dyDescent="0.3">
      <c r="A6" s="6"/>
      <c r="B6" s="14">
        <v>1</v>
      </c>
      <c r="C6" s="66">
        <v>44041</v>
      </c>
      <c r="D6" s="67" t="s">
        <v>18</v>
      </c>
      <c r="E6" s="67" t="s">
        <v>34</v>
      </c>
      <c r="F6" s="68">
        <v>170</v>
      </c>
      <c r="G6" s="68">
        <v>220</v>
      </c>
      <c r="H6" s="60">
        <v>50</v>
      </c>
      <c r="I6" s="15">
        <v>100</v>
      </c>
      <c r="J6" s="16">
        <f>H6*I6</f>
        <v>5000</v>
      </c>
      <c r="K6" s="7"/>
      <c r="M6" s="147" t="s">
        <v>19</v>
      </c>
      <c r="N6" s="149">
        <f>SUM(N4:N5)</f>
        <v>5</v>
      </c>
      <c r="O6" s="149">
        <f>SUM(O4:O5)</f>
        <v>4</v>
      </c>
      <c r="P6" s="149">
        <f>SUM(P4:P5)</f>
        <v>1</v>
      </c>
      <c r="Q6" s="151">
        <f>SUM(Q4:Q5)</f>
        <v>0</v>
      </c>
      <c r="R6" s="117">
        <f t="shared" ref="R6" si="0">O6/N6</f>
        <v>0.8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7">
        <v>2</v>
      </c>
      <c r="C7" s="66">
        <v>44041</v>
      </c>
      <c r="D7" s="67" t="s">
        <v>18</v>
      </c>
      <c r="E7" s="67" t="s">
        <v>35</v>
      </c>
      <c r="F7" s="68">
        <v>150</v>
      </c>
      <c r="G7" s="68">
        <v>250</v>
      </c>
      <c r="H7" s="67">
        <v>44</v>
      </c>
      <c r="I7" s="20">
        <v>100</v>
      </c>
      <c r="J7" s="21">
        <f t="shared" ref="J7:J32" si="1">H7*I7</f>
        <v>4400</v>
      </c>
      <c r="K7" s="7"/>
      <c r="M7" s="148"/>
      <c r="N7" s="150"/>
      <c r="O7" s="150"/>
      <c r="P7" s="150"/>
      <c r="Q7" s="152"/>
      <c r="R7" s="153"/>
      <c r="V7" s="5">
        <f t="shared" ref="V7:V32" si="2">IF($J7&gt;0,1,0)</f>
        <v>1</v>
      </c>
      <c r="W7" s="5">
        <f t="shared" ref="W7:W32" si="3">IF($J7&lt;0,1,0)</f>
        <v>0</v>
      </c>
    </row>
    <row r="8" spans="1:23" x14ac:dyDescent="0.3">
      <c r="A8" s="6"/>
      <c r="B8" s="17">
        <v>3</v>
      </c>
      <c r="C8" s="18">
        <v>44042</v>
      </c>
      <c r="D8" s="19" t="s">
        <v>18</v>
      </c>
      <c r="E8" s="19" t="s">
        <v>37</v>
      </c>
      <c r="F8" s="35">
        <v>50</v>
      </c>
      <c r="G8" s="35">
        <v>130</v>
      </c>
      <c r="H8" s="35">
        <v>80</v>
      </c>
      <c r="I8" s="20">
        <v>100</v>
      </c>
      <c r="J8" s="21">
        <f t="shared" si="1"/>
        <v>8000</v>
      </c>
      <c r="K8" s="7"/>
      <c r="M8" s="126" t="s">
        <v>20</v>
      </c>
      <c r="N8" s="127"/>
      <c r="O8" s="128"/>
      <c r="P8" s="135">
        <f>R6</f>
        <v>0.8</v>
      </c>
      <c r="Q8" s="136"/>
      <c r="R8" s="137"/>
      <c r="V8" s="5">
        <f t="shared" si="2"/>
        <v>1</v>
      </c>
      <c r="W8" s="5">
        <f t="shared" si="3"/>
        <v>0</v>
      </c>
    </row>
    <row r="9" spans="1:23" x14ac:dyDescent="0.3">
      <c r="A9" s="6"/>
      <c r="B9" s="17">
        <v>4</v>
      </c>
      <c r="C9" s="18">
        <v>44042</v>
      </c>
      <c r="D9" s="19" t="s">
        <v>18</v>
      </c>
      <c r="E9" s="19" t="s">
        <v>38</v>
      </c>
      <c r="F9" s="35">
        <v>60</v>
      </c>
      <c r="G9" s="35">
        <v>100</v>
      </c>
      <c r="H9" s="35">
        <v>40</v>
      </c>
      <c r="I9" s="20">
        <v>100</v>
      </c>
      <c r="J9" s="21">
        <f t="shared" si="1"/>
        <v>4000</v>
      </c>
      <c r="K9" s="7"/>
      <c r="M9" s="129"/>
      <c r="N9" s="130"/>
      <c r="O9" s="131"/>
      <c r="P9" s="138"/>
      <c r="Q9" s="139"/>
      <c r="R9" s="140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7">
        <v>5</v>
      </c>
      <c r="C10" s="18">
        <v>44043</v>
      </c>
      <c r="D10" s="19" t="s">
        <v>18</v>
      </c>
      <c r="E10" s="19" t="s">
        <v>40</v>
      </c>
      <c r="F10" s="35">
        <v>300</v>
      </c>
      <c r="G10" s="35">
        <v>240</v>
      </c>
      <c r="H10" s="35">
        <v>-60</v>
      </c>
      <c r="I10" s="20">
        <v>100</v>
      </c>
      <c r="J10" s="21">
        <f t="shared" si="1"/>
        <v>-6000</v>
      </c>
      <c r="K10" s="7"/>
      <c r="M10" s="132"/>
      <c r="N10" s="133"/>
      <c r="O10" s="134"/>
      <c r="P10" s="141"/>
      <c r="Q10" s="142"/>
      <c r="R10" s="143"/>
      <c r="V10" s="5">
        <f t="shared" si="2"/>
        <v>0</v>
      </c>
      <c r="W10" s="5">
        <f t="shared" si="3"/>
        <v>1</v>
      </c>
    </row>
    <row r="11" spans="1:23" x14ac:dyDescent="0.3">
      <c r="A11" s="6"/>
      <c r="B11" s="17">
        <v>6</v>
      </c>
      <c r="C11" s="18"/>
      <c r="D11" s="19"/>
      <c r="E11" s="19"/>
      <c r="F11" s="35"/>
      <c r="G11" s="35"/>
      <c r="H11" s="35"/>
      <c r="I11" s="20"/>
      <c r="J11" s="21">
        <f t="shared" si="1"/>
        <v>0</v>
      </c>
      <c r="K11" s="7"/>
      <c r="V11" s="5">
        <f t="shared" si="2"/>
        <v>0</v>
      </c>
      <c r="W11" s="5">
        <f t="shared" si="3"/>
        <v>0</v>
      </c>
    </row>
    <row r="12" spans="1:23" x14ac:dyDescent="0.3">
      <c r="A12" s="6"/>
      <c r="B12" s="17">
        <v>7</v>
      </c>
      <c r="C12" s="18"/>
      <c r="D12" s="19"/>
      <c r="E12" s="19"/>
      <c r="F12" s="35"/>
      <c r="G12" s="35"/>
      <c r="H12" s="35"/>
      <c r="I12" s="20"/>
      <c r="J12" s="21">
        <f t="shared" si="1"/>
        <v>0</v>
      </c>
      <c r="K12" s="7"/>
      <c r="V12" s="5">
        <f t="shared" si="2"/>
        <v>0</v>
      </c>
      <c r="W12" s="5">
        <f t="shared" si="3"/>
        <v>0</v>
      </c>
    </row>
    <row r="13" spans="1:23" x14ac:dyDescent="0.3">
      <c r="A13" s="6"/>
      <c r="B13" s="17">
        <v>8</v>
      </c>
      <c r="C13" s="18"/>
      <c r="D13" s="19"/>
      <c r="E13" s="19"/>
      <c r="F13" s="35"/>
      <c r="G13" s="35"/>
      <c r="H13" s="35"/>
      <c r="I13" s="20"/>
      <c r="J13" s="21">
        <f t="shared" si="1"/>
        <v>0</v>
      </c>
      <c r="K13" s="7"/>
      <c r="V13" s="5">
        <f t="shared" si="2"/>
        <v>0</v>
      </c>
      <c r="W13" s="5">
        <f t="shared" si="3"/>
        <v>0</v>
      </c>
    </row>
    <row r="14" spans="1:23" x14ac:dyDescent="0.3">
      <c r="A14" s="6"/>
      <c r="B14" s="17">
        <v>9</v>
      </c>
      <c r="C14" s="18"/>
      <c r="D14" s="19"/>
      <c r="E14" s="19"/>
      <c r="F14" s="35"/>
      <c r="G14" s="35"/>
      <c r="H14" s="35"/>
      <c r="I14" s="20"/>
      <c r="J14" s="21">
        <f t="shared" si="1"/>
        <v>0</v>
      </c>
      <c r="K14" s="7"/>
      <c r="M14" s="5" t="s">
        <v>21</v>
      </c>
      <c r="V14" s="5">
        <f t="shared" si="2"/>
        <v>0</v>
      </c>
      <c r="W14" s="5">
        <f t="shared" si="3"/>
        <v>0</v>
      </c>
    </row>
    <row r="15" spans="1:23" x14ac:dyDescent="0.3">
      <c r="A15" s="6"/>
      <c r="B15" s="17">
        <v>10</v>
      </c>
      <c r="C15" s="18"/>
      <c r="D15" s="19"/>
      <c r="E15" s="19"/>
      <c r="F15" s="35"/>
      <c r="G15" s="35"/>
      <c r="H15" s="35"/>
      <c r="I15" s="20"/>
      <c r="J15" s="21">
        <f t="shared" si="1"/>
        <v>0</v>
      </c>
      <c r="K15" s="7"/>
      <c r="V15" s="5">
        <f>IF($J15&gt;0,1,0)</f>
        <v>0</v>
      </c>
      <c r="W15" s="5">
        <f>IF($J15&lt;0,1,0)</f>
        <v>0</v>
      </c>
    </row>
    <row r="16" spans="1:23" hidden="1" x14ac:dyDescent="0.3">
      <c r="A16" s="6"/>
      <c r="B16" s="17">
        <v>11</v>
      </c>
      <c r="C16" s="18"/>
      <c r="D16" s="19"/>
      <c r="E16" s="19"/>
      <c r="F16" s="35"/>
      <c r="G16" s="35"/>
      <c r="H16" s="35"/>
      <c r="I16" s="20"/>
      <c r="J16" s="21">
        <f t="shared" si="1"/>
        <v>0</v>
      </c>
      <c r="K16" s="7"/>
      <c r="V16" s="5">
        <f>IF($J16&gt;0,1,0)</f>
        <v>0</v>
      </c>
      <c r="W16" s="5">
        <f>IF($J16&lt;0,1,0)</f>
        <v>0</v>
      </c>
    </row>
    <row r="17" spans="1:23" hidden="1" x14ac:dyDescent="0.3">
      <c r="A17" s="6"/>
      <c r="B17" s="17">
        <v>12</v>
      </c>
      <c r="C17" s="18"/>
      <c r="D17" s="19"/>
      <c r="E17" s="19"/>
      <c r="F17" s="35"/>
      <c r="G17" s="35"/>
      <c r="H17" s="35"/>
      <c r="I17" s="20"/>
      <c r="J17" s="21">
        <f t="shared" si="1"/>
        <v>0</v>
      </c>
      <c r="K17" s="7"/>
      <c r="V17" s="5">
        <f t="shared" si="2"/>
        <v>0</v>
      </c>
      <c r="W17" s="5">
        <f t="shared" si="3"/>
        <v>0</v>
      </c>
    </row>
    <row r="18" spans="1:23" hidden="1" x14ac:dyDescent="0.3">
      <c r="A18" s="6"/>
      <c r="B18" s="17">
        <v>13</v>
      </c>
      <c r="C18" s="18"/>
      <c r="D18" s="19"/>
      <c r="E18" s="19"/>
      <c r="F18" s="35"/>
      <c r="G18" s="35"/>
      <c r="H18" s="35"/>
      <c r="I18" s="20"/>
      <c r="J18" s="21">
        <f t="shared" si="1"/>
        <v>0</v>
      </c>
      <c r="K18" s="7"/>
      <c r="V18" s="5">
        <f t="shared" si="2"/>
        <v>0</v>
      </c>
      <c r="W18" s="5">
        <f t="shared" si="3"/>
        <v>0</v>
      </c>
    </row>
    <row r="19" spans="1:23" hidden="1" x14ac:dyDescent="0.3">
      <c r="A19" s="6"/>
      <c r="B19" s="17">
        <v>14</v>
      </c>
      <c r="C19" s="18"/>
      <c r="D19" s="19"/>
      <c r="E19" s="19"/>
      <c r="F19" s="35"/>
      <c r="G19" s="35"/>
      <c r="H19" s="35"/>
      <c r="I19" s="20"/>
      <c r="J19" s="21">
        <f t="shared" si="1"/>
        <v>0</v>
      </c>
      <c r="K19" s="7"/>
      <c r="V19" s="5">
        <f t="shared" si="2"/>
        <v>0</v>
      </c>
      <c r="W19" s="5">
        <f t="shared" si="3"/>
        <v>0</v>
      </c>
    </row>
    <row r="20" spans="1:23" hidden="1" x14ac:dyDescent="0.3">
      <c r="A20" s="6"/>
      <c r="B20" s="17">
        <v>15</v>
      </c>
      <c r="C20" s="18"/>
      <c r="D20" s="19"/>
      <c r="E20" s="19"/>
      <c r="F20" s="35"/>
      <c r="G20" s="35"/>
      <c r="H20" s="35"/>
      <c r="I20" s="20"/>
      <c r="J20" s="21">
        <f t="shared" si="1"/>
        <v>0</v>
      </c>
      <c r="K20" s="7"/>
      <c r="V20" s="5">
        <f t="shared" si="2"/>
        <v>0</v>
      </c>
      <c r="W20" s="5">
        <f t="shared" si="3"/>
        <v>0</v>
      </c>
    </row>
    <row r="21" spans="1:23" hidden="1" x14ac:dyDescent="0.3">
      <c r="A21" s="6"/>
      <c r="B21" s="17">
        <v>16</v>
      </c>
      <c r="C21" s="18"/>
      <c r="D21" s="19"/>
      <c r="E21" s="19"/>
      <c r="F21" s="35"/>
      <c r="G21" s="35"/>
      <c r="H21" s="35"/>
      <c r="I21" s="20"/>
      <c r="J21" s="21">
        <f t="shared" si="1"/>
        <v>0</v>
      </c>
      <c r="K21" s="7"/>
      <c r="O21" s="22"/>
      <c r="P21" s="22"/>
      <c r="Q21" s="22"/>
      <c r="R21" s="22"/>
      <c r="V21" s="5">
        <f t="shared" si="2"/>
        <v>0</v>
      </c>
      <c r="W21" s="5">
        <f t="shared" si="3"/>
        <v>0</v>
      </c>
    </row>
    <row r="22" spans="1:23" hidden="1" x14ac:dyDescent="0.3">
      <c r="A22" s="6"/>
      <c r="B22" s="17">
        <v>17</v>
      </c>
      <c r="C22" s="18"/>
      <c r="D22" s="19"/>
      <c r="E22" s="19"/>
      <c r="F22" s="35"/>
      <c r="G22" s="35"/>
      <c r="H22" s="35"/>
      <c r="I22" s="20"/>
      <c r="J22" s="21">
        <f t="shared" si="1"/>
        <v>0</v>
      </c>
      <c r="K22" s="7"/>
      <c r="V22" s="5">
        <f t="shared" si="2"/>
        <v>0</v>
      </c>
      <c r="W22" s="5">
        <f t="shared" si="3"/>
        <v>0</v>
      </c>
    </row>
    <row r="23" spans="1:23" hidden="1" x14ac:dyDescent="0.3">
      <c r="A23" s="6"/>
      <c r="B23" s="17">
        <v>18</v>
      </c>
      <c r="C23" s="18"/>
      <c r="D23" s="19"/>
      <c r="E23" s="19"/>
      <c r="F23" s="35"/>
      <c r="G23" s="35"/>
      <c r="H23" s="35"/>
      <c r="I23" s="20"/>
      <c r="J23" s="21">
        <f t="shared" si="1"/>
        <v>0</v>
      </c>
      <c r="K23" s="7"/>
      <c r="V23" s="5">
        <f t="shared" si="2"/>
        <v>0</v>
      </c>
      <c r="W23" s="5">
        <f t="shared" si="3"/>
        <v>0</v>
      </c>
    </row>
    <row r="24" spans="1:23" hidden="1" x14ac:dyDescent="0.3">
      <c r="A24" s="6"/>
      <c r="B24" s="17">
        <v>19</v>
      </c>
      <c r="C24" s="18"/>
      <c r="D24" s="19"/>
      <c r="E24" s="19"/>
      <c r="F24" s="35"/>
      <c r="G24" s="35"/>
      <c r="H24" s="35"/>
      <c r="I24" s="20"/>
      <c r="J24" s="21">
        <f t="shared" si="1"/>
        <v>0</v>
      </c>
      <c r="K24" s="7"/>
      <c r="V24" s="5">
        <f t="shared" si="2"/>
        <v>0</v>
      </c>
      <c r="W24" s="5">
        <f t="shared" si="3"/>
        <v>0</v>
      </c>
    </row>
    <row r="25" spans="1:23" hidden="1" x14ac:dyDescent="0.3">
      <c r="A25" s="6"/>
      <c r="B25" s="17">
        <v>20</v>
      </c>
      <c r="C25" s="18"/>
      <c r="D25" s="19"/>
      <c r="E25" s="19"/>
      <c r="F25" s="35"/>
      <c r="G25" s="35"/>
      <c r="H25" s="19"/>
      <c r="I25" s="20"/>
      <c r="J25" s="21">
        <f t="shared" si="1"/>
        <v>0</v>
      </c>
      <c r="K25" s="7"/>
      <c r="V25" s="5">
        <f t="shared" si="2"/>
        <v>0</v>
      </c>
      <c r="W25" s="5">
        <f t="shared" si="3"/>
        <v>0</v>
      </c>
    </row>
    <row r="26" spans="1:23" hidden="1" x14ac:dyDescent="0.3">
      <c r="A26" s="6"/>
      <c r="B26" s="17">
        <v>21</v>
      </c>
      <c r="C26" s="18"/>
      <c r="D26" s="19"/>
      <c r="E26" s="19"/>
      <c r="F26" s="35"/>
      <c r="G26" s="35"/>
      <c r="H26" s="19"/>
      <c r="I26" s="20"/>
      <c r="J26" s="21">
        <f t="shared" si="1"/>
        <v>0</v>
      </c>
      <c r="K26" s="7"/>
      <c r="V26" s="5">
        <f t="shared" si="2"/>
        <v>0</v>
      </c>
      <c r="W26" s="5">
        <f t="shared" si="3"/>
        <v>0</v>
      </c>
    </row>
    <row r="27" spans="1:23" hidden="1" x14ac:dyDescent="0.3">
      <c r="A27" s="6"/>
      <c r="B27" s="17">
        <v>22</v>
      </c>
      <c r="C27" s="18"/>
      <c r="D27" s="19"/>
      <c r="E27" s="19"/>
      <c r="F27" s="20"/>
      <c r="G27" s="20"/>
      <c r="H27" s="19"/>
      <c r="I27" s="20"/>
      <c r="J27" s="21">
        <f t="shared" si="1"/>
        <v>0</v>
      </c>
      <c r="K27" s="7"/>
      <c r="V27" s="5">
        <f t="shared" si="2"/>
        <v>0</v>
      </c>
      <c r="W27" s="5">
        <f t="shared" si="3"/>
        <v>0</v>
      </c>
    </row>
    <row r="28" spans="1:23" x14ac:dyDescent="0.3">
      <c r="A28" s="6"/>
      <c r="B28" s="23">
        <v>11</v>
      </c>
      <c r="C28" s="24"/>
      <c r="D28" s="25"/>
      <c r="E28" s="25"/>
      <c r="F28" s="26"/>
      <c r="G28" s="61"/>
      <c r="H28" s="61"/>
      <c r="I28" s="26"/>
      <c r="J28" s="21">
        <f t="shared" si="1"/>
        <v>0</v>
      </c>
      <c r="K28" s="7"/>
    </row>
    <row r="29" spans="1:23" x14ac:dyDescent="0.3">
      <c r="A29" s="6"/>
      <c r="B29" s="23">
        <v>12</v>
      </c>
      <c r="C29" s="24"/>
      <c r="D29" s="25"/>
      <c r="E29" s="25"/>
      <c r="F29" s="26"/>
      <c r="G29" s="61"/>
      <c r="H29" s="61"/>
      <c r="I29" s="26"/>
      <c r="J29" s="21">
        <f t="shared" si="1"/>
        <v>0</v>
      </c>
      <c r="K29" s="7"/>
    </row>
    <row r="30" spans="1:23" x14ac:dyDescent="0.3">
      <c r="A30" s="6"/>
      <c r="B30" s="23">
        <v>13</v>
      </c>
      <c r="C30" s="24"/>
      <c r="D30" s="25"/>
      <c r="E30" s="25"/>
      <c r="F30" s="61"/>
      <c r="G30" s="61"/>
      <c r="H30" s="61"/>
      <c r="I30" s="26"/>
      <c r="J30" s="21">
        <f t="shared" si="1"/>
        <v>0</v>
      </c>
      <c r="K30" s="7"/>
    </row>
    <row r="31" spans="1:23" x14ac:dyDescent="0.3">
      <c r="A31" s="6"/>
      <c r="B31" s="23"/>
      <c r="C31" s="24"/>
      <c r="D31" s="25"/>
      <c r="E31" s="25"/>
      <c r="F31" s="61"/>
      <c r="G31" s="61"/>
      <c r="H31" s="61"/>
      <c r="I31" s="26"/>
      <c r="J31" s="21">
        <f t="shared" si="1"/>
        <v>0</v>
      </c>
      <c r="K31" s="7"/>
    </row>
    <row r="32" spans="1:23" ht="15" thickBot="1" x14ac:dyDescent="0.35">
      <c r="A32" s="6"/>
      <c r="B32" s="23"/>
      <c r="C32" s="24"/>
      <c r="D32" s="25"/>
      <c r="E32" s="25"/>
      <c r="F32" s="26"/>
      <c r="G32" s="26"/>
      <c r="H32" s="25"/>
      <c r="I32" s="26"/>
      <c r="J32" s="27">
        <f t="shared" si="1"/>
        <v>0</v>
      </c>
      <c r="K32" s="7"/>
      <c r="V32" s="5">
        <f t="shared" si="2"/>
        <v>0</v>
      </c>
      <c r="W32" s="5">
        <f t="shared" si="3"/>
        <v>0</v>
      </c>
    </row>
    <row r="33" spans="1:23" ht="24" thickBot="1" x14ac:dyDescent="0.5">
      <c r="A33" s="6"/>
      <c r="B33" s="144" t="s">
        <v>22</v>
      </c>
      <c r="C33" s="145"/>
      <c r="D33" s="145"/>
      <c r="E33" s="145"/>
      <c r="F33" s="145"/>
      <c r="G33" s="145"/>
      <c r="H33" s="146"/>
      <c r="I33" s="28" t="s">
        <v>23</v>
      </c>
      <c r="J33" s="29">
        <f>SUM(J6:J32)</f>
        <v>15400</v>
      </c>
      <c r="K33" s="7"/>
      <c r="V33" s="5">
        <f>SUM(V6:V32)</f>
        <v>4</v>
      </c>
      <c r="W33" s="5">
        <f>SUM(W6:W32)</f>
        <v>1</v>
      </c>
    </row>
    <row r="34" spans="1:23" ht="30" customHeight="1" thickBot="1" x14ac:dyDescent="0.35">
      <c r="A34" s="30"/>
      <c r="B34" s="31"/>
      <c r="C34" s="31"/>
      <c r="D34" s="31"/>
      <c r="E34" s="31"/>
      <c r="F34" s="31"/>
      <c r="G34" s="31"/>
      <c r="H34" s="32"/>
      <c r="I34" s="31"/>
      <c r="J34" s="32"/>
      <c r="K34" s="33"/>
    </row>
  </sheetData>
  <mergeCells count="24">
    <mergeCell ref="M8:O10"/>
    <mergeCell ref="P8:R10"/>
    <mergeCell ref="B33:H33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33" r:id="rId1" xr:uid="{00000000-0004-0000-0000-000000000000}"/>
    <hyperlink ref="M1" location="MASTER!A1" display="Back" xr:uid="{00000000-0004-0000-0000-000001000000}"/>
  </hyperlinks>
  <pageMargins left="0" right="0" top="0" bottom="0" header="0" footer="0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72"/>
  <sheetViews>
    <sheetView topLeftCell="A117" workbookViewId="0"/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44287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95" t="s">
        <v>107</v>
      </c>
      <c r="N4" s="111">
        <f>COUNT(C6:C55)</f>
        <v>37</v>
      </c>
      <c r="O4" s="113">
        <f>V56</f>
        <v>32</v>
      </c>
      <c r="P4" s="113">
        <f>W56</f>
        <v>5</v>
      </c>
      <c r="Q4" s="197">
        <f>N4-O4-P4</f>
        <v>0</v>
      </c>
      <c r="R4" s="199">
        <f>O4/N4</f>
        <v>0.86486486486486491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96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44287</v>
      </c>
      <c r="D6" s="90" t="s">
        <v>18</v>
      </c>
      <c r="E6" s="90" t="s">
        <v>332</v>
      </c>
      <c r="F6" s="90">
        <v>130</v>
      </c>
      <c r="G6" s="90">
        <v>210</v>
      </c>
      <c r="H6" s="91">
        <v>80</v>
      </c>
      <c r="I6" s="90">
        <v>100</v>
      </c>
      <c r="J6" s="92">
        <f t="shared" ref="J6:J55" si="0">H6*I6</f>
        <v>8000</v>
      </c>
      <c r="K6" s="7"/>
      <c r="M6" s="196" t="s">
        <v>108</v>
      </c>
      <c r="N6" s="112">
        <f>COUNT(C64:C116)</f>
        <v>36</v>
      </c>
      <c r="O6" s="114">
        <f>V117</f>
        <v>33</v>
      </c>
      <c r="P6" s="114">
        <f>W117</f>
        <v>3</v>
      </c>
      <c r="Q6" s="198">
        <f>N6-O6-P6</f>
        <v>0</v>
      </c>
      <c r="R6" s="203">
        <f t="shared" ref="R6" si="1">O6/N6</f>
        <v>0.91666666666666663</v>
      </c>
      <c r="V6" s="5">
        <f t="shared" ref="V6:V55" si="2">IF($J6&gt;0,1,0)</f>
        <v>1</v>
      </c>
      <c r="W6" s="5">
        <f t="shared" ref="W6:W55" si="3">IF($J6&lt;0,1,0)</f>
        <v>0</v>
      </c>
    </row>
    <row r="7" spans="1:23" x14ac:dyDescent="0.3">
      <c r="A7" s="6"/>
      <c r="B7" s="17">
        <v>2</v>
      </c>
      <c r="C7" s="85">
        <v>44287</v>
      </c>
      <c r="D7" s="86" t="s">
        <v>18</v>
      </c>
      <c r="E7" s="86" t="s">
        <v>332</v>
      </c>
      <c r="F7" s="86">
        <v>150</v>
      </c>
      <c r="G7" s="86">
        <v>100</v>
      </c>
      <c r="H7" s="87">
        <v>-50</v>
      </c>
      <c r="I7" s="86">
        <v>100</v>
      </c>
      <c r="J7" s="21">
        <f t="shared" si="0"/>
        <v>-5000</v>
      </c>
      <c r="K7" s="7"/>
      <c r="M7" s="196"/>
      <c r="N7" s="112"/>
      <c r="O7" s="114"/>
      <c r="P7" s="114"/>
      <c r="Q7" s="198"/>
      <c r="R7" s="200"/>
      <c r="V7" s="5">
        <f t="shared" si="2"/>
        <v>0</v>
      </c>
      <c r="W7" s="5">
        <f t="shared" si="3"/>
        <v>1</v>
      </c>
    </row>
    <row r="8" spans="1:23" x14ac:dyDescent="0.3">
      <c r="A8" s="6"/>
      <c r="B8" s="88">
        <v>3</v>
      </c>
      <c r="C8" s="85">
        <v>44291</v>
      </c>
      <c r="D8" s="86" t="s">
        <v>18</v>
      </c>
      <c r="E8" s="86" t="s">
        <v>203</v>
      </c>
      <c r="F8" s="86">
        <v>140</v>
      </c>
      <c r="G8" s="86">
        <v>240</v>
      </c>
      <c r="H8" s="87">
        <v>100</v>
      </c>
      <c r="I8" s="86">
        <v>100</v>
      </c>
      <c r="J8" s="21">
        <f t="shared" si="0"/>
        <v>10000</v>
      </c>
      <c r="K8" s="7"/>
      <c r="M8" s="205" t="s">
        <v>194</v>
      </c>
      <c r="N8" s="112">
        <f>COUNT(C125:C170)</f>
        <v>34</v>
      </c>
      <c r="O8" s="114">
        <f>V171</f>
        <v>29</v>
      </c>
      <c r="P8" s="114">
        <f>W171</f>
        <v>5</v>
      </c>
      <c r="Q8" s="198">
        <f>N8-O8-P8</f>
        <v>0</v>
      </c>
      <c r="R8" s="203">
        <f t="shared" ref="R8:R10" si="4">O8/N8</f>
        <v>0.8529411764705882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44291</v>
      </c>
      <c r="D9" s="86" t="s">
        <v>18</v>
      </c>
      <c r="E9" s="86" t="s">
        <v>333</v>
      </c>
      <c r="F9" s="86">
        <v>160</v>
      </c>
      <c r="G9" s="86">
        <v>110</v>
      </c>
      <c r="H9" s="87">
        <v>-50</v>
      </c>
      <c r="I9" s="86">
        <v>100</v>
      </c>
      <c r="J9" s="21">
        <f t="shared" si="0"/>
        <v>-5000</v>
      </c>
      <c r="K9" s="7"/>
      <c r="M9" s="206"/>
      <c r="N9" s="184"/>
      <c r="O9" s="172"/>
      <c r="P9" s="172"/>
      <c r="Q9" s="174"/>
      <c r="R9" s="204"/>
      <c r="V9" s="5">
        <f t="shared" si="2"/>
        <v>0</v>
      </c>
      <c r="W9" s="5">
        <f t="shared" si="3"/>
        <v>1</v>
      </c>
    </row>
    <row r="10" spans="1:23" ht="16.5" customHeight="1" x14ac:dyDescent="0.3">
      <c r="A10" s="6"/>
      <c r="B10" s="88">
        <v>5</v>
      </c>
      <c r="C10" s="85">
        <v>44292</v>
      </c>
      <c r="D10" s="86" t="s">
        <v>18</v>
      </c>
      <c r="E10" s="86" t="s">
        <v>334</v>
      </c>
      <c r="F10" s="86">
        <v>150</v>
      </c>
      <c r="G10" s="86">
        <v>183</v>
      </c>
      <c r="H10" s="87">
        <v>33</v>
      </c>
      <c r="I10" s="86">
        <v>100</v>
      </c>
      <c r="J10" s="21">
        <f t="shared" si="0"/>
        <v>3300</v>
      </c>
      <c r="K10" s="7"/>
      <c r="M10" s="207" t="s">
        <v>19</v>
      </c>
      <c r="N10" s="149">
        <f>SUM(N4:N9)</f>
        <v>107</v>
      </c>
      <c r="O10" s="209">
        <f>SUM(O4:O9)</f>
        <v>94</v>
      </c>
      <c r="P10" s="209">
        <f>SUM(P4:P9)</f>
        <v>13</v>
      </c>
      <c r="Q10" s="211">
        <f>SUM(Q4:Q9)</f>
        <v>0</v>
      </c>
      <c r="R10" s="199">
        <f t="shared" si="4"/>
        <v>0.87850467289719625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44292</v>
      </c>
      <c r="D11" s="86" t="s">
        <v>18</v>
      </c>
      <c r="E11" s="86" t="s">
        <v>334</v>
      </c>
      <c r="F11" s="86">
        <v>150</v>
      </c>
      <c r="G11" s="86">
        <v>250</v>
      </c>
      <c r="H11" s="87">
        <v>100</v>
      </c>
      <c r="I11" s="86">
        <v>100</v>
      </c>
      <c r="J11" s="21">
        <f t="shared" si="0"/>
        <v>10000</v>
      </c>
      <c r="K11" s="7"/>
      <c r="M11" s="208"/>
      <c r="N11" s="150"/>
      <c r="O11" s="210"/>
      <c r="P11" s="210"/>
      <c r="Q11" s="212"/>
      <c r="R11" s="204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44293</v>
      </c>
      <c r="D12" s="86" t="s">
        <v>18</v>
      </c>
      <c r="E12" s="86" t="s">
        <v>339</v>
      </c>
      <c r="F12" s="86">
        <v>160</v>
      </c>
      <c r="G12" s="86">
        <v>260</v>
      </c>
      <c r="H12" s="87">
        <v>100</v>
      </c>
      <c r="I12" s="86">
        <v>100</v>
      </c>
      <c r="J12" s="21">
        <f t="shared" si="0"/>
        <v>10000</v>
      </c>
      <c r="K12" s="7"/>
      <c r="M12" s="126" t="s">
        <v>20</v>
      </c>
      <c r="N12" s="130"/>
      <c r="O12" s="131"/>
      <c r="P12" s="138">
        <f>R10</f>
        <v>0.87850467289719625</v>
      </c>
      <c r="Q12" s="139"/>
      <c r="R12" s="137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44294</v>
      </c>
      <c r="D13" s="86" t="s">
        <v>18</v>
      </c>
      <c r="E13" s="86" t="s">
        <v>341</v>
      </c>
      <c r="F13" s="86">
        <v>100</v>
      </c>
      <c r="G13" s="86">
        <v>50</v>
      </c>
      <c r="H13" s="87">
        <v>-50</v>
      </c>
      <c r="I13" s="86">
        <v>100</v>
      </c>
      <c r="J13" s="21">
        <f t="shared" si="0"/>
        <v>-5000</v>
      </c>
      <c r="K13" s="7"/>
      <c r="M13" s="129"/>
      <c r="N13" s="130"/>
      <c r="O13" s="131"/>
      <c r="P13" s="138"/>
      <c r="Q13" s="139"/>
      <c r="R13" s="140"/>
      <c r="V13" s="5">
        <f t="shared" si="2"/>
        <v>0</v>
      </c>
      <c r="W13" s="5">
        <f t="shared" si="3"/>
        <v>1</v>
      </c>
    </row>
    <row r="14" spans="1:23" ht="15.75" customHeight="1" thickBot="1" x14ac:dyDescent="0.35">
      <c r="A14" s="6"/>
      <c r="B14" s="88">
        <v>9</v>
      </c>
      <c r="C14" s="85">
        <v>44294</v>
      </c>
      <c r="D14" s="86" t="s">
        <v>18</v>
      </c>
      <c r="E14" s="86" t="s">
        <v>340</v>
      </c>
      <c r="F14" s="86">
        <v>100</v>
      </c>
      <c r="G14" s="86">
        <v>150</v>
      </c>
      <c r="H14" s="87">
        <v>50</v>
      </c>
      <c r="I14" s="86">
        <v>100</v>
      </c>
      <c r="J14" s="21">
        <f t="shared" si="0"/>
        <v>5000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44295</v>
      </c>
      <c r="D15" s="86" t="s">
        <v>18</v>
      </c>
      <c r="E15" s="86" t="s">
        <v>336</v>
      </c>
      <c r="F15" s="86">
        <v>150</v>
      </c>
      <c r="G15" s="86">
        <v>180</v>
      </c>
      <c r="H15" s="87">
        <v>30</v>
      </c>
      <c r="I15" s="86">
        <v>100</v>
      </c>
      <c r="J15" s="21">
        <f t="shared" si="0"/>
        <v>3000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18">
        <v>44295</v>
      </c>
      <c r="D16" s="19" t="s">
        <v>18</v>
      </c>
      <c r="E16" s="19" t="s">
        <v>335</v>
      </c>
      <c r="F16" s="35">
        <v>150</v>
      </c>
      <c r="G16" s="35">
        <v>170</v>
      </c>
      <c r="H16" s="35">
        <v>20</v>
      </c>
      <c r="I16" s="20">
        <v>100</v>
      </c>
      <c r="J16" s="21">
        <f t="shared" si="0"/>
        <v>2000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18">
        <v>44298</v>
      </c>
      <c r="D17" s="19" t="s">
        <v>18</v>
      </c>
      <c r="E17" s="19" t="s">
        <v>343</v>
      </c>
      <c r="F17" s="35">
        <v>150</v>
      </c>
      <c r="G17" s="35">
        <v>250</v>
      </c>
      <c r="H17" s="35">
        <v>100</v>
      </c>
      <c r="I17" s="20">
        <v>100</v>
      </c>
      <c r="J17" s="21">
        <f t="shared" si="0"/>
        <v>10000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18">
        <v>44298</v>
      </c>
      <c r="D18" s="19" t="s">
        <v>18</v>
      </c>
      <c r="E18" s="19" t="s">
        <v>344</v>
      </c>
      <c r="F18" s="35">
        <v>150</v>
      </c>
      <c r="G18" s="35">
        <v>176</v>
      </c>
      <c r="H18" s="35">
        <v>26</v>
      </c>
      <c r="I18" s="20">
        <v>100</v>
      </c>
      <c r="J18" s="21">
        <f t="shared" si="0"/>
        <v>2600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18">
        <v>44299</v>
      </c>
      <c r="D19" s="19" t="s">
        <v>18</v>
      </c>
      <c r="E19" s="19" t="s">
        <v>188</v>
      </c>
      <c r="F19" s="35">
        <v>160</v>
      </c>
      <c r="G19" s="35">
        <v>110</v>
      </c>
      <c r="H19" s="35">
        <v>-50</v>
      </c>
      <c r="I19" s="20">
        <v>100</v>
      </c>
      <c r="J19" s="21">
        <f t="shared" si="0"/>
        <v>-5000</v>
      </c>
      <c r="K19" s="7"/>
      <c r="V19" s="5">
        <f t="shared" si="2"/>
        <v>0</v>
      </c>
      <c r="W19" s="5">
        <f t="shared" si="3"/>
        <v>1</v>
      </c>
    </row>
    <row r="20" spans="1:23" x14ac:dyDescent="0.3">
      <c r="A20" s="6"/>
      <c r="B20" s="88">
        <v>15</v>
      </c>
      <c r="C20" s="18">
        <v>44299</v>
      </c>
      <c r="D20" s="19" t="s">
        <v>18</v>
      </c>
      <c r="E20" s="19" t="s">
        <v>346</v>
      </c>
      <c r="F20" s="35">
        <v>140</v>
      </c>
      <c r="G20" s="35">
        <v>150</v>
      </c>
      <c r="H20" s="35">
        <v>10</v>
      </c>
      <c r="I20" s="20">
        <v>100</v>
      </c>
      <c r="J20" s="21">
        <f t="shared" si="0"/>
        <v>1000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18">
        <v>44301</v>
      </c>
      <c r="D21" s="19" t="s">
        <v>18</v>
      </c>
      <c r="E21" s="19" t="s">
        <v>195</v>
      </c>
      <c r="F21" s="35">
        <v>150</v>
      </c>
      <c r="G21" s="35">
        <v>100</v>
      </c>
      <c r="H21" s="35">
        <v>-50</v>
      </c>
      <c r="I21" s="20">
        <v>100</v>
      </c>
      <c r="J21" s="21">
        <f t="shared" si="0"/>
        <v>-5000</v>
      </c>
      <c r="K21" s="7"/>
      <c r="O21" s="22"/>
      <c r="P21" s="22"/>
      <c r="Q21" s="22"/>
      <c r="R21" s="22"/>
      <c r="V21" s="5">
        <f t="shared" si="2"/>
        <v>0</v>
      </c>
      <c r="W21" s="5">
        <f t="shared" si="3"/>
        <v>1</v>
      </c>
    </row>
    <row r="22" spans="1:23" x14ac:dyDescent="0.3">
      <c r="A22" s="6"/>
      <c r="B22" s="88">
        <v>17</v>
      </c>
      <c r="C22" s="18">
        <v>44301</v>
      </c>
      <c r="D22" s="19" t="s">
        <v>18</v>
      </c>
      <c r="E22" s="19" t="s">
        <v>191</v>
      </c>
      <c r="F22" s="35">
        <v>100</v>
      </c>
      <c r="G22" s="35">
        <v>174</v>
      </c>
      <c r="H22" s="35">
        <v>74</v>
      </c>
      <c r="I22" s="20">
        <v>100</v>
      </c>
      <c r="J22" s="21">
        <f t="shared" si="0"/>
        <v>7400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44302</v>
      </c>
      <c r="D23" s="19" t="s">
        <v>18</v>
      </c>
      <c r="E23" s="19" t="s">
        <v>340</v>
      </c>
      <c r="F23" s="35">
        <v>150</v>
      </c>
      <c r="G23" s="35">
        <v>100</v>
      </c>
      <c r="H23" s="35">
        <v>50</v>
      </c>
      <c r="I23" s="20">
        <v>100</v>
      </c>
      <c r="J23" s="21">
        <f t="shared" si="0"/>
        <v>5000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44302</v>
      </c>
      <c r="D24" s="19" t="s">
        <v>18</v>
      </c>
      <c r="E24" s="19" t="s">
        <v>210</v>
      </c>
      <c r="F24" s="35">
        <v>160</v>
      </c>
      <c r="G24" s="35">
        <v>171</v>
      </c>
      <c r="H24" s="35">
        <v>11</v>
      </c>
      <c r="I24" s="20">
        <v>100</v>
      </c>
      <c r="J24" s="21">
        <f t="shared" si="0"/>
        <v>1100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44305</v>
      </c>
      <c r="D25" s="19" t="s">
        <v>18</v>
      </c>
      <c r="E25" s="19" t="s">
        <v>164</v>
      </c>
      <c r="F25" s="35">
        <v>150</v>
      </c>
      <c r="G25" s="35">
        <v>170</v>
      </c>
      <c r="H25" s="35">
        <v>20</v>
      </c>
      <c r="I25" s="20">
        <v>100</v>
      </c>
      <c r="J25" s="21">
        <f t="shared" si="0"/>
        <v>2000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44305</v>
      </c>
      <c r="D26" s="19" t="s">
        <v>18</v>
      </c>
      <c r="E26" s="19" t="s">
        <v>348</v>
      </c>
      <c r="F26" s="35">
        <v>160</v>
      </c>
      <c r="G26" s="35">
        <v>175</v>
      </c>
      <c r="H26" s="35">
        <v>15</v>
      </c>
      <c r="I26" s="20">
        <v>100</v>
      </c>
      <c r="J26" s="21">
        <f t="shared" si="0"/>
        <v>1500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44306</v>
      </c>
      <c r="D27" s="19" t="s">
        <v>18</v>
      </c>
      <c r="E27" s="19" t="s">
        <v>191</v>
      </c>
      <c r="F27" s="35">
        <v>150</v>
      </c>
      <c r="G27" s="35">
        <v>160</v>
      </c>
      <c r="H27" s="19">
        <v>10</v>
      </c>
      <c r="I27" s="20">
        <v>100</v>
      </c>
      <c r="J27" s="21">
        <f t="shared" si="0"/>
        <v>1000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44306</v>
      </c>
      <c r="D28" s="19" t="s">
        <v>18</v>
      </c>
      <c r="E28" s="19" t="s">
        <v>189</v>
      </c>
      <c r="F28" s="35">
        <v>150</v>
      </c>
      <c r="G28" s="35">
        <v>250</v>
      </c>
      <c r="H28" s="19">
        <v>100</v>
      </c>
      <c r="I28" s="20">
        <v>100</v>
      </c>
      <c r="J28" s="21">
        <f t="shared" si="0"/>
        <v>10000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44308</v>
      </c>
      <c r="D29" s="19" t="s">
        <v>18</v>
      </c>
      <c r="E29" s="19" t="s">
        <v>183</v>
      </c>
      <c r="F29" s="20">
        <v>150</v>
      </c>
      <c r="G29" s="20">
        <v>250</v>
      </c>
      <c r="H29" s="19">
        <v>100</v>
      </c>
      <c r="I29" s="20">
        <v>100</v>
      </c>
      <c r="J29" s="21">
        <f t="shared" si="0"/>
        <v>10000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44308</v>
      </c>
      <c r="D30" s="25" t="s">
        <v>18</v>
      </c>
      <c r="E30" s="25" t="s">
        <v>350</v>
      </c>
      <c r="F30" s="26">
        <v>100</v>
      </c>
      <c r="G30" s="61">
        <v>200</v>
      </c>
      <c r="H30" s="61">
        <v>100</v>
      </c>
      <c r="I30" s="26">
        <v>100</v>
      </c>
      <c r="J30" s="21">
        <f t="shared" si="0"/>
        <v>10000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44309</v>
      </c>
      <c r="D31" s="25" t="s">
        <v>18</v>
      </c>
      <c r="E31" s="25" t="s">
        <v>352</v>
      </c>
      <c r="F31" s="26">
        <v>160</v>
      </c>
      <c r="G31" s="61">
        <v>260</v>
      </c>
      <c r="H31" s="61">
        <v>100</v>
      </c>
      <c r="I31" s="26">
        <v>100</v>
      </c>
      <c r="J31" s="21">
        <f t="shared" si="0"/>
        <v>10000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44309</v>
      </c>
      <c r="D32" s="25" t="s">
        <v>18</v>
      </c>
      <c r="E32" s="25" t="s">
        <v>353</v>
      </c>
      <c r="F32" s="26">
        <v>150</v>
      </c>
      <c r="G32" s="61">
        <v>200</v>
      </c>
      <c r="H32" s="61">
        <v>50</v>
      </c>
      <c r="I32" s="26">
        <v>100</v>
      </c>
      <c r="J32" s="21">
        <f t="shared" si="0"/>
        <v>5000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44312</v>
      </c>
      <c r="D33" s="25" t="s">
        <v>18</v>
      </c>
      <c r="E33" s="25" t="s">
        <v>354</v>
      </c>
      <c r="F33" s="26">
        <v>140</v>
      </c>
      <c r="G33" s="61">
        <v>176</v>
      </c>
      <c r="H33" s="61">
        <v>26</v>
      </c>
      <c r="I33" s="26">
        <v>100</v>
      </c>
      <c r="J33" s="21">
        <f t="shared" si="0"/>
        <v>2600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44312</v>
      </c>
      <c r="D34" s="25" t="s">
        <v>18</v>
      </c>
      <c r="E34" s="25" t="s">
        <v>340</v>
      </c>
      <c r="F34" s="26">
        <v>160</v>
      </c>
      <c r="G34" s="61">
        <v>110</v>
      </c>
      <c r="H34" s="61">
        <v>50</v>
      </c>
      <c r="I34" s="26">
        <v>100</v>
      </c>
      <c r="J34" s="21">
        <f t="shared" si="0"/>
        <v>5000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44313</v>
      </c>
      <c r="D35" s="25" t="s">
        <v>18</v>
      </c>
      <c r="E35" s="25" t="s">
        <v>355</v>
      </c>
      <c r="F35" s="26">
        <v>150</v>
      </c>
      <c r="G35" s="61">
        <v>200</v>
      </c>
      <c r="H35" s="61">
        <v>50</v>
      </c>
      <c r="I35" s="26">
        <v>100</v>
      </c>
      <c r="J35" s="21">
        <f t="shared" si="0"/>
        <v>5000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44314</v>
      </c>
      <c r="D36" s="25" t="s">
        <v>18</v>
      </c>
      <c r="E36" s="25" t="s">
        <v>354</v>
      </c>
      <c r="F36" s="26">
        <v>150</v>
      </c>
      <c r="G36" s="61">
        <v>175</v>
      </c>
      <c r="H36" s="61">
        <v>25</v>
      </c>
      <c r="I36" s="26">
        <v>100</v>
      </c>
      <c r="J36" s="21">
        <f t="shared" si="0"/>
        <v>2500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44314</v>
      </c>
      <c r="D37" s="25" t="s">
        <v>18</v>
      </c>
      <c r="E37" s="25" t="s">
        <v>336</v>
      </c>
      <c r="F37" s="26">
        <v>130</v>
      </c>
      <c r="G37" s="61">
        <v>145</v>
      </c>
      <c r="H37" s="61">
        <v>15</v>
      </c>
      <c r="I37" s="26">
        <v>100</v>
      </c>
      <c r="J37" s="21">
        <f t="shared" si="0"/>
        <v>1500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44315</v>
      </c>
      <c r="D38" s="25" t="s">
        <v>18</v>
      </c>
      <c r="E38" s="25" t="s">
        <v>358</v>
      </c>
      <c r="F38" s="26">
        <v>160</v>
      </c>
      <c r="G38" s="61">
        <v>260</v>
      </c>
      <c r="H38" s="61">
        <v>100</v>
      </c>
      <c r="I38" s="26">
        <v>100</v>
      </c>
      <c r="J38" s="21">
        <f t="shared" si="0"/>
        <v>10000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44315</v>
      </c>
      <c r="D39" s="25" t="s">
        <v>18</v>
      </c>
      <c r="E39" s="25" t="s">
        <v>321</v>
      </c>
      <c r="F39" s="26">
        <v>150</v>
      </c>
      <c r="G39" s="61">
        <v>170</v>
      </c>
      <c r="H39" s="61">
        <v>20</v>
      </c>
      <c r="I39" s="26">
        <v>100</v>
      </c>
      <c r="J39" s="21">
        <f t="shared" si="0"/>
        <v>2000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44315</v>
      </c>
      <c r="D40" s="25" t="s">
        <v>18</v>
      </c>
      <c r="E40" s="25" t="s">
        <v>356</v>
      </c>
      <c r="F40" s="26">
        <v>70</v>
      </c>
      <c r="G40" s="61">
        <v>94</v>
      </c>
      <c r="H40" s="61">
        <v>24</v>
      </c>
      <c r="I40" s="26">
        <v>100</v>
      </c>
      <c r="J40" s="21">
        <f t="shared" si="0"/>
        <v>2400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24">
        <v>44316</v>
      </c>
      <c r="D41" s="25" t="s">
        <v>18</v>
      </c>
      <c r="E41" s="25" t="s">
        <v>241</v>
      </c>
      <c r="F41" s="26">
        <v>150</v>
      </c>
      <c r="G41" s="61">
        <v>180</v>
      </c>
      <c r="H41" s="61">
        <v>30</v>
      </c>
      <c r="I41" s="26">
        <v>100</v>
      </c>
      <c r="J41" s="21">
        <f t="shared" si="0"/>
        <v>3000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88">
        <v>37</v>
      </c>
      <c r="C42" s="24">
        <v>44316</v>
      </c>
      <c r="D42" s="25" t="s">
        <v>18</v>
      </c>
      <c r="E42" s="25" t="s">
        <v>333</v>
      </c>
      <c r="F42" s="26">
        <v>140</v>
      </c>
      <c r="G42" s="61">
        <v>190</v>
      </c>
      <c r="H42" s="61">
        <v>50</v>
      </c>
      <c r="I42" s="26">
        <v>100</v>
      </c>
      <c r="J42" s="21">
        <f t="shared" si="0"/>
        <v>5000</v>
      </c>
      <c r="K42" s="7"/>
      <c r="V42" s="5">
        <f t="shared" si="2"/>
        <v>1</v>
      </c>
      <c r="W42" s="5">
        <f t="shared" si="3"/>
        <v>0</v>
      </c>
    </row>
    <row r="43" spans="1:23" ht="15" thickBot="1" x14ac:dyDescent="0.35">
      <c r="A43" s="6"/>
      <c r="B43" s="17">
        <v>38</v>
      </c>
      <c r="C43" s="24"/>
      <c r="D43" s="25"/>
      <c r="E43" s="25"/>
      <c r="F43" s="26"/>
      <c r="G43" s="61"/>
      <c r="H43" s="61"/>
      <c r="I43" s="26"/>
      <c r="J43" s="21">
        <f t="shared" si="0"/>
        <v>0</v>
      </c>
      <c r="K43" s="7"/>
      <c r="V43" s="5">
        <f t="shared" si="2"/>
        <v>0</v>
      </c>
      <c r="W43" s="5">
        <f t="shared" si="3"/>
        <v>0</v>
      </c>
    </row>
    <row r="44" spans="1:23" hidden="1" x14ac:dyDescent="0.3">
      <c r="A44" s="6"/>
      <c r="B44" s="88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hidden="1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hidden="1" x14ac:dyDescent="0.3">
      <c r="A46" s="6"/>
      <c r="B46" s="88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hidden="1" x14ac:dyDescent="0.3">
      <c r="A47" s="6"/>
      <c r="B47" s="17">
        <v>42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hidden="1" x14ac:dyDescent="0.3">
      <c r="A48" s="6"/>
      <c r="B48" s="88">
        <v>43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hidden="1" x14ac:dyDescent="0.3">
      <c r="A49" s="6"/>
      <c r="B49" s="17">
        <v>44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hidden="1" x14ac:dyDescent="0.3">
      <c r="A50" s="6"/>
      <c r="B50" s="88">
        <v>45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17">
        <v>46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88">
        <v>47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17">
        <v>48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88">
        <v>49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t="15" hidden="1" thickBot="1" x14ac:dyDescent="0.35">
      <c r="A55" s="6"/>
      <c r="B55" s="17">
        <v>50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t="24" thickBot="1" x14ac:dyDescent="0.5">
      <c r="A56" s="6"/>
      <c r="B56" s="144" t="s">
        <v>22</v>
      </c>
      <c r="C56" s="145"/>
      <c r="D56" s="145"/>
      <c r="E56" s="145"/>
      <c r="F56" s="145"/>
      <c r="G56" s="145"/>
      <c r="H56" s="146"/>
      <c r="I56" s="28" t="s">
        <v>23</v>
      </c>
      <c r="J56" s="29">
        <f>SUM(J6:J55)</f>
        <v>141900</v>
      </c>
      <c r="K56" s="7"/>
      <c r="V56" s="5">
        <f>SUM(V6:V55)</f>
        <v>32</v>
      </c>
      <c r="W56" s="5">
        <f>SUM(W6:W55)</f>
        <v>5</v>
      </c>
    </row>
    <row r="57" spans="1:23" ht="30" customHeight="1" thickBot="1" x14ac:dyDescent="0.35">
      <c r="A57" s="30"/>
      <c r="B57" s="31"/>
      <c r="C57" s="31"/>
      <c r="D57" s="31"/>
      <c r="E57" s="31"/>
      <c r="F57" s="31"/>
      <c r="G57" s="31"/>
      <c r="H57" s="32"/>
      <c r="I57" s="31"/>
      <c r="J57" s="32"/>
      <c r="K57" s="33"/>
      <c r="L57" s="36"/>
      <c r="M57" s="36"/>
      <c r="N57" s="36"/>
      <c r="O57" s="36"/>
      <c r="P57" s="36"/>
      <c r="Q57" s="36"/>
      <c r="R57" s="36"/>
    </row>
    <row r="58" spans="1:23" ht="15" thickBot="1" x14ac:dyDescent="0.35">
      <c r="L58" s="36"/>
      <c r="M58" s="36"/>
      <c r="N58" s="36"/>
      <c r="O58" s="22"/>
      <c r="P58" s="22"/>
      <c r="Q58" s="22"/>
      <c r="R58" s="22"/>
    </row>
    <row r="59" spans="1:23" s="36" customFormat="1" ht="30" customHeight="1" thickBot="1" x14ac:dyDescent="0.35">
      <c r="A59" s="1"/>
      <c r="B59" s="2"/>
      <c r="C59" s="2"/>
      <c r="D59" s="2"/>
      <c r="E59" s="2"/>
      <c r="F59" s="2"/>
      <c r="G59" s="2"/>
      <c r="H59" s="3"/>
      <c r="I59" s="2"/>
      <c r="J59" s="3"/>
      <c r="K59" s="4"/>
    </row>
    <row r="60" spans="1:23" s="36" customFormat="1" ht="25.2" thickBot="1" x14ac:dyDescent="0.35">
      <c r="A60" s="6" t="s">
        <v>1</v>
      </c>
      <c r="B60" s="119" t="s">
        <v>2</v>
      </c>
      <c r="C60" s="120"/>
      <c r="D60" s="120"/>
      <c r="E60" s="120"/>
      <c r="F60" s="120"/>
      <c r="G60" s="120"/>
      <c r="H60" s="120"/>
      <c r="I60" s="120"/>
      <c r="J60" s="121"/>
      <c r="K60" s="7"/>
    </row>
    <row r="61" spans="1:23" s="36" customFormat="1" ht="16.2" thickBot="1" x14ac:dyDescent="0.35">
      <c r="A61" s="6"/>
      <c r="B61" s="168" t="s">
        <v>329</v>
      </c>
      <c r="C61" s="169"/>
      <c r="D61" s="169"/>
      <c r="E61" s="169"/>
      <c r="F61" s="169"/>
      <c r="G61" s="169"/>
      <c r="H61" s="169"/>
      <c r="I61" s="169"/>
      <c r="J61" s="170"/>
      <c r="K61" s="7"/>
      <c r="L61" s="22"/>
    </row>
    <row r="62" spans="1:23" s="36" customFormat="1" ht="16.2" thickBot="1" x14ac:dyDescent="0.35">
      <c r="A62" s="6"/>
      <c r="B62" s="106" t="s">
        <v>90</v>
      </c>
      <c r="C62" s="107"/>
      <c r="D62" s="107"/>
      <c r="E62" s="107"/>
      <c r="F62" s="107"/>
      <c r="G62" s="107"/>
      <c r="H62" s="107"/>
      <c r="I62" s="107"/>
      <c r="J62" s="108"/>
      <c r="K62" s="7"/>
    </row>
    <row r="63" spans="1:23" s="22" customFormat="1" ht="15" thickBot="1" x14ac:dyDescent="0.35">
      <c r="A63" s="69"/>
      <c r="B63" s="8" t="s">
        <v>9</v>
      </c>
      <c r="C63" s="9" t="s">
        <v>10</v>
      </c>
      <c r="D63" s="10" t="s">
        <v>11</v>
      </c>
      <c r="E63" s="10" t="s">
        <v>12</v>
      </c>
      <c r="F63" s="11" t="s">
        <v>65</v>
      </c>
      <c r="G63" s="11" t="s">
        <v>66</v>
      </c>
      <c r="H63" s="12" t="s">
        <v>67</v>
      </c>
      <c r="I63" s="11" t="s">
        <v>68</v>
      </c>
      <c r="J63" s="13" t="s">
        <v>17</v>
      </c>
      <c r="K63" s="76"/>
      <c r="L63" s="36"/>
      <c r="M63" s="36"/>
      <c r="N63" s="36"/>
      <c r="O63" s="36" t="s">
        <v>21</v>
      </c>
      <c r="P63" s="36"/>
      <c r="Q63" s="36"/>
      <c r="R63" s="36"/>
      <c r="V63" s="5" t="s">
        <v>5</v>
      </c>
      <c r="W63" s="5" t="s">
        <v>6</v>
      </c>
    </row>
    <row r="64" spans="1:23" s="36" customFormat="1" x14ac:dyDescent="0.3">
      <c r="A64" s="6"/>
      <c r="B64" s="88">
        <v>1</v>
      </c>
      <c r="C64" s="66">
        <v>44287</v>
      </c>
      <c r="D64" s="67" t="s">
        <v>69</v>
      </c>
      <c r="E64" s="67" t="s">
        <v>181</v>
      </c>
      <c r="F64" s="68">
        <v>1615</v>
      </c>
      <c r="G64" s="68">
        <v>1603</v>
      </c>
      <c r="H64" s="97">
        <v>12</v>
      </c>
      <c r="I64" s="68">
        <v>500</v>
      </c>
      <c r="J64" s="92">
        <f>H64*I64</f>
        <v>6000</v>
      </c>
      <c r="K64" s="7"/>
      <c r="V64" s="5">
        <f t="shared" ref="V64:V116" si="5">IF($J64&gt;0,1,0)</f>
        <v>1</v>
      </c>
      <c r="W64" s="5">
        <f t="shared" ref="W64:W116" si="6">IF($J64&lt;0,1,0)</f>
        <v>0</v>
      </c>
    </row>
    <row r="65" spans="1:23" s="36" customFormat="1" x14ac:dyDescent="0.3">
      <c r="A65" s="6"/>
      <c r="B65" s="17">
        <f>B64+1</f>
        <v>2</v>
      </c>
      <c r="C65" s="66">
        <v>44287</v>
      </c>
      <c r="D65" s="67" t="s">
        <v>18</v>
      </c>
      <c r="E65" s="67" t="s">
        <v>119</v>
      </c>
      <c r="F65" s="68">
        <v>831</v>
      </c>
      <c r="G65" s="68">
        <v>844</v>
      </c>
      <c r="H65" s="67">
        <v>13</v>
      </c>
      <c r="I65" s="20">
        <v>1700</v>
      </c>
      <c r="J65" s="21">
        <f>H65*I65</f>
        <v>22100</v>
      </c>
      <c r="K65" s="7"/>
      <c r="L65" s="36" t="s">
        <v>21</v>
      </c>
      <c r="V65" s="5">
        <f t="shared" si="5"/>
        <v>1</v>
      </c>
      <c r="W65" s="5">
        <f t="shared" si="6"/>
        <v>0</v>
      </c>
    </row>
    <row r="66" spans="1:23" s="36" customFormat="1" x14ac:dyDescent="0.3">
      <c r="A66" s="6"/>
      <c r="B66" s="17">
        <f t="shared" ref="B66:B116" si="7">B65+1</f>
        <v>3</v>
      </c>
      <c r="C66" s="18">
        <v>44291</v>
      </c>
      <c r="D66" s="19" t="s">
        <v>69</v>
      </c>
      <c r="E66" s="19" t="s">
        <v>75</v>
      </c>
      <c r="F66" s="35">
        <v>573</v>
      </c>
      <c r="G66" s="35">
        <v>565.5</v>
      </c>
      <c r="H66" s="35">
        <v>7.5</v>
      </c>
      <c r="I66" s="20">
        <v>1375</v>
      </c>
      <c r="J66" s="21">
        <f>H66*I66</f>
        <v>10312.5</v>
      </c>
      <c r="K66" s="7"/>
      <c r="V66" s="5">
        <f t="shared" si="5"/>
        <v>1</v>
      </c>
      <c r="W66" s="5">
        <f t="shared" si="6"/>
        <v>0</v>
      </c>
    </row>
    <row r="67" spans="1:23" s="36" customFormat="1" x14ac:dyDescent="0.3">
      <c r="A67" s="6"/>
      <c r="B67" s="17">
        <f t="shared" si="7"/>
        <v>4</v>
      </c>
      <c r="C67" s="18">
        <v>44291</v>
      </c>
      <c r="D67" s="19" t="s">
        <v>69</v>
      </c>
      <c r="E67" s="19" t="s">
        <v>86</v>
      </c>
      <c r="F67" s="35">
        <v>4985</v>
      </c>
      <c r="G67" s="35">
        <v>4934</v>
      </c>
      <c r="H67" s="35">
        <v>51</v>
      </c>
      <c r="I67" s="20">
        <v>250</v>
      </c>
      <c r="J67" s="21">
        <f>H67*I67</f>
        <v>12750</v>
      </c>
      <c r="K67" s="7"/>
      <c r="V67" s="5">
        <f t="shared" si="5"/>
        <v>1</v>
      </c>
      <c r="W67" s="5">
        <f t="shared" si="6"/>
        <v>0</v>
      </c>
    </row>
    <row r="68" spans="1:23" s="36" customFormat="1" x14ac:dyDescent="0.3">
      <c r="A68" s="6"/>
      <c r="B68" s="17">
        <f t="shared" si="7"/>
        <v>5</v>
      </c>
      <c r="C68" s="18">
        <v>44292</v>
      </c>
      <c r="D68" s="19" t="s">
        <v>18</v>
      </c>
      <c r="E68" s="19" t="s">
        <v>86</v>
      </c>
      <c r="F68" s="35">
        <v>5045</v>
      </c>
      <c r="G68" s="35">
        <v>5069</v>
      </c>
      <c r="H68" s="35">
        <v>24</v>
      </c>
      <c r="I68" s="20">
        <v>250</v>
      </c>
      <c r="J68" s="21">
        <f>H68*I68</f>
        <v>6000</v>
      </c>
      <c r="K68" s="7"/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si="7"/>
        <v>6</v>
      </c>
      <c r="C69" s="18">
        <v>44292</v>
      </c>
      <c r="D69" s="19" t="s">
        <v>18</v>
      </c>
      <c r="E69" s="19" t="s">
        <v>119</v>
      </c>
      <c r="F69" s="20">
        <v>877</v>
      </c>
      <c r="G69" s="35">
        <v>881.4</v>
      </c>
      <c r="H69" s="35">
        <v>4.4000000000000004</v>
      </c>
      <c r="I69" s="20">
        <v>1700</v>
      </c>
      <c r="J69" s="21">
        <f t="shared" ref="J69:J116" si="8">I69*H69</f>
        <v>7480.0000000000009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7</v>
      </c>
      <c r="C70" s="18">
        <v>44293</v>
      </c>
      <c r="D70" s="19" t="s">
        <v>69</v>
      </c>
      <c r="E70" s="19" t="s">
        <v>80</v>
      </c>
      <c r="F70" s="35">
        <v>4220</v>
      </c>
      <c r="G70" s="35">
        <v>4250</v>
      </c>
      <c r="H70" s="35">
        <v>-30</v>
      </c>
      <c r="I70" s="20">
        <v>575</v>
      </c>
      <c r="J70" s="21">
        <f t="shared" si="8"/>
        <v>-17250</v>
      </c>
      <c r="K70" s="7"/>
      <c r="V70" s="5">
        <f t="shared" si="5"/>
        <v>0</v>
      </c>
      <c r="W70" s="5">
        <f t="shared" si="6"/>
        <v>1</v>
      </c>
    </row>
    <row r="71" spans="1:23" s="36" customFormat="1" x14ac:dyDescent="0.3">
      <c r="A71" s="6"/>
      <c r="B71" s="17">
        <f t="shared" si="7"/>
        <v>8</v>
      </c>
      <c r="C71" s="18">
        <v>44294</v>
      </c>
      <c r="D71" s="19" t="s">
        <v>18</v>
      </c>
      <c r="E71" s="19" t="s">
        <v>86</v>
      </c>
      <c r="F71" s="35">
        <v>5100</v>
      </c>
      <c r="G71" s="35">
        <v>5053</v>
      </c>
      <c r="H71" s="35">
        <v>53</v>
      </c>
      <c r="I71" s="20">
        <v>250</v>
      </c>
      <c r="J71" s="21">
        <f t="shared" si="8"/>
        <v>13250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9</v>
      </c>
      <c r="C72" s="18">
        <v>44294</v>
      </c>
      <c r="D72" s="19" t="s">
        <v>18</v>
      </c>
      <c r="E72" s="19" t="s">
        <v>181</v>
      </c>
      <c r="F72" s="35">
        <v>1614</v>
      </c>
      <c r="G72" s="35">
        <v>1635</v>
      </c>
      <c r="H72" s="35">
        <v>21</v>
      </c>
      <c r="I72" s="20">
        <v>500</v>
      </c>
      <c r="J72" s="21">
        <f t="shared" si="8"/>
        <v>10500</v>
      </c>
      <c r="K72" s="7"/>
      <c r="V72" s="5">
        <f t="shared" si="5"/>
        <v>1</v>
      </c>
      <c r="W72" s="5">
        <f t="shared" si="6"/>
        <v>0</v>
      </c>
    </row>
    <row r="73" spans="1:23" s="36" customFormat="1" x14ac:dyDescent="0.3">
      <c r="A73" s="6"/>
      <c r="B73" s="17">
        <f t="shared" si="7"/>
        <v>10</v>
      </c>
      <c r="C73" s="18">
        <v>44295</v>
      </c>
      <c r="D73" s="19" t="s">
        <v>69</v>
      </c>
      <c r="E73" s="19" t="s">
        <v>86</v>
      </c>
      <c r="F73" s="35">
        <v>4970</v>
      </c>
      <c r="G73" s="35">
        <v>4910</v>
      </c>
      <c r="H73" s="35">
        <v>60</v>
      </c>
      <c r="I73" s="20">
        <v>250</v>
      </c>
      <c r="J73" s="21">
        <f t="shared" si="8"/>
        <v>15000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11</v>
      </c>
      <c r="C74" s="18">
        <v>44298</v>
      </c>
      <c r="D74" s="19" t="s">
        <v>69</v>
      </c>
      <c r="E74" s="19" t="s">
        <v>86</v>
      </c>
      <c r="F74" s="19">
        <v>4570</v>
      </c>
      <c r="G74" s="35">
        <v>4510</v>
      </c>
      <c r="H74" s="35">
        <v>60</v>
      </c>
      <c r="I74" s="20">
        <v>250</v>
      </c>
      <c r="J74" s="21">
        <f t="shared" si="8"/>
        <v>15000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12</v>
      </c>
      <c r="C75" s="18">
        <v>44298</v>
      </c>
      <c r="D75" s="19" t="s">
        <v>18</v>
      </c>
      <c r="E75" s="19" t="s">
        <v>237</v>
      </c>
      <c r="F75" s="35">
        <v>4950</v>
      </c>
      <c r="G75" s="35">
        <v>4969</v>
      </c>
      <c r="H75" s="35">
        <v>19</v>
      </c>
      <c r="I75" s="20">
        <v>125</v>
      </c>
      <c r="J75" s="21">
        <f t="shared" si="8"/>
        <v>2375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13</v>
      </c>
      <c r="C76" s="18">
        <v>44299</v>
      </c>
      <c r="D76" s="19" t="s">
        <v>18</v>
      </c>
      <c r="E76" s="19" t="s">
        <v>75</v>
      </c>
      <c r="F76" s="35">
        <v>555</v>
      </c>
      <c r="G76" s="35">
        <v>565</v>
      </c>
      <c r="H76" s="35">
        <v>10</v>
      </c>
      <c r="I76" s="20">
        <v>1375</v>
      </c>
      <c r="J76" s="21">
        <f t="shared" si="8"/>
        <v>13750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14</v>
      </c>
      <c r="C77" s="18">
        <v>44299</v>
      </c>
      <c r="D77" s="19" t="s">
        <v>69</v>
      </c>
      <c r="E77" s="19" t="s">
        <v>181</v>
      </c>
      <c r="F77" s="77">
        <v>1595</v>
      </c>
      <c r="G77" s="35">
        <v>1580.3</v>
      </c>
      <c r="H77" s="78">
        <v>14.7</v>
      </c>
      <c r="I77" s="20">
        <v>500</v>
      </c>
      <c r="J77" s="21">
        <f t="shared" si="8"/>
        <v>7350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15</v>
      </c>
      <c r="C78" s="18">
        <v>44301</v>
      </c>
      <c r="D78" s="19" t="s">
        <v>69</v>
      </c>
      <c r="E78" s="19" t="s">
        <v>181</v>
      </c>
      <c r="F78" s="35">
        <v>1570</v>
      </c>
      <c r="G78" s="35">
        <v>1555</v>
      </c>
      <c r="H78" s="78">
        <v>15</v>
      </c>
      <c r="I78" s="20">
        <v>500</v>
      </c>
      <c r="J78" s="21">
        <f t="shared" si="8"/>
        <v>7500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16</v>
      </c>
      <c r="C79" s="18">
        <v>44301</v>
      </c>
      <c r="D79" s="19" t="s">
        <v>69</v>
      </c>
      <c r="E79" s="19" t="s">
        <v>86</v>
      </c>
      <c r="F79" s="35">
        <v>470</v>
      </c>
      <c r="G79" s="35">
        <v>4640</v>
      </c>
      <c r="H79" s="78">
        <v>60</v>
      </c>
      <c r="I79" s="20">
        <v>250</v>
      </c>
      <c r="J79" s="21">
        <f t="shared" si="8"/>
        <v>15000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17</v>
      </c>
      <c r="C80" s="18">
        <v>44302</v>
      </c>
      <c r="D80" s="19" t="s">
        <v>18</v>
      </c>
      <c r="E80" s="19" t="s">
        <v>302</v>
      </c>
      <c r="F80" s="35">
        <v>667</v>
      </c>
      <c r="G80" s="35">
        <v>678</v>
      </c>
      <c r="H80" s="35">
        <v>11</v>
      </c>
      <c r="I80" s="20">
        <v>1350</v>
      </c>
      <c r="J80" s="21">
        <f t="shared" si="8"/>
        <v>14850</v>
      </c>
      <c r="K80" s="7"/>
      <c r="V80" s="5">
        <f t="shared" si="5"/>
        <v>1</v>
      </c>
      <c r="W80" s="5">
        <f t="shared" si="6"/>
        <v>0</v>
      </c>
    </row>
    <row r="81" spans="1:23" s="36" customFormat="1" x14ac:dyDescent="0.3">
      <c r="A81" s="6"/>
      <c r="B81" s="17">
        <f t="shared" si="7"/>
        <v>18</v>
      </c>
      <c r="C81" s="18">
        <v>44302</v>
      </c>
      <c r="D81" s="19" t="s">
        <v>18</v>
      </c>
      <c r="E81" s="19" t="s">
        <v>111</v>
      </c>
      <c r="F81" s="35">
        <v>345</v>
      </c>
      <c r="G81" s="35">
        <v>346.5</v>
      </c>
      <c r="H81" s="35">
        <v>1.5</v>
      </c>
      <c r="I81" s="20">
        <v>3000</v>
      </c>
      <c r="J81" s="21">
        <f t="shared" si="8"/>
        <v>4500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19</v>
      </c>
      <c r="C82" s="18">
        <v>44305</v>
      </c>
      <c r="D82" s="19" t="s">
        <v>69</v>
      </c>
      <c r="E82" s="19" t="s">
        <v>86</v>
      </c>
      <c r="F82" s="35">
        <v>4425</v>
      </c>
      <c r="G82" s="35">
        <v>4386</v>
      </c>
      <c r="H82" s="35">
        <v>39</v>
      </c>
      <c r="I82" s="20">
        <v>250</v>
      </c>
      <c r="J82" s="21">
        <f t="shared" si="8"/>
        <v>9750</v>
      </c>
      <c r="K82" s="7"/>
      <c r="V82" s="5">
        <f t="shared" si="5"/>
        <v>1</v>
      </c>
      <c r="W82" s="5">
        <f t="shared" si="6"/>
        <v>0</v>
      </c>
    </row>
    <row r="83" spans="1:23" s="36" customFormat="1" x14ac:dyDescent="0.3">
      <c r="A83" s="6"/>
      <c r="B83" s="17">
        <f t="shared" si="7"/>
        <v>20</v>
      </c>
      <c r="C83" s="18">
        <v>44305</v>
      </c>
      <c r="D83" s="19" t="s">
        <v>69</v>
      </c>
      <c r="E83" s="19" t="s">
        <v>181</v>
      </c>
      <c r="F83" s="35">
        <v>1533</v>
      </c>
      <c r="G83" s="35">
        <v>1514</v>
      </c>
      <c r="H83" s="35">
        <v>19</v>
      </c>
      <c r="I83" s="20">
        <v>500</v>
      </c>
      <c r="J83" s="21">
        <f t="shared" si="8"/>
        <v>9500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21</v>
      </c>
      <c r="C84" s="18">
        <v>44306</v>
      </c>
      <c r="D84" s="19" t="s">
        <v>18</v>
      </c>
      <c r="E84" s="19" t="s">
        <v>181</v>
      </c>
      <c r="F84" s="35">
        <v>1530</v>
      </c>
      <c r="G84" s="35">
        <v>1550</v>
      </c>
      <c r="H84" s="35">
        <v>20</v>
      </c>
      <c r="I84" s="20">
        <v>500</v>
      </c>
      <c r="J84" s="21">
        <f t="shared" si="8"/>
        <v>10000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22</v>
      </c>
      <c r="C85" s="18">
        <v>44306</v>
      </c>
      <c r="D85" s="19" t="s">
        <v>69</v>
      </c>
      <c r="E85" s="19" t="s">
        <v>70</v>
      </c>
      <c r="F85" s="35">
        <v>660</v>
      </c>
      <c r="G85" s="35">
        <v>650</v>
      </c>
      <c r="H85" s="35">
        <v>10</v>
      </c>
      <c r="I85" s="20">
        <v>1200</v>
      </c>
      <c r="J85" s="21">
        <f t="shared" si="8"/>
        <v>12000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23</v>
      </c>
      <c r="C86" s="18">
        <v>44308</v>
      </c>
      <c r="D86" s="19" t="s">
        <v>18</v>
      </c>
      <c r="E86" s="19" t="s">
        <v>86</v>
      </c>
      <c r="F86" s="35">
        <v>4580</v>
      </c>
      <c r="G86" s="35">
        <v>4640</v>
      </c>
      <c r="H86" s="35">
        <v>60</v>
      </c>
      <c r="I86" s="20">
        <v>250</v>
      </c>
      <c r="J86" s="21">
        <f t="shared" si="8"/>
        <v>15000</v>
      </c>
      <c r="K86" s="7"/>
      <c r="V86" s="5">
        <f t="shared" si="5"/>
        <v>1</v>
      </c>
      <c r="W86" s="5">
        <f t="shared" si="6"/>
        <v>0</v>
      </c>
    </row>
    <row r="87" spans="1:23" s="36" customFormat="1" x14ac:dyDescent="0.3">
      <c r="A87" s="6"/>
      <c r="B87" s="17">
        <f t="shared" si="7"/>
        <v>24</v>
      </c>
      <c r="C87" s="18">
        <v>44308</v>
      </c>
      <c r="D87" s="19" t="s">
        <v>69</v>
      </c>
      <c r="E87" s="19" t="s">
        <v>111</v>
      </c>
      <c r="F87" s="35">
        <v>332</v>
      </c>
      <c r="G87" s="35">
        <v>331</v>
      </c>
      <c r="H87" s="35">
        <v>1</v>
      </c>
      <c r="I87" s="20">
        <v>3000</v>
      </c>
      <c r="J87" s="21">
        <f t="shared" si="8"/>
        <v>3000</v>
      </c>
      <c r="K87" s="7"/>
      <c r="V87" s="5">
        <f t="shared" si="5"/>
        <v>1</v>
      </c>
      <c r="W87" s="5">
        <f t="shared" si="6"/>
        <v>0</v>
      </c>
    </row>
    <row r="88" spans="1:23" s="36" customFormat="1" x14ac:dyDescent="0.3">
      <c r="A88" s="6"/>
      <c r="B88" s="17">
        <f t="shared" si="7"/>
        <v>25</v>
      </c>
      <c r="C88" s="18">
        <v>44309</v>
      </c>
      <c r="D88" s="19" t="s">
        <v>18</v>
      </c>
      <c r="E88" s="19" t="s">
        <v>302</v>
      </c>
      <c r="F88" s="35">
        <v>673</v>
      </c>
      <c r="G88" s="35">
        <v>666</v>
      </c>
      <c r="H88" s="35">
        <v>-7</v>
      </c>
      <c r="I88" s="20">
        <v>1350</v>
      </c>
      <c r="J88" s="21">
        <f t="shared" si="8"/>
        <v>-9450</v>
      </c>
      <c r="K88" s="7"/>
      <c r="V88" s="5">
        <f t="shared" si="5"/>
        <v>0</v>
      </c>
      <c r="W88" s="5">
        <f t="shared" si="6"/>
        <v>1</v>
      </c>
    </row>
    <row r="89" spans="1:23" s="36" customFormat="1" x14ac:dyDescent="0.3">
      <c r="A89" s="6"/>
      <c r="B89" s="17">
        <f t="shared" si="7"/>
        <v>26</v>
      </c>
      <c r="C89" s="18">
        <v>44312</v>
      </c>
      <c r="D89" s="19" t="s">
        <v>18</v>
      </c>
      <c r="E89" s="19" t="s">
        <v>86</v>
      </c>
      <c r="F89" s="35">
        <v>4820</v>
      </c>
      <c r="G89" s="35">
        <v>4837</v>
      </c>
      <c r="H89" s="35">
        <v>17</v>
      </c>
      <c r="I89" s="20">
        <v>250</v>
      </c>
      <c r="J89" s="21">
        <f t="shared" si="8"/>
        <v>4250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27</v>
      </c>
      <c r="C90" s="18">
        <v>44312</v>
      </c>
      <c r="D90" s="19" t="s">
        <v>69</v>
      </c>
      <c r="E90" s="19" t="s">
        <v>111</v>
      </c>
      <c r="F90" s="35">
        <v>347</v>
      </c>
      <c r="G90" s="35">
        <v>344</v>
      </c>
      <c r="H90" s="35">
        <v>3</v>
      </c>
      <c r="I90" s="20">
        <v>3000</v>
      </c>
      <c r="J90" s="21">
        <f t="shared" si="8"/>
        <v>9000</v>
      </c>
      <c r="K90" s="7"/>
      <c r="V90" s="5">
        <f t="shared" si="5"/>
        <v>1</v>
      </c>
      <c r="W90" s="5">
        <f t="shared" si="6"/>
        <v>0</v>
      </c>
    </row>
    <row r="91" spans="1:23" s="36" customFormat="1" x14ac:dyDescent="0.3">
      <c r="A91" s="6"/>
      <c r="B91" s="17">
        <f t="shared" si="7"/>
        <v>28</v>
      </c>
      <c r="C91" s="18">
        <v>44313</v>
      </c>
      <c r="D91" s="19" t="s">
        <v>18</v>
      </c>
      <c r="E91" s="19" t="s">
        <v>111</v>
      </c>
      <c r="F91" s="35">
        <v>346</v>
      </c>
      <c r="G91" s="35">
        <v>350</v>
      </c>
      <c r="H91" s="35">
        <v>4</v>
      </c>
      <c r="I91" s="20">
        <v>3000</v>
      </c>
      <c r="J91" s="21">
        <f t="shared" si="8"/>
        <v>12000</v>
      </c>
      <c r="K91" s="7"/>
      <c r="V91" s="5">
        <f t="shared" si="5"/>
        <v>1</v>
      </c>
      <c r="W91" s="5">
        <f t="shared" si="6"/>
        <v>0</v>
      </c>
    </row>
    <row r="92" spans="1:23" s="36" customFormat="1" x14ac:dyDescent="0.3">
      <c r="A92" s="6"/>
      <c r="B92" s="17">
        <f t="shared" si="7"/>
        <v>29</v>
      </c>
      <c r="C92" s="18">
        <v>44313</v>
      </c>
      <c r="D92" s="19" t="s">
        <v>69</v>
      </c>
      <c r="E92" s="19" t="s">
        <v>301</v>
      </c>
      <c r="F92" s="35">
        <v>688</v>
      </c>
      <c r="G92" s="35">
        <v>682</v>
      </c>
      <c r="H92" s="35">
        <v>6</v>
      </c>
      <c r="I92" s="20">
        <v>1100</v>
      </c>
      <c r="J92" s="21">
        <f t="shared" si="8"/>
        <v>6600</v>
      </c>
      <c r="K92" s="7"/>
      <c r="V92" s="5">
        <f t="shared" si="5"/>
        <v>1</v>
      </c>
      <c r="W92" s="5">
        <f t="shared" si="6"/>
        <v>0</v>
      </c>
    </row>
    <row r="93" spans="1:23" s="36" customFormat="1" x14ac:dyDescent="0.3">
      <c r="A93" s="6"/>
      <c r="B93" s="17">
        <f t="shared" si="7"/>
        <v>30</v>
      </c>
      <c r="C93" s="18">
        <v>44314</v>
      </c>
      <c r="D93" s="19" t="s">
        <v>18</v>
      </c>
      <c r="E93" s="19" t="s">
        <v>75</v>
      </c>
      <c r="F93" s="35">
        <v>604</v>
      </c>
      <c r="G93" s="35">
        <v>614</v>
      </c>
      <c r="H93" s="35">
        <v>10</v>
      </c>
      <c r="I93" s="20">
        <v>1375</v>
      </c>
      <c r="J93" s="21">
        <f t="shared" si="8"/>
        <v>13750</v>
      </c>
      <c r="K93" s="7"/>
      <c r="V93" s="5">
        <f t="shared" si="5"/>
        <v>1</v>
      </c>
      <c r="W93" s="5">
        <f t="shared" si="6"/>
        <v>0</v>
      </c>
    </row>
    <row r="94" spans="1:23" s="36" customFormat="1" x14ac:dyDescent="0.3">
      <c r="A94" s="6"/>
      <c r="B94" s="17">
        <f t="shared" si="7"/>
        <v>31</v>
      </c>
      <c r="C94" s="18">
        <v>44314</v>
      </c>
      <c r="D94" s="19" t="s">
        <v>18</v>
      </c>
      <c r="E94" s="19" t="s">
        <v>111</v>
      </c>
      <c r="F94" s="35">
        <v>361.5</v>
      </c>
      <c r="G94" s="35">
        <v>359.5</v>
      </c>
      <c r="H94" s="35">
        <v>-2</v>
      </c>
      <c r="I94" s="20">
        <v>3000</v>
      </c>
      <c r="J94" s="21">
        <f t="shared" si="8"/>
        <v>-6000</v>
      </c>
      <c r="K94" s="7"/>
      <c r="V94" s="5">
        <f t="shared" si="5"/>
        <v>0</v>
      </c>
      <c r="W94" s="5">
        <f t="shared" si="6"/>
        <v>1</v>
      </c>
    </row>
    <row r="95" spans="1:23" s="36" customFormat="1" x14ac:dyDescent="0.3">
      <c r="A95" s="6"/>
      <c r="B95" s="17">
        <f t="shared" si="7"/>
        <v>32</v>
      </c>
      <c r="C95" s="18">
        <v>44314</v>
      </c>
      <c r="D95" s="19" t="s">
        <v>18</v>
      </c>
      <c r="E95" s="19" t="s">
        <v>86</v>
      </c>
      <c r="F95" s="35">
        <v>5030</v>
      </c>
      <c r="G95" s="35">
        <v>5090</v>
      </c>
      <c r="H95" s="35">
        <v>60</v>
      </c>
      <c r="I95" s="20">
        <v>250</v>
      </c>
      <c r="J95" s="21">
        <f t="shared" si="8"/>
        <v>15000</v>
      </c>
      <c r="K95" s="7"/>
      <c r="V95" s="5">
        <f t="shared" si="5"/>
        <v>1</v>
      </c>
      <c r="W95" s="5">
        <f t="shared" si="6"/>
        <v>0</v>
      </c>
    </row>
    <row r="96" spans="1:23" s="36" customFormat="1" x14ac:dyDescent="0.3">
      <c r="A96" s="6"/>
      <c r="B96" s="17">
        <f t="shared" si="7"/>
        <v>33</v>
      </c>
      <c r="C96" s="18">
        <v>44315</v>
      </c>
      <c r="D96" s="19" t="s">
        <v>18</v>
      </c>
      <c r="E96" s="19" t="s">
        <v>71</v>
      </c>
      <c r="F96" s="35">
        <v>2020</v>
      </c>
      <c r="G96" s="35">
        <v>2025</v>
      </c>
      <c r="H96" s="35">
        <v>25</v>
      </c>
      <c r="I96" s="20">
        <v>250</v>
      </c>
      <c r="J96" s="21">
        <f t="shared" si="8"/>
        <v>6250</v>
      </c>
      <c r="K96" s="7"/>
      <c r="V96" s="5">
        <f t="shared" si="5"/>
        <v>1</v>
      </c>
      <c r="W96" s="5">
        <f t="shared" si="6"/>
        <v>0</v>
      </c>
    </row>
    <row r="97" spans="1:23" s="36" customFormat="1" x14ac:dyDescent="0.3">
      <c r="A97" s="6"/>
      <c r="B97" s="17">
        <f t="shared" si="7"/>
        <v>34</v>
      </c>
      <c r="C97" s="18">
        <v>44315</v>
      </c>
      <c r="D97" s="19" t="s">
        <v>69</v>
      </c>
      <c r="E97" s="19" t="s">
        <v>86</v>
      </c>
      <c r="F97" s="35">
        <v>5370</v>
      </c>
      <c r="G97" s="35">
        <v>5350</v>
      </c>
      <c r="H97" s="35">
        <v>20</v>
      </c>
      <c r="I97" s="20">
        <v>250</v>
      </c>
      <c r="J97" s="21">
        <f t="shared" si="8"/>
        <v>5000</v>
      </c>
      <c r="K97" s="7"/>
      <c r="V97" s="5">
        <f t="shared" si="5"/>
        <v>1</v>
      </c>
      <c r="W97" s="5">
        <f t="shared" si="6"/>
        <v>0</v>
      </c>
    </row>
    <row r="98" spans="1:23" s="36" customFormat="1" x14ac:dyDescent="0.3">
      <c r="A98" s="6"/>
      <c r="B98" s="17">
        <f t="shared" si="7"/>
        <v>35</v>
      </c>
      <c r="C98" s="18">
        <v>44316</v>
      </c>
      <c r="D98" s="19" t="s">
        <v>18</v>
      </c>
      <c r="E98" s="19" t="s">
        <v>81</v>
      </c>
      <c r="F98" s="35">
        <v>1155</v>
      </c>
      <c r="G98" s="35">
        <v>1159</v>
      </c>
      <c r="H98" s="35">
        <v>4</v>
      </c>
      <c r="I98" s="20">
        <v>550</v>
      </c>
      <c r="J98" s="21">
        <f t="shared" si="8"/>
        <v>2200</v>
      </c>
      <c r="K98" s="7"/>
      <c r="V98" s="5">
        <f t="shared" si="5"/>
        <v>1</v>
      </c>
      <c r="W98" s="5">
        <f t="shared" si="6"/>
        <v>0</v>
      </c>
    </row>
    <row r="99" spans="1:23" s="36" customFormat="1" x14ac:dyDescent="0.3">
      <c r="A99" s="6"/>
      <c r="B99" s="17">
        <f t="shared" si="7"/>
        <v>36</v>
      </c>
      <c r="C99" s="18">
        <v>44316</v>
      </c>
      <c r="D99" s="19" t="s">
        <v>69</v>
      </c>
      <c r="E99" s="19" t="s">
        <v>359</v>
      </c>
      <c r="F99" s="35">
        <v>771</v>
      </c>
      <c r="G99" s="35">
        <v>757</v>
      </c>
      <c r="H99" s="35">
        <v>14</v>
      </c>
      <c r="I99" s="20">
        <v>700</v>
      </c>
      <c r="J99" s="21">
        <f t="shared" si="8"/>
        <v>9800</v>
      </c>
      <c r="K99" s="7"/>
      <c r="V99" s="5">
        <f t="shared" si="5"/>
        <v>1</v>
      </c>
      <c r="W99" s="5">
        <f t="shared" si="6"/>
        <v>0</v>
      </c>
    </row>
    <row r="100" spans="1:23" s="36" customFormat="1" ht="15" thickBot="1" x14ac:dyDescent="0.35">
      <c r="A100" s="6"/>
      <c r="B100" s="17">
        <f t="shared" si="7"/>
        <v>37</v>
      </c>
      <c r="C100" s="18"/>
      <c r="D100" s="19"/>
      <c r="E100" s="19"/>
      <c r="F100" s="35"/>
      <c r="G100" s="35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hidden="1" x14ac:dyDescent="0.3">
      <c r="A101" s="6"/>
      <c r="B101" s="17">
        <f t="shared" si="7"/>
        <v>38</v>
      </c>
      <c r="C101" s="18"/>
      <c r="D101" s="19"/>
      <c r="E101" s="19"/>
      <c r="F101" s="35"/>
      <c r="G101" s="35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hidden="1" x14ac:dyDescent="0.3">
      <c r="A102" s="6"/>
      <c r="B102" s="17">
        <f t="shared" si="7"/>
        <v>39</v>
      </c>
      <c r="C102" s="18"/>
      <c r="D102" s="19"/>
      <c r="E102" s="19"/>
      <c r="F102" s="35"/>
      <c r="G102" s="35"/>
      <c r="H102" s="35"/>
      <c r="I102" s="20"/>
      <c r="J102" s="21">
        <f t="shared" si="8"/>
        <v>0</v>
      </c>
      <c r="K102" s="7"/>
      <c r="V102" s="5">
        <f t="shared" si="5"/>
        <v>0</v>
      </c>
      <c r="W102" s="5">
        <f t="shared" si="6"/>
        <v>0</v>
      </c>
    </row>
    <row r="103" spans="1:23" s="36" customFormat="1" hidden="1" x14ac:dyDescent="0.3">
      <c r="A103" s="6"/>
      <c r="B103" s="17">
        <f t="shared" si="7"/>
        <v>40</v>
      </c>
      <c r="C103" s="18"/>
      <c r="D103" s="19"/>
      <c r="E103" s="19"/>
      <c r="F103" s="35"/>
      <c r="G103" s="35"/>
      <c r="H103" s="35"/>
      <c r="I103" s="20"/>
      <c r="J103" s="21">
        <f t="shared" si="8"/>
        <v>0</v>
      </c>
      <c r="K103" s="7"/>
      <c r="V103" s="5">
        <f t="shared" si="5"/>
        <v>0</v>
      </c>
      <c r="W103" s="5">
        <f t="shared" si="6"/>
        <v>0</v>
      </c>
    </row>
    <row r="104" spans="1:23" s="36" customFormat="1" hidden="1" x14ac:dyDescent="0.3">
      <c r="A104" s="6"/>
      <c r="B104" s="17">
        <f t="shared" si="7"/>
        <v>41</v>
      </c>
      <c r="C104" s="18"/>
      <c r="D104" s="19"/>
      <c r="E104" s="19"/>
      <c r="F104" s="35"/>
      <c r="G104" s="35"/>
      <c r="H104" s="35"/>
      <c r="I104" s="20"/>
      <c r="J104" s="21">
        <f t="shared" si="8"/>
        <v>0</v>
      </c>
      <c r="K104" s="7"/>
      <c r="V104" s="5">
        <f t="shared" si="5"/>
        <v>0</v>
      </c>
      <c r="W104" s="5">
        <f t="shared" si="6"/>
        <v>0</v>
      </c>
    </row>
    <row r="105" spans="1:23" s="36" customFormat="1" hidden="1" x14ac:dyDescent="0.3">
      <c r="A105" s="6"/>
      <c r="B105" s="17">
        <f t="shared" si="7"/>
        <v>42</v>
      </c>
      <c r="C105" s="18"/>
      <c r="D105" s="19"/>
      <c r="E105" s="19"/>
      <c r="F105" s="35"/>
      <c r="G105" s="35"/>
      <c r="H105" s="35"/>
      <c r="I105" s="20"/>
      <c r="J105" s="21">
        <f t="shared" si="8"/>
        <v>0</v>
      </c>
      <c r="K105" s="7"/>
      <c r="V105" s="5">
        <f t="shared" si="5"/>
        <v>0</v>
      </c>
      <c r="W105" s="5">
        <f t="shared" si="6"/>
        <v>0</v>
      </c>
    </row>
    <row r="106" spans="1:23" s="36" customFormat="1" hidden="1" x14ac:dyDescent="0.3">
      <c r="A106" s="6"/>
      <c r="B106" s="17">
        <f t="shared" si="7"/>
        <v>43</v>
      </c>
      <c r="C106" s="18"/>
      <c r="D106" s="19"/>
      <c r="E106" s="19"/>
      <c r="F106" s="35"/>
      <c r="G106" s="35"/>
      <c r="H106" s="35"/>
      <c r="I106" s="20"/>
      <c r="J106" s="21">
        <f t="shared" si="8"/>
        <v>0</v>
      </c>
      <c r="K106" s="7"/>
      <c r="V106" s="5">
        <f t="shared" si="5"/>
        <v>0</v>
      </c>
      <c r="W106" s="5">
        <f t="shared" si="6"/>
        <v>0</v>
      </c>
    </row>
    <row r="107" spans="1:23" s="36" customFormat="1" hidden="1" x14ac:dyDescent="0.3">
      <c r="A107" s="6"/>
      <c r="B107" s="17">
        <f t="shared" si="7"/>
        <v>44</v>
      </c>
      <c r="C107" s="18"/>
      <c r="D107" s="19"/>
      <c r="E107" s="19"/>
      <c r="F107" s="35"/>
      <c r="G107" s="35"/>
      <c r="H107" s="35"/>
      <c r="I107" s="20"/>
      <c r="J107" s="21">
        <f t="shared" si="8"/>
        <v>0</v>
      </c>
      <c r="K107" s="7"/>
      <c r="V107" s="5">
        <f t="shared" si="5"/>
        <v>0</v>
      </c>
      <c r="W107" s="5">
        <f t="shared" si="6"/>
        <v>0</v>
      </c>
    </row>
    <row r="108" spans="1:23" s="36" customFormat="1" hidden="1" x14ac:dyDescent="0.3">
      <c r="A108" s="6"/>
      <c r="B108" s="17">
        <f t="shared" si="7"/>
        <v>45</v>
      </c>
      <c r="C108" s="18"/>
      <c r="D108" s="19"/>
      <c r="E108" s="19"/>
      <c r="F108" s="35"/>
      <c r="G108" s="35"/>
      <c r="H108" s="35"/>
      <c r="I108" s="20"/>
      <c r="J108" s="21">
        <f t="shared" si="8"/>
        <v>0</v>
      </c>
      <c r="K108" s="7"/>
      <c r="V108" s="5">
        <f t="shared" si="5"/>
        <v>0</v>
      </c>
      <c r="W108" s="5">
        <f t="shared" si="6"/>
        <v>0</v>
      </c>
    </row>
    <row r="109" spans="1:23" s="36" customFormat="1" hidden="1" x14ac:dyDescent="0.3">
      <c r="A109" s="6"/>
      <c r="B109" s="17">
        <f t="shared" si="7"/>
        <v>46</v>
      </c>
      <c r="C109" s="18"/>
      <c r="D109" s="19"/>
      <c r="E109" s="19"/>
      <c r="F109" s="35"/>
      <c r="G109" s="35"/>
      <c r="H109" s="35"/>
      <c r="I109" s="20"/>
      <c r="J109" s="21">
        <f t="shared" si="8"/>
        <v>0</v>
      </c>
      <c r="K109" s="7"/>
      <c r="V109" s="5">
        <f t="shared" si="5"/>
        <v>0</v>
      </c>
      <c r="W109" s="5">
        <f t="shared" si="6"/>
        <v>0</v>
      </c>
    </row>
    <row r="110" spans="1:23" s="36" customFormat="1" hidden="1" x14ac:dyDescent="0.3">
      <c r="A110" s="6"/>
      <c r="B110" s="17">
        <f t="shared" si="7"/>
        <v>47</v>
      </c>
      <c r="C110" s="18"/>
      <c r="D110" s="19"/>
      <c r="E110" s="19"/>
      <c r="F110" s="35"/>
      <c r="G110" s="35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idden="1" x14ac:dyDescent="0.3">
      <c r="A111" s="6"/>
      <c r="B111" s="17">
        <f t="shared" si="7"/>
        <v>48</v>
      </c>
      <c r="C111" s="18"/>
      <c r="D111" s="19"/>
      <c r="E111" s="19"/>
      <c r="F111" s="35"/>
      <c r="G111" s="35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idden="1" x14ac:dyDescent="0.3">
      <c r="A112" s="6"/>
      <c r="B112" s="17">
        <f t="shared" si="7"/>
        <v>49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idden="1" x14ac:dyDescent="0.3">
      <c r="A113" s="6"/>
      <c r="B113" s="17">
        <f t="shared" si="7"/>
        <v>50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idden="1" x14ac:dyDescent="0.3">
      <c r="A114" s="6"/>
      <c r="B114" s="17">
        <f t="shared" si="7"/>
        <v>51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idden="1" x14ac:dyDescent="0.3">
      <c r="A115" s="6"/>
      <c r="B115" s="17">
        <f t="shared" si="7"/>
        <v>52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t="15" hidden="1" thickBot="1" x14ac:dyDescent="0.35">
      <c r="A116" s="6"/>
      <c r="B116" s="17">
        <f t="shared" si="7"/>
        <v>53</v>
      </c>
      <c r="C116" s="79"/>
      <c r="D116" s="80"/>
      <c r="E116" s="80"/>
      <c r="F116" s="81"/>
      <c r="G116" s="81"/>
      <c r="H116" s="80"/>
      <c r="I116" s="81"/>
      <c r="J116" s="82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t="24" thickBot="1" x14ac:dyDescent="0.5">
      <c r="A117" s="6"/>
      <c r="B117" s="144" t="s">
        <v>22</v>
      </c>
      <c r="C117" s="145"/>
      <c r="D117" s="145"/>
      <c r="E117" s="145"/>
      <c r="F117" s="145"/>
      <c r="G117" s="145"/>
      <c r="H117" s="146"/>
      <c r="I117" s="83" t="s">
        <v>23</v>
      </c>
      <c r="J117" s="84">
        <f>SUM(J64:J116)</f>
        <v>294117.5</v>
      </c>
      <c r="K117" s="7"/>
      <c r="L117" s="5"/>
      <c r="M117" s="5"/>
      <c r="N117" s="5"/>
      <c r="O117" s="5"/>
      <c r="P117" s="5"/>
      <c r="Q117" s="5"/>
      <c r="R117" s="5"/>
      <c r="V117" s="36">
        <f>SUM(V64:V116)</f>
        <v>33</v>
      </c>
      <c r="W117" s="36">
        <f>SUM(W64:W116)</f>
        <v>3</v>
      </c>
    </row>
    <row r="118" spans="1:23" s="36" customFormat="1" ht="30" customHeight="1" thickBot="1" x14ac:dyDescent="0.35">
      <c r="A118" s="30"/>
      <c r="B118" s="31"/>
      <c r="C118" s="31"/>
      <c r="D118" s="31"/>
      <c r="E118" s="31"/>
      <c r="F118" s="31"/>
      <c r="G118" s="31"/>
      <c r="H118" s="32"/>
      <c r="I118" s="31"/>
      <c r="J118" s="32"/>
      <c r="K118" s="33"/>
      <c r="L118" s="5"/>
      <c r="M118" s="5"/>
      <c r="N118" s="5"/>
      <c r="O118" s="5"/>
      <c r="P118" s="5"/>
      <c r="Q118" s="5"/>
      <c r="R118" s="5"/>
    </row>
    <row r="119" spans="1:23" ht="15" thickBot="1" x14ac:dyDescent="0.35"/>
    <row r="120" spans="1:23" s="36" customFormat="1" ht="30" customHeight="1" thickBot="1" x14ac:dyDescent="0.35">
      <c r="A120" s="1"/>
      <c r="B120" s="2"/>
      <c r="C120" s="2"/>
      <c r="D120" s="2"/>
      <c r="E120" s="2"/>
      <c r="F120" s="2"/>
      <c r="G120" s="2"/>
      <c r="H120" s="3"/>
      <c r="I120" s="2"/>
      <c r="J120" s="3"/>
      <c r="K120" s="4"/>
    </row>
    <row r="121" spans="1:23" s="36" customFormat="1" ht="25.2" thickBot="1" x14ac:dyDescent="0.35">
      <c r="A121" s="6" t="s">
        <v>1</v>
      </c>
      <c r="B121" s="119" t="s">
        <v>2</v>
      </c>
      <c r="C121" s="120"/>
      <c r="D121" s="120"/>
      <c r="E121" s="120"/>
      <c r="F121" s="120"/>
      <c r="G121" s="120"/>
      <c r="H121" s="120"/>
      <c r="I121" s="120"/>
      <c r="J121" s="121"/>
      <c r="K121" s="7"/>
    </row>
    <row r="122" spans="1:23" s="36" customFormat="1" ht="16.2" thickBot="1" x14ac:dyDescent="0.35">
      <c r="A122" s="6"/>
      <c r="B122" s="168" t="s">
        <v>330</v>
      </c>
      <c r="C122" s="169"/>
      <c r="D122" s="169"/>
      <c r="E122" s="169"/>
      <c r="F122" s="169"/>
      <c r="G122" s="169"/>
      <c r="H122" s="169"/>
      <c r="I122" s="169"/>
      <c r="J122" s="170"/>
      <c r="K122" s="7"/>
      <c r="L122" s="22"/>
    </row>
    <row r="123" spans="1:23" s="36" customFormat="1" ht="16.2" thickBot="1" x14ac:dyDescent="0.35">
      <c r="A123" s="6"/>
      <c r="B123" s="106" t="s">
        <v>215</v>
      </c>
      <c r="C123" s="107"/>
      <c r="D123" s="107"/>
      <c r="E123" s="107"/>
      <c r="F123" s="107"/>
      <c r="G123" s="107"/>
      <c r="H123" s="107"/>
      <c r="I123" s="107"/>
      <c r="J123" s="108"/>
      <c r="K123" s="7"/>
    </row>
    <row r="124" spans="1:23" s="22" customFormat="1" ht="15" thickBot="1" x14ac:dyDescent="0.35">
      <c r="A124" s="69"/>
      <c r="B124" s="70" t="s">
        <v>9</v>
      </c>
      <c r="C124" s="71" t="s">
        <v>10</v>
      </c>
      <c r="D124" s="72" t="s">
        <v>11</v>
      </c>
      <c r="E124" s="72" t="s">
        <v>12</v>
      </c>
      <c r="F124" s="73" t="s">
        <v>65</v>
      </c>
      <c r="G124" s="73" t="s">
        <v>66</v>
      </c>
      <c r="H124" s="74" t="s">
        <v>67</v>
      </c>
      <c r="I124" s="73" t="s">
        <v>68</v>
      </c>
      <c r="J124" s="75" t="s">
        <v>17</v>
      </c>
      <c r="K124" s="76"/>
      <c r="L124" s="36"/>
      <c r="M124" s="36"/>
      <c r="N124" s="36"/>
      <c r="O124" s="36" t="s">
        <v>21</v>
      </c>
      <c r="P124" s="36"/>
      <c r="Q124" s="36"/>
      <c r="R124" s="36"/>
      <c r="V124" s="5" t="s">
        <v>5</v>
      </c>
      <c r="W124" s="5" t="s">
        <v>6</v>
      </c>
    </row>
    <row r="125" spans="1:23" s="36" customFormat="1" x14ac:dyDescent="0.3">
      <c r="A125" s="6"/>
      <c r="B125" s="14">
        <v>1</v>
      </c>
      <c r="C125" s="93">
        <v>44287</v>
      </c>
      <c r="D125" s="94" t="s">
        <v>18</v>
      </c>
      <c r="E125" s="94" t="s">
        <v>245</v>
      </c>
      <c r="F125" s="60">
        <v>70</v>
      </c>
      <c r="G125" s="60">
        <v>100</v>
      </c>
      <c r="H125" s="60">
        <v>30</v>
      </c>
      <c r="I125" s="15">
        <v>300</v>
      </c>
      <c r="J125" s="16">
        <f t="shared" ref="J125:J170" si="9">I125*H125</f>
        <v>9000</v>
      </c>
      <c r="K125" s="7"/>
      <c r="V125" s="5">
        <f t="shared" ref="V125:V170" si="10">IF($J125&gt;0,1,0)</f>
        <v>1</v>
      </c>
      <c r="W125" s="5">
        <f t="shared" ref="W125:W170" si="11">IF($J125&lt;0,1,0)</f>
        <v>0</v>
      </c>
    </row>
    <row r="126" spans="1:23" s="36" customFormat="1" x14ac:dyDescent="0.3">
      <c r="A126" s="6"/>
      <c r="B126" s="17">
        <f>B125+1</f>
        <v>2</v>
      </c>
      <c r="C126" s="18">
        <v>44287</v>
      </c>
      <c r="D126" s="19" t="s">
        <v>18</v>
      </c>
      <c r="E126" s="19" t="s">
        <v>245</v>
      </c>
      <c r="F126" s="35">
        <v>75</v>
      </c>
      <c r="G126" s="35">
        <v>60</v>
      </c>
      <c r="H126" s="35">
        <v>-15</v>
      </c>
      <c r="I126" s="20">
        <v>300</v>
      </c>
      <c r="J126" s="21">
        <f t="shared" si="9"/>
        <v>-4500</v>
      </c>
      <c r="K126" s="7"/>
      <c r="L126" s="36" t="s">
        <v>21</v>
      </c>
      <c r="V126" s="5">
        <f t="shared" si="10"/>
        <v>0</v>
      </c>
      <c r="W126" s="5">
        <f t="shared" si="11"/>
        <v>1</v>
      </c>
    </row>
    <row r="127" spans="1:23" s="36" customFormat="1" x14ac:dyDescent="0.3">
      <c r="A127" s="6"/>
      <c r="B127" s="17">
        <f t="shared" ref="B127:B147" si="12">B126+1</f>
        <v>3</v>
      </c>
      <c r="C127" s="18">
        <v>44291</v>
      </c>
      <c r="D127" s="19" t="s">
        <v>18</v>
      </c>
      <c r="E127" s="19" t="s">
        <v>315</v>
      </c>
      <c r="F127" s="35">
        <v>85</v>
      </c>
      <c r="G127" s="35">
        <v>115</v>
      </c>
      <c r="H127" s="35">
        <v>30</v>
      </c>
      <c r="I127" s="20">
        <v>300</v>
      </c>
      <c r="J127" s="21">
        <f t="shared" si="9"/>
        <v>9000</v>
      </c>
      <c r="K127" s="7"/>
      <c r="V127" s="5">
        <f t="shared" si="10"/>
        <v>1</v>
      </c>
      <c r="W127" s="5">
        <f t="shared" si="11"/>
        <v>0</v>
      </c>
    </row>
    <row r="128" spans="1:23" s="36" customFormat="1" x14ac:dyDescent="0.3">
      <c r="A128" s="6"/>
      <c r="B128" s="17">
        <f t="shared" si="12"/>
        <v>4</v>
      </c>
      <c r="C128" s="18">
        <v>44291</v>
      </c>
      <c r="D128" s="19" t="s">
        <v>18</v>
      </c>
      <c r="E128" s="19" t="s">
        <v>326</v>
      </c>
      <c r="F128" s="35">
        <v>90</v>
      </c>
      <c r="G128" s="35">
        <v>97.55</v>
      </c>
      <c r="H128" s="35">
        <v>7.55</v>
      </c>
      <c r="I128" s="20">
        <v>300</v>
      </c>
      <c r="J128" s="21">
        <f t="shared" si="9"/>
        <v>2265</v>
      </c>
      <c r="K128" s="7"/>
      <c r="V128" s="5">
        <f t="shared" si="10"/>
        <v>1</v>
      </c>
      <c r="W128" s="5">
        <f t="shared" si="11"/>
        <v>0</v>
      </c>
    </row>
    <row r="129" spans="1:23" s="36" customFormat="1" x14ac:dyDescent="0.3">
      <c r="A129" s="6"/>
      <c r="B129" s="17">
        <f t="shared" si="12"/>
        <v>5</v>
      </c>
      <c r="C129" s="18">
        <v>44292</v>
      </c>
      <c r="D129" s="19" t="s">
        <v>18</v>
      </c>
      <c r="E129" s="19" t="s">
        <v>337</v>
      </c>
      <c r="F129" s="35">
        <v>75</v>
      </c>
      <c r="G129" s="35">
        <v>94.5</v>
      </c>
      <c r="H129" s="35">
        <v>19.5</v>
      </c>
      <c r="I129" s="20">
        <v>300</v>
      </c>
      <c r="J129" s="21">
        <f t="shared" si="9"/>
        <v>5850</v>
      </c>
      <c r="K129" s="7"/>
      <c r="V129" s="5">
        <f t="shared" si="10"/>
        <v>1</v>
      </c>
      <c r="W129" s="5">
        <f t="shared" si="11"/>
        <v>0</v>
      </c>
    </row>
    <row r="130" spans="1:23" s="36" customFormat="1" x14ac:dyDescent="0.3">
      <c r="A130" s="6"/>
      <c r="B130" s="17">
        <f t="shared" si="12"/>
        <v>6</v>
      </c>
      <c r="C130" s="18">
        <v>44292</v>
      </c>
      <c r="D130" s="19" t="s">
        <v>18</v>
      </c>
      <c r="E130" s="19" t="s">
        <v>338</v>
      </c>
      <c r="F130" s="20">
        <v>80</v>
      </c>
      <c r="G130" s="35">
        <v>100</v>
      </c>
      <c r="H130" s="35">
        <v>20</v>
      </c>
      <c r="I130" s="20">
        <v>300</v>
      </c>
      <c r="J130" s="21">
        <f t="shared" si="9"/>
        <v>6000</v>
      </c>
      <c r="K130" s="7"/>
      <c r="V130" s="5">
        <f t="shared" si="10"/>
        <v>1</v>
      </c>
      <c r="W130" s="5">
        <f t="shared" si="11"/>
        <v>0</v>
      </c>
    </row>
    <row r="131" spans="1:23" s="36" customFormat="1" x14ac:dyDescent="0.3">
      <c r="A131" s="6"/>
      <c r="B131" s="17">
        <f t="shared" si="12"/>
        <v>7</v>
      </c>
      <c r="C131" s="18">
        <v>44293</v>
      </c>
      <c r="D131" s="19" t="s">
        <v>18</v>
      </c>
      <c r="E131" s="19" t="s">
        <v>244</v>
      </c>
      <c r="F131" s="35">
        <v>70</v>
      </c>
      <c r="G131" s="35">
        <v>100</v>
      </c>
      <c r="H131" s="35">
        <v>30</v>
      </c>
      <c r="I131" s="20">
        <v>300</v>
      </c>
      <c r="J131" s="21">
        <f t="shared" si="9"/>
        <v>9000</v>
      </c>
      <c r="K131" s="7"/>
      <c r="V131" s="5">
        <f t="shared" si="10"/>
        <v>1</v>
      </c>
      <c r="W131" s="5">
        <f t="shared" si="11"/>
        <v>0</v>
      </c>
    </row>
    <row r="132" spans="1:23" s="36" customFormat="1" x14ac:dyDescent="0.3">
      <c r="A132" s="6"/>
      <c r="B132" s="17">
        <f t="shared" si="12"/>
        <v>8</v>
      </c>
      <c r="C132" s="18">
        <v>44294</v>
      </c>
      <c r="D132" s="19" t="s">
        <v>18</v>
      </c>
      <c r="E132" s="19" t="s">
        <v>290</v>
      </c>
      <c r="F132" s="35">
        <v>65</v>
      </c>
      <c r="G132" s="35">
        <v>75</v>
      </c>
      <c r="H132" s="35">
        <v>10</v>
      </c>
      <c r="I132" s="20">
        <v>300</v>
      </c>
      <c r="J132" s="21">
        <f t="shared" si="9"/>
        <v>3000</v>
      </c>
      <c r="K132" s="7"/>
      <c r="V132" s="5">
        <f t="shared" si="10"/>
        <v>1</v>
      </c>
      <c r="W132" s="5">
        <f t="shared" si="11"/>
        <v>0</v>
      </c>
    </row>
    <row r="133" spans="1:23" s="36" customFormat="1" x14ac:dyDescent="0.3">
      <c r="A133" s="6"/>
      <c r="B133" s="17">
        <f t="shared" si="12"/>
        <v>9</v>
      </c>
      <c r="C133" s="18">
        <v>44294</v>
      </c>
      <c r="D133" s="19" t="s">
        <v>18</v>
      </c>
      <c r="E133" s="19" t="s">
        <v>342</v>
      </c>
      <c r="F133" s="35">
        <v>70</v>
      </c>
      <c r="G133" s="35">
        <v>55</v>
      </c>
      <c r="H133" s="35">
        <v>-15</v>
      </c>
      <c r="I133" s="20">
        <v>300</v>
      </c>
      <c r="J133" s="21">
        <f t="shared" si="9"/>
        <v>-4500</v>
      </c>
      <c r="K133" s="7"/>
      <c r="V133" s="5">
        <f t="shared" si="10"/>
        <v>0</v>
      </c>
      <c r="W133" s="5">
        <f t="shared" si="11"/>
        <v>1</v>
      </c>
    </row>
    <row r="134" spans="1:23" s="36" customFormat="1" x14ac:dyDescent="0.3">
      <c r="A134" s="6"/>
      <c r="B134" s="17">
        <f t="shared" si="12"/>
        <v>10</v>
      </c>
      <c r="C134" s="18">
        <v>44295</v>
      </c>
      <c r="D134" s="19" t="s">
        <v>18</v>
      </c>
      <c r="E134" s="19" t="s">
        <v>286</v>
      </c>
      <c r="F134" s="35">
        <v>95</v>
      </c>
      <c r="G134" s="35">
        <v>100</v>
      </c>
      <c r="H134" s="35">
        <v>5</v>
      </c>
      <c r="I134" s="20">
        <v>300</v>
      </c>
      <c r="J134" s="21">
        <f t="shared" si="9"/>
        <v>1500</v>
      </c>
      <c r="K134" s="7"/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si="12"/>
        <v>11</v>
      </c>
      <c r="C135" s="18">
        <v>44295</v>
      </c>
      <c r="D135" s="19" t="s">
        <v>18</v>
      </c>
      <c r="E135" s="19" t="s">
        <v>286</v>
      </c>
      <c r="F135" s="19">
        <v>80</v>
      </c>
      <c r="G135" s="35">
        <v>65</v>
      </c>
      <c r="H135" s="35">
        <v>-15</v>
      </c>
      <c r="I135" s="20">
        <v>300</v>
      </c>
      <c r="J135" s="21">
        <f t="shared" si="9"/>
        <v>-4500</v>
      </c>
      <c r="K135" s="7"/>
      <c r="V135" s="5">
        <f t="shared" si="10"/>
        <v>0</v>
      </c>
      <c r="W135" s="5">
        <f t="shared" si="11"/>
        <v>1</v>
      </c>
    </row>
    <row r="136" spans="1:23" s="36" customFormat="1" x14ac:dyDescent="0.3">
      <c r="A136" s="6"/>
      <c r="B136" s="17">
        <f t="shared" si="12"/>
        <v>12</v>
      </c>
      <c r="C136" s="18">
        <v>44298</v>
      </c>
      <c r="D136" s="19" t="s">
        <v>18</v>
      </c>
      <c r="E136" s="19" t="s">
        <v>326</v>
      </c>
      <c r="F136" s="35">
        <v>105</v>
      </c>
      <c r="G136" s="35">
        <v>120</v>
      </c>
      <c r="H136" s="35">
        <v>15</v>
      </c>
      <c r="I136" s="20">
        <v>300</v>
      </c>
      <c r="J136" s="21">
        <f t="shared" si="9"/>
        <v>4500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13</v>
      </c>
      <c r="C137" s="18">
        <v>44298</v>
      </c>
      <c r="D137" s="19" t="s">
        <v>18</v>
      </c>
      <c r="E137" s="19" t="s">
        <v>212</v>
      </c>
      <c r="F137" s="35">
        <v>95</v>
      </c>
      <c r="G137" s="35">
        <v>102</v>
      </c>
      <c r="H137" s="35">
        <v>7</v>
      </c>
      <c r="I137" s="20">
        <v>300</v>
      </c>
      <c r="J137" s="21">
        <f t="shared" si="9"/>
        <v>2100</v>
      </c>
      <c r="K137" s="7"/>
      <c r="V137" s="5">
        <f t="shared" si="10"/>
        <v>1</v>
      </c>
      <c r="W137" s="5">
        <f t="shared" si="11"/>
        <v>0</v>
      </c>
    </row>
    <row r="138" spans="1:23" s="36" customFormat="1" x14ac:dyDescent="0.3">
      <c r="A138" s="6"/>
      <c r="B138" s="17">
        <f t="shared" si="12"/>
        <v>14</v>
      </c>
      <c r="C138" s="18">
        <v>44299</v>
      </c>
      <c r="D138" s="19" t="s">
        <v>18</v>
      </c>
      <c r="E138" s="19" t="s">
        <v>345</v>
      </c>
      <c r="F138" s="77">
        <v>80</v>
      </c>
      <c r="G138" s="35">
        <v>65</v>
      </c>
      <c r="H138" s="78">
        <v>-15</v>
      </c>
      <c r="I138" s="20">
        <v>300</v>
      </c>
      <c r="J138" s="21">
        <f t="shared" si="9"/>
        <v>-4500</v>
      </c>
      <c r="K138" s="7"/>
      <c r="V138" s="5">
        <f t="shared" si="10"/>
        <v>0</v>
      </c>
      <c r="W138" s="5">
        <f t="shared" si="11"/>
        <v>1</v>
      </c>
    </row>
    <row r="139" spans="1:23" s="36" customFormat="1" x14ac:dyDescent="0.3">
      <c r="A139" s="6"/>
      <c r="B139" s="17">
        <f t="shared" si="12"/>
        <v>15</v>
      </c>
      <c r="C139" s="18">
        <v>44299</v>
      </c>
      <c r="D139" s="19" t="s">
        <v>18</v>
      </c>
      <c r="E139" s="19" t="s">
        <v>325</v>
      </c>
      <c r="F139" s="35">
        <v>95</v>
      </c>
      <c r="G139" s="35">
        <v>88</v>
      </c>
      <c r="H139" s="78">
        <v>-15</v>
      </c>
      <c r="I139" s="20">
        <v>300</v>
      </c>
      <c r="J139" s="21">
        <f t="shared" si="9"/>
        <v>-4500</v>
      </c>
      <c r="K139" s="7"/>
      <c r="V139" s="5">
        <f t="shared" si="10"/>
        <v>0</v>
      </c>
      <c r="W139" s="5">
        <f t="shared" si="11"/>
        <v>1</v>
      </c>
    </row>
    <row r="140" spans="1:23" s="36" customFormat="1" x14ac:dyDescent="0.3">
      <c r="A140" s="6"/>
      <c r="B140" s="17">
        <f t="shared" si="12"/>
        <v>16</v>
      </c>
      <c r="C140" s="18">
        <v>44301</v>
      </c>
      <c r="D140" s="19" t="s">
        <v>18</v>
      </c>
      <c r="E140" s="19" t="s">
        <v>287</v>
      </c>
      <c r="F140" s="35">
        <v>85</v>
      </c>
      <c r="G140" s="35">
        <v>93</v>
      </c>
      <c r="H140" s="78">
        <v>8</v>
      </c>
      <c r="I140" s="20">
        <v>300</v>
      </c>
      <c r="J140" s="21">
        <f t="shared" si="9"/>
        <v>2400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17</v>
      </c>
      <c r="C141" s="18">
        <v>44301</v>
      </c>
      <c r="D141" s="19" t="s">
        <v>18</v>
      </c>
      <c r="E141" s="19" t="s">
        <v>345</v>
      </c>
      <c r="F141" s="35">
        <v>65</v>
      </c>
      <c r="G141" s="35">
        <v>70</v>
      </c>
      <c r="H141" s="35">
        <v>5</v>
      </c>
      <c r="I141" s="20">
        <v>300</v>
      </c>
      <c r="J141" s="21">
        <f t="shared" si="9"/>
        <v>1500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18</v>
      </c>
      <c r="C142" s="18">
        <v>44302</v>
      </c>
      <c r="D142" s="19" t="s">
        <v>18</v>
      </c>
      <c r="E142" s="19" t="s">
        <v>347</v>
      </c>
      <c r="F142" s="35">
        <v>105</v>
      </c>
      <c r="G142" s="35">
        <v>111</v>
      </c>
      <c r="H142" s="35">
        <v>6</v>
      </c>
      <c r="I142" s="20">
        <v>300</v>
      </c>
      <c r="J142" s="21">
        <f t="shared" si="9"/>
        <v>1800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19</v>
      </c>
      <c r="C143" s="18">
        <v>44302</v>
      </c>
      <c r="D143" s="19" t="s">
        <v>18</v>
      </c>
      <c r="E143" s="19" t="s">
        <v>206</v>
      </c>
      <c r="F143" s="35">
        <v>125</v>
      </c>
      <c r="G143" s="35">
        <v>140</v>
      </c>
      <c r="H143" s="35">
        <v>15</v>
      </c>
      <c r="I143" s="20">
        <v>300</v>
      </c>
      <c r="J143" s="21">
        <f t="shared" si="9"/>
        <v>4500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20</v>
      </c>
      <c r="C144" s="18">
        <v>44305</v>
      </c>
      <c r="D144" s="19" t="s">
        <v>18</v>
      </c>
      <c r="E144" s="19" t="s">
        <v>212</v>
      </c>
      <c r="F144" s="35">
        <v>110</v>
      </c>
      <c r="G144" s="35">
        <v>117</v>
      </c>
      <c r="H144" s="35">
        <v>7</v>
      </c>
      <c r="I144" s="20">
        <v>300</v>
      </c>
      <c r="J144" s="21">
        <f t="shared" si="9"/>
        <v>2100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21</v>
      </c>
      <c r="C145" s="18">
        <v>44305</v>
      </c>
      <c r="D145" s="19" t="s">
        <v>18</v>
      </c>
      <c r="E145" s="19" t="s">
        <v>214</v>
      </c>
      <c r="F145" s="35">
        <v>95</v>
      </c>
      <c r="G145" s="35">
        <v>115</v>
      </c>
      <c r="H145" s="35">
        <v>20</v>
      </c>
      <c r="I145" s="20">
        <v>300</v>
      </c>
      <c r="J145" s="21">
        <f t="shared" si="9"/>
        <v>6000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22</v>
      </c>
      <c r="C146" s="18">
        <v>44306</v>
      </c>
      <c r="D146" s="19" t="s">
        <v>18</v>
      </c>
      <c r="E146" s="19" t="s">
        <v>349</v>
      </c>
      <c r="F146" s="35">
        <v>70</v>
      </c>
      <c r="G146" s="35">
        <v>77.2</v>
      </c>
      <c r="H146" s="35">
        <v>7.2</v>
      </c>
      <c r="I146" s="20">
        <v>300</v>
      </c>
      <c r="J146" s="21">
        <f t="shared" si="9"/>
        <v>2160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23</v>
      </c>
      <c r="C147" s="18">
        <v>44306</v>
      </c>
      <c r="D147" s="19" t="s">
        <v>18</v>
      </c>
      <c r="E147" s="19" t="s">
        <v>281</v>
      </c>
      <c r="F147" s="35">
        <v>90</v>
      </c>
      <c r="G147" s="35">
        <v>120</v>
      </c>
      <c r="H147" s="35">
        <v>30</v>
      </c>
      <c r="I147" s="20">
        <v>300</v>
      </c>
      <c r="J147" s="21">
        <f t="shared" si="9"/>
        <v>9000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>B147+1</f>
        <v>24</v>
      </c>
      <c r="C148" s="18">
        <v>44308</v>
      </c>
      <c r="D148" s="19" t="s">
        <v>18</v>
      </c>
      <c r="E148" s="19" t="s">
        <v>351</v>
      </c>
      <c r="F148" s="35">
        <v>70</v>
      </c>
      <c r="G148" s="35">
        <v>79.900000000000006</v>
      </c>
      <c r="H148" s="35">
        <v>9.9</v>
      </c>
      <c r="I148" s="20">
        <v>300</v>
      </c>
      <c r="J148" s="21">
        <f t="shared" si="9"/>
        <v>2970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ref="B149:B170" si="13">B148+1</f>
        <v>25</v>
      </c>
      <c r="C149" s="18">
        <v>44309</v>
      </c>
      <c r="D149" s="19" t="s">
        <v>18</v>
      </c>
      <c r="E149" s="19" t="s">
        <v>349</v>
      </c>
      <c r="F149" s="35">
        <v>105</v>
      </c>
      <c r="G149" s="35">
        <v>135</v>
      </c>
      <c r="H149" s="35">
        <v>30</v>
      </c>
      <c r="I149" s="20">
        <v>300</v>
      </c>
      <c r="J149" s="21">
        <f t="shared" si="9"/>
        <v>9000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3"/>
        <v>26</v>
      </c>
      <c r="C150" s="18">
        <v>44309</v>
      </c>
      <c r="D150" s="19" t="s">
        <v>18</v>
      </c>
      <c r="E150" s="19" t="s">
        <v>212</v>
      </c>
      <c r="F150" s="35">
        <v>105</v>
      </c>
      <c r="G150" s="35">
        <v>135</v>
      </c>
      <c r="H150" s="35">
        <v>30</v>
      </c>
      <c r="I150" s="20">
        <v>300</v>
      </c>
      <c r="J150" s="21">
        <f t="shared" si="9"/>
        <v>9000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3"/>
        <v>27</v>
      </c>
      <c r="C151" s="18">
        <v>44312</v>
      </c>
      <c r="D151" s="19" t="s">
        <v>18</v>
      </c>
      <c r="E151" s="19" t="s">
        <v>207</v>
      </c>
      <c r="F151" s="35">
        <v>100</v>
      </c>
      <c r="G151" s="35">
        <v>108</v>
      </c>
      <c r="H151" s="35">
        <v>8</v>
      </c>
      <c r="I151" s="20">
        <v>300</v>
      </c>
      <c r="J151" s="21">
        <f t="shared" si="9"/>
        <v>2400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3"/>
        <v>28</v>
      </c>
      <c r="C152" s="18">
        <v>44313</v>
      </c>
      <c r="D152" s="19" t="s">
        <v>18</v>
      </c>
      <c r="E152" s="19" t="s">
        <v>207</v>
      </c>
      <c r="F152" s="35">
        <v>85</v>
      </c>
      <c r="G152" s="35">
        <v>100</v>
      </c>
      <c r="H152" s="35">
        <v>15</v>
      </c>
      <c r="I152" s="20">
        <v>300</v>
      </c>
      <c r="J152" s="21">
        <f t="shared" si="9"/>
        <v>4500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3"/>
        <v>29</v>
      </c>
      <c r="C153" s="18">
        <v>44314</v>
      </c>
      <c r="D153" s="19" t="s">
        <v>18</v>
      </c>
      <c r="E153" s="19" t="s">
        <v>347</v>
      </c>
      <c r="F153" s="35">
        <v>75</v>
      </c>
      <c r="G153" s="35">
        <v>105</v>
      </c>
      <c r="H153" s="35">
        <v>30</v>
      </c>
      <c r="I153" s="20">
        <v>300</v>
      </c>
      <c r="J153" s="21">
        <f t="shared" si="9"/>
        <v>9000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3"/>
        <v>30</v>
      </c>
      <c r="C154" s="18">
        <v>44314</v>
      </c>
      <c r="D154" s="19" t="s">
        <v>18</v>
      </c>
      <c r="E154" s="19" t="s">
        <v>328</v>
      </c>
      <c r="F154" s="35">
        <v>80</v>
      </c>
      <c r="G154" s="35">
        <v>86</v>
      </c>
      <c r="H154" s="35">
        <v>6</v>
      </c>
      <c r="I154" s="20">
        <v>300</v>
      </c>
      <c r="J154" s="21">
        <f t="shared" si="9"/>
        <v>1800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3"/>
        <v>31</v>
      </c>
      <c r="C155" s="18">
        <v>44315</v>
      </c>
      <c r="D155" s="19" t="s">
        <v>18</v>
      </c>
      <c r="E155" s="19" t="s">
        <v>357</v>
      </c>
      <c r="F155" s="35">
        <v>70</v>
      </c>
      <c r="G155" s="35">
        <v>85</v>
      </c>
      <c r="H155" s="35">
        <v>15</v>
      </c>
      <c r="I155" s="20">
        <v>300</v>
      </c>
      <c r="J155" s="21">
        <f t="shared" si="9"/>
        <v>4500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3"/>
        <v>32</v>
      </c>
      <c r="C156" s="18">
        <v>44315</v>
      </c>
      <c r="D156" s="19" t="s">
        <v>18</v>
      </c>
      <c r="E156" s="19" t="s">
        <v>314</v>
      </c>
      <c r="F156" s="35">
        <v>60</v>
      </c>
      <c r="G156" s="35">
        <v>69</v>
      </c>
      <c r="H156" s="35">
        <v>9</v>
      </c>
      <c r="I156" s="20">
        <v>300</v>
      </c>
      <c r="J156" s="21">
        <f t="shared" si="9"/>
        <v>2700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3"/>
        <v>33</v>
      </c>
      <c r="C157" s="18">
        <v>44316</v>
      </c>
      <c r="D157" s="19" t="s">
        <v>18</v>
      </c>
      <c r="E157" s="19" t="s">
        <v>286</v>
      </c>
      <c r="F157" s="35">
        <v>85</v>
      </c>
      <c r="G157" s="35">
        <v>92</v>
      </c>
      <c r="H157" s="35">
        <v>5</v>
      </c>
      <c r="I157" s="20">
        <v>300</v>
      </c>
      <c r="J157" s="21">
        <f t="shared" si="9"/>
        <v>1500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3"/>
        <v>34</v>
      </c>
      <c r="C158" s="18">
        <v>44316</v>
      </c>
      <c r="D158" s="19" t="s">
        <v>18</v>
      </c>
      <c r="E158" s="19" t="s">
        <v>295</v>
      </c>
      <c r="F158" s="35">
        <v>105</v>
      </c>
      <c r="G158" s="35">
        <v>135</v>
      </c>
      <c r="H158" s="35">
        <v>30</v>
      </c>
      <c r="I158" s="20">
        <v>300</v>
      </c>
      <c r="J158" s="21">
        <f t="shared" si="9"/>
        <v>9000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3"/>
        <v>35</v>
      </c>
      <c r="C159" s="18"/>
      <c r="D159" s="19"/>
      <c r="E159" s="19"/>
      <c r="F159" s="35"/>
      <c r="G159" s="35"/>
      <c r="H159" s="35"/>
      <c r="I159" s="20"/>
      <c r="J159" s="21">
        <f t="shared" si="9"/>
        <v>0</v>
      </c>
      <c r="K159" s="7"/>
      <c r="V159" s="5">
        <f t="shared" si="10"/>
        <v>0</v>
      </c>
      <c r="W159" s="5">
        <f t="shared" si="11"/>
        <v>0</v>
      </c>
    </row>
    <row r="160" spans="1:23" s="36" customFormat="1" hidden="1" x14ac:dyDescent="0.3">
      <c r="A160" s="6"/>
      <c r="B160" s="17">
        <f t="shared" si="13"/>
        <v>36</v>
      </c>
      <c r="C160" s="18"/>
      <c r="D160" s="19"/>
      <c r="E160" s="19"/>
      <c r="F160" s="35"/>
      <c r="G160" s="35"/>
      <c r="H160" s="35"/>
      <c r="I160" s="20"/>
      <c r="J160" s="21">
        <f t="shared" si="9"/>
        <v>0</v>
      </c>
      <c r="K160" s="7"/>
      <c r="V160" s="5">
        <f t="shared" si="10"/>
        <v>0</v>
      </c>
      <c r="W160" s="5">
        <f t="shared" si="11"/>
        <v>0</v>
      </c>
    </row>
    <row r="161" spans="1:23" s="36" customFormat="1" hidden="1" x14ac:dyDescent="0.3">
      <c r="A161" s="6"/>
      <c r="B161" s="17">
        <f t="shared" si="13"/>
        <v>37</v>
      </c>
      <c r="C161" s="18"/>
      <c r="D161" s="19"/>
      <c r="E161" s="19"/>
      <c r="F161" s="35"/>
      <c r="G161" s="35"/>
      <c r="H161" s="35"/>
      <c r="I161" s="20"/>
      <c r="J161" s="21">
        <f t="shared" si="9"/>
        <v>0</v>
      </c>
      <c r="K161" s="7"/>
      <c r="V161" s="5">
        <f t="shared" si="10"/>
        <v>0</v>
      </c>
      <c r="W161" s="5">
        <f t="shared" si="11"/>
        <v>0</v>
      </c>
    </row>
    <row r="162" spans="1:23" s="36" customFormat="1" hidden="1" x14ac:dyDescent="0.3">
      <c r="A162" s="6"/>
      <c r="B162" s="17">
        <f t="shared" si="13"/>
        <v>38</v>
      </c>
      <c r="C162" s="18"/>
      <c r="D162" s="19"/>
      <c r="E162" s="19"/>
      <c r="F162" s="35"/>
      <c r="G162" s="35"/>
      <c r="H162" s="35"/>
      <c r="I162" s="20"/>
      <c r="J162" s="21">
        <f t="shared" si="9"/>
        <v>0</v>
      </c>
      <c r="K162" s="7"/>
      <c r="V162" s="5">
        <f t="shared" si="10"/>
        <v>0</v>
      </c>
      <c r="W162" s="5">
        <f t="shared" si="11"/>
        <v>0</v>
      </c>
    </row>
    <row r="163" spans="1:23" s="36" customFormat="1" hidden="1" x14ac:dyDescent="0.3">
      <c r="A163" s="6"/>
      <c r="B163" s="17">
        <f t="shared" si="13"/>
        <v>39</v>
      </c>
      <c r="C163" s="18"/>
      <c r="D163" s="19"/>
      <c r="E163" s="19"/>
      <c r="F163" s="35"/>
      <c r="G163" s="35"/>
      <c r="H163" s="35"/>
      <c r="I163" s="20"/>
      <c r="J163" s="21">
        <f t="shared" si="9"/>
        <v>0</v>
      </c>
      <c r="K163" s="7"/>
      <c r="V163" s="5">
        <f t="shared" si="10"/>
        <v>0</v>
      </c>
      <c r="W163" s="5">
        <f t="shared" si="11"/>
        <v>0</v>
      </c>
    </row>
    <row r="164" spans="1:23" s="36" customFormat="1" hidden="1" x14ac:dyDescent="0.3">
      <c r="A164" s="6"/>
      <c r="B164" s="17">
        <f t="shared" si="13"/>
        <v>40</v>
      </c>
      <c r="C164" s="18"/>
      <c r="D164" s="19"/>
      <c r="E164" s="19"/>
      <c r="F164" s="35"/>
      <c r="G164" s="35"/>
      <c r="H164" s="35"/>
      <c r="I164" s="20"/>
      <c r="J164" s="21">
        <f t="shared" si="9"/>
        <v>0</v>
      </c>
      <c r="K164" s="7"/>
      <c r="V164" s="5">
        <f t="shared" si="10"/>
        <v>0</v>
      </c>
      <c r="W164" s="5">
        <f t="shared" si="11"/>
        <v>0</v>
      </c>
    </row>
    <row r="165" spans="1:23" s="36" customFormat="1" hidden="1" x14ac:dyDescent="0.3">
      <c r="A165" s="6"/>
      <c r="B165" s="17">
        <f t="shared" si="13"/>
        <v>41</v>
      </c>
      <c r="C165" s="18"/>
      <c r="D165" s="19"/>
      <c r="E165" s="19"/>
      <c r="F165" s="35"/>
      <c r="G165" s="35"/>
      <c r="H165" s="35"/>
      <c r="I165" s="20"/>
      <c r="J165" s="21">
        <f t="shared" si="9"/>
        <v>0</v>
      </c>
      <c r="K165" s="7"/>
      <c r="V165" s="5">
        <f t="shared" si="10"/>
        <v>0</v>
      </c>
      <c r="W165" s="5">
        <f t="shared" si="11"/>
        <v>0</v>
      </c>
    </row>
    <row r="166" spans="1:23" s="36" customFormat="1" hidden="1" x14ac:dyDescent="0.3">
      <c r="A166" s="6"/>
      <c r="B166" s="17">
        <f t="shared" si="13"/>
        <v>42</v>
      </c>
      <c r="C166" s="18"/>
      <c r="D166" s="19"/>
      <c r="E166" s="19"/>
      <c r="F166" s="35"/>
      <c r="G166" s="35"/>
      <c r="H166" s="35"/>
      <c r="I166" s="20"/>
      <c r="J166" s="21">
        <f t="shared" si="9"/>
        <v>0</v>
      </c>
      <c r="K166" s="7"/>
      <c r="V166" s="5">
        <f t="shared" si="10"/>
        <v>0</v>
      </c>
      <c r="W166" s="5">
        <f t="shared" si="11"/>
        <v>0</v>
      </c>
    </row>
    <row r="167" spans="1:23" s="36" customFormat="1" hidden="1" x14ac:dyDescent="0.3">
      <c r="A167" s="6"/>
      <c r="B167" s="17">
        <f t="shared" si="13"/>
        <v>43</v>
      </c>
      <c r="C167" s="18"/>
      <c r="D167" s="19"/>
      <c r="E167" s="19"/>
      <c r="F167" s="35"/>
      <c r="G167" s="35"/>
      <c r="H167" s="35"/>
      <c r="I167" s="20"/>
      <c r="J167" s="21">
        <f t="shared" si="9"/>
        <v>0</v>
      </c>
      <c r="K167" s="7"/>
      <c r="V167" s="5">
        <f t="shared" si="10"/>
        <v>0</v>
      </c>
      <c r="W167" s="5">
        <f t="shared" si="11"/>
        <v>0</v>
      </c>
    </row>
    <row r="168" spans="1:23" s="36" customFormat="1" hidden="1" x14ac:dyDescent="0.3">
      <c r="A168" s="6"/>
      <c r="B168" s="17">
        <f t="shared" si="13"/>
        <v>44</v>
      </c>
      <c r="C168" s="18"/>
      <c r="D168" s="19"/>
      <c r="E168" s="19"/>
      <c r="F168" s="35"/>
      <c r="G168" s="35"/>
      <c r="H168" s="35"/>
      <c r="I168" s="20"/>
      <c r="J168" s="21">
        <f t="shared" si="9"/>
        <v>0</v>
      </c>
      <c r="K168" s="7"/>
      <c r="V168" s="5">
        <f t="shared" si="10"/>
        <v>0</v>
      </c>
      <c r="W168" s="5">
        <f t="shared" si="11"/>
        <v>0</v>
      </c>
    </row>
    <row r="169" spans="1:23" s="36" customFormat="1" hidden="1" x14ac:dyDescent="0.3">
      <c r="A169" s="6"/>
      <c r="B169" s="17">
        <f t="shared" si="13"/>
        <v>45</v>
      </c>
      <c r="C169" s="18"/>
      <c r="D169" s="19"/>
      <c r="E169" s="19"/>
      <c r="F169" s="35"/>
      <c r="G169" s="35"/>
      <c r="H169" s="35"/>
      <c r="I169" s="20"/>
      <c r="J169" s="21">
        <f t="shared" si="9"/>
        <v>0</v>
      </c>
      <c r="K169" s="7"/>
      <c r="V169" s="5">
        <f t="shared" si="10"/>
        <v>0</v>
      </c>
      <c r="W169" s="5">
        <f t="shared" si="11"/>
        <v>0</v>
      </c>
    </row>
    <row r="170" spans="1:23" s="36" customFormat="1" ht="15" hidden="1" thickBot="1" x14ac:dyDescent="0.35">
      <c r="A170" s="6"/>
      <c r="B170" s="95">
        <f t="shared" si="13"/>
        <v>46</v>
      </c>
      <c r="C170" s="79"/>
      <c r="D170" s="80"/>
      <c r="E170" s="80"/>
      <c r="F170" s="96"/>
      <c r="G170" s="96"/>
      <c r="H170" s="96"/>
      <c r="I170" s="81"/>
      <c r="J170" s="82">
        <f t="shared" si="9"/>
        <v>0</v>
      </c>
      <c r="K170" s="7"/>
      <c r="V170" s="5">
        <f t="shared" si="10"/>
        <v>0</v>
      </c>
      <c r="W170" s="5">
        <f t="shared" si="11"/>
        <v>0</v>
      </c>
    </row>
    <row r="171" spans="1:23" s="36" customFormat="1" ht="24" thickBot="1" x14ac:dyDescent="0.5">
      <c r="A171" s="6"/>
      <c r="B171" s="165" t="s">
        <v>22</v>
      </c>
      <c r="C171" s="166"/>
      <c r="D171" s="166"/>
      <c r="E171" s="166"/>
      <c r="F171" s="166"/>
      <c r="G171" s="166"/>
      <c r="H171" s="167"/>
      <c r="I171" s="83" t="s">
        <v>23</v>
      </c>
      <c r="J171" s="84">
        <f>SUM(J125:J170)</f>
        <v>115545</v>
      </c>
      <c r="K171" s="7"/>
      <c r="L171" s="5"/>
      <c r="M171" s="5"/>
      <c r="N171" s="5"/>
      <c r="O171" s="5"/>
      <c r="P171" s="5"/>
      <c r="Q171" s="5"/>
      <c r="R171" s="5"/>
      <c r="V171" s="36">
        <f>SUM(V125:V170)</f>
        <v>29</v>
      </c>
      <c r="W171" s="36">
        <f>SUM(W125:W170)</f>
        <v>5</v>
      </c>
    </row>
    <row r="172" spans="1:23" s="36" customFormat="1" ht="30" customHeight="1" thickBot="1" x14ac:dyDescent="0.35">
      <c r="A172" s="30"/>
      <c r="B172" s="31"/>
      <c r="C172" s="31"/>
      <c r="D172" s="31"/>
      <c r="E172" s="31"/>
      <c r="F172" s="31"/>
      <c r="G172" s="31"/>
      <c r="H172" s="32"/>
      <c r="I172" s="31"/>
      <c r="J172" s="32"/>
      <c r="K172" s="33"/>
      <c r="L172" s="5"/>
      <c r="M172" s="5"/>
      <c r="N172" s="5"/>
      <c r="O172" s="5"/>
      <c r="P172" s="5"/>
      <c r="Q172" s="5"/>
      <c r="R172" s="5"/>
    </row>
  </sheetData>
  <mergeCells count="44">
    <mergeCell ref="B117:H117"/>
    <mergeCell ref="B121:J121"/>
    <mergeCell ref="B122:J122"/>
    <mergeCell ref="B123:J123"/>
    <mergeCell ref="B171:H171"/>
    <mergeCell ref="B62:J62"/>
    <mergeCell ref="M10:M11"/>
    <mergeCell ref="N10:N11"/>
    <mergeCell ref="O10:O11"/>
    <mergeCell ref="P10:P11"/>
    <mergeCell ref="M12:O14"/>
    <mergeCell ref="P12:R14"/>
    <mergeCell ref="B56:H56"/>
    <mergeCell ref="B60:J60"/>
    <mergeCell ref="B61:J61"/>
    <mergeCell ref="Q10:Q11"/>
    <mergeCell ref="R10:R11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56" r:id="rId1" xr:uid="{00000000-0004-0000-0900-000000000000}"/>
    <hyperlink ref="B117" r:id="rId2" xr:uid="{00000000-0004-0000-0900-000001000000}"/>
    <hyperlink ref="B171" r:id="rId3" xr:uid="{00000000-0004-0000-0900-000002000000}"/>
    <hyperlink ref="M1" location="MASTER!A1" display="Back" xr:uid="{00000000-0004-0000-0900-000003000000}"/>
  </hyperlinks>
  <pageMargins left="0" right="0" top="0" bottom="0" header="0" footer="0"/>
  <pageSetup paperSize="9"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78"/>
  <sheetViews>
    <sheetView topLeftCell="A75" workbookViewId="0">
      <selection activeCell="M18" sqref="M18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44317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95" t="s">
        <v>107</v>
      </c>
      <c r="N4" s="111">
        <f>COUNT(C6:C56)</f>
        <v>38</v>
      </c>
      <c r="O4" s="113">
        <f>V57</f>
        <v>32</v>
      </c>
      <c r="P4" s="113">
        <f>W57</f>
        <v>6</v>
      </c>
      <c r="Q4" s="197">
        <f>N4-O4-P4</f>
        <v>0</v>
      </c>
      <c r="R4" s="199">
        <f>O4/N4</f>
        <v>0.84210526315789469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96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44319</v>
      </c>
      <c r="D6" s="90" t="s">
        <v>18</v>
      </c>
      <c r="E6" s="90" t="s">
        <v>341</v>
      </c>
      <c r="F6" s="90">
        <v>150</v>
      </c>
      <c r="G6" s="90">
        <v>230</v>
      </c>
      <c r="H6" s="91">
        <v>80</v>
      </c>
      <c r="I6" s="90">
        <v>100</v>
      </c>
      <c r="J6" s="92">
        <f t="shared" ref="J6:J56" si="0">H6*I6</f>
        <v>8000</v>
      </c>
      <c r="K6" s="7"/>
      <c r="M6" s="196" t="s">
        <v>108</v>
      </c>
      <c r="N6" s="112">
        <f>COUNT(C65:C122)</f>
        <v>40</v>
      </c>
      <c r="O6" s="114">
        <f>V123</f>
        <v>23</v>
      </c>
      <c r="P6" s="114">
        <f>W123</f>
        <v>13</v>
      </c>
      <c r="Q6" s="198">
        <f>N6-O6-P6</f>
        <v>4</v>
      </c>
      <c r="R6" s="203">
        <f t="shared" ref="R6" si="1">O6/N6</f>
        <v>0.57499999999999996</v>
      </c>
      <c r="V6" s="5">
        <f t="shared" ref="V6:V56" si="2">IF($J6&gt;0,1,0)</f>
        <v>1</v>
      </c>
      <c r="W6" s="5">
        <f t="shared" ref="W6:W56" si="3">IF($J6&lt;0,1,0)</f>
        <v>0</v>
      </c>
    </row>
    <row r="7" spans="1:23" x14ac:dyDescent="0.3">
      <c r="A7" s="6"/>
      <c r="B7" s="17">
        <v>2</v>
      </c>
      <c r="C7" s="85">
        <v>44319</v>
      </c>
      <c r="D7" s="86" t="s">
        <v>18</v>
      </c>
      <c r="E7" s="86" t="s">
        <v>361</v>
      </c>
      <c r="F7" s="86">
        <v>150</v>
      </c>
      <c r="G7" s="86">
        <v>235</v>
      </c>
      <c r="H7" s="87">
        <f>235-150</f>
        <v>85</v>
      </c>
      <c r="I7" s="86">
        <v>100</v>
      </c>
      <c r="J7" s="21">
        <f t="shared" si="0"/>
        <v>8500</v>
      </c>
      <c r="K7" s="7"/>
      <c r="M7" s="196"/>
      <c r="N7" s="112"/>
      <c r="O7" s="114"/>
      <c r="P7" s="114"/>
      <c r="Q7" s="198"/>
      <c r="R7" s="200"/>
      <c r="V7" s="5">
        <f t="shared" si="2"/>
        <v>1</v>
      </c>
      <c r="W7" s="5">
        <f t="shared" si="3"/>
        <v>0</v>
      </c>
    </row>
    <row r="8" spans="1:23" x14ac:dyDescent="0.3">
      <c r="A8" s="6"/>
      <c r="B8" s="88">
        <v>3</v>
      </c>
      <c r="C8" s="85">
        <v>44320</v>
      </c>
      <c r="D8" s="86" t="s">
        <v>18</v>
      </c>
      <c r="E8" s="86" t="s">
        <v>334</v>
      </c>
      <c r="F8" s="86">
        <v>150</v>
      </c>
      <c r="G8" s="86">
        <v>179</v>
      </c>
      <c r="H8" s="87">
        <f>179-150</f>
        <v>29</v>
      </c>
      <c r="I8" s="86">
        <v>100</v>
      </c>
      <c r="J8" s="21">
        <f t="shared" si="0"/>
        <v>2900</v>
      </c>
      <c r="K8" s="7"/>
      <c r="M8" s="205" t="s">
        <v>194</v>
      </c>
      <c r="N8" s="112">
        <f>COUNT(C131:C176)</f>
        <v>33</v>
      </c>
      <c r="O8" s="114">
        <f>V177</f>
        <v>28</v>
      </c>
      <c r="P8" s="114">
        <f>W177</f>
        <v>5</v>
      </c>
      <c r="Q8" s="198">
        <f>N8-O8-P8</f>
        <v>0</v>
      </c>
      <c r="R8" s="203">
        <f t="shared" ref="R8:R10" si="4">O8/N8</f>
        <v>0.84848484848484851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44320</v>
      </c>
      <c r="D9" s="86" t="s">
        <v>18</v>
      </c>
      <c r="E9" s="86" t="s">
        <v>341</v>
      </c>
      <c r="F9" s="86">
        <v>150</v>
      </c>
      <c r="G9" s="86">
        <v>100</v>
      </c>
      <c r="H9" s="87">
        <v>-50</v>
      </c>
      <c r="I9" s="86">
        <v>100</v>
      </c>
      <c r="J9" s="21">
        <f t="shared" si="0"/>
        <v>-5000</v>
      </c>
      <c r="K9" s="7"/>
      <c r="M9" s="206"/>
      <c r="N9" s="184"/>
      <c r="O9" s="172"/>
      <c r="P9" s="172"/>
      <c r="Q9" s="174"/>
      <c r="R9" s="204"/>
      <c r="V9" s="5">
        <f t="shared" si="2"/>
        <v>0</v>
      </c>
      <c r="W9" s="5">
        <f t="shared" si="3"/>
        <v>1</v>
      </c>
    </row>
    <row r="10" spans="1:23" ht="16.5" customHeight="1" x14ac:dyDescent="0.3">
      <c r="A10" s="6"/>
      <c r="B10" s="88">
        <v>5</v>
      </c>
      <c r="C10" s="85">
        <v>44321</v>
      </c>
      <c r="D10" s="86" t="s">
        <v>18</v>
      </c>
      <c r="E10" s="86" t="s">
        <v>340</v>
      </c>
      <c r="F10" s="86">
        <v>140</v>
      </c>
      <c r="G10" s="86">
        <v>155</v>
      </c>
      <c r="H10" s="87">
        <f>155-140</f>
        <v>15</v>
      </c>
      <c r="I10" s="86">
        <v>100</v>
      </c>
      <c r="J10" s="21">
        <f t="shared" si="0"/>
        <v>1500</v>
      </c>
      <c r="K10" s="7"/>
      <c r="M10" s="207" t="s">
        <v>19</v>
      </c>
      <c r="N10" s="149">
        <f>SUM(N4:N9)</f>
        <v>111</v>
      </c>
      <c r="O10" s="209">
        <f>SUM(O4:O9)</f>
        <v>83</v>
      </c>
      <c r="P10" s="209">
        <f>SUM(P4:P9)</f>
        <v>24</v>
      </c>
      <c r="Q10" s="211">
        <f>SUM(Q4:Q9)</f>
        <v>4</v>
      </c>
      <c r="R10" s="199">
        <f t="shared" si="4"/>
        <v>0.74774774774774777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44321</v>
      </c>
      <c r="D11" s="86" t="s">
        <v>18</v>
      </c>
      <c r="E11" s="86" t="s">
        <v>339</v>
      </c>
      <c r="F11" s="86">
        <v>140</v>
      </c>
      <c r="G11" s="86">
        <v>90</v>
      </c>
      <c r="H11" s="87">
        <v>-50</v>
      </c>
      <c r="I11" s="86">
        <v>100</v>
      </c>
      <c r="J11" s="21">
        <f t="shared" si="0"/>
        <v>-5000</v>
      </c>
      <c r="K11" s="7"/>
      <c r="M11" s="208"/>
      <c r="N11" s="150"/>
      <c r="O11" s="210"/>
      <c r="P11" s="210"/>
      <c r="Q11" s="212"/>
      <c r="R11" s="204"/>
      <c r="V11" s="5">
        <f t="shared" si="2"/>
        <v>0</v>
      </c>
      <c r="W11" s="5">
        <f t="shared" si="3"/>
        <v>1</v>
      </c>
    </row>
    <row r="12" spans="1:23" ht="15" customHeight="1" x14ac:dyDescent="0.3">
      <c r="A12" s="6"/>
      <c r="B12" s="88">
        <v>7</v>
      </c>
      <c r="C12" s="85">
        <v>44322</v>
      </c>
      <c r="D12" s="86" t="s">
        <v>18</v>
      </c>
      <c r="E12" s="86" t="s">
        <v>316</v>
      </c>
      <c r="F12" s="86">
        <v>130</v>
      </c>
      <c r="G12" s="86">
        <v>110</v>
      </c>
      <c r="H12" s="87">
        <v>-20</v>
      </c>
      <c r="I12" s="86">
        <v>100</v>
      </c>
      <c r="J12" s="21">
        <f t="shared" si="0"/>
        <v>-2000</v>
      </c>
      <c r="K12" s="7"/>
      <c r="M12" s="126" t="s">
        <v>20</v>
      </c>
      <c r="N12" s="130"/>
      <c r="O12" s="131"/>
      <c r="P12" s="138">
        <f>R10</f>
        <v>0.74774774774774777</v>
      </c>
      <c r="Q12" s="139"/>
      <c r="R12" s="137"/>
      <c r="V12" s="5">
        <f t="shared" si="2"/>
        <v>0</v>
      </c>
      <c r="W12" s="5">
        <f t="shared" si="3"/>
        <v>1</v>
      </c>
    </row>
    <row r="13" spans="1:23" ht="15" customHeight="1" x14ac:dyDescent="0.3">
      <c r="A13" s="6"/>
      <c r="B13" s="17">
        <v>8</v>
      </c>
      <c r="C13" s="85">
        <v>44322</v>
      </c>
      <c r="D13" s="86" t="s">
        <v>18</v>
      </c>
      <c r="E13" s="86" t="s">
        <v>323</v>
      </c>
      <c r="F13" s="86">
        <v>130</v>
      </c>
      <c r="G13" s="86">
        <v>180</v>
      </c>
      <c r="H13" s="87">
        <v>50</v>
      </c>
      <c r="I13" s="86">
        <v>100</v>
      </c>
      <c r="J13" s="21">
        <f t="shared" si="0"/>
        <v>5000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44323</v>
      </c>
      <c r="D14" s="86" t="s">
        <v>18</v>
      </c>
      <c r="E14" s="86" t="s">
        <v>362</v>
      </c>
      <c r="F14" s="86">
        <v>150</v>
      </c>
      <c r="G14" s="86">
        <v>200</v>
      </c>
      <c r="H14" s="87">
        <v>50</v>
      </c>
      <c r="I14" s="86">
        <v>100</v>
      </c>
      <c r="J14" s="21">
        <f t="shared" si="0"/>
        <v>5000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44323</v>
      </c>
      <c r="D15" s="86" t="s">
        <v>18</v>
      </c>
      <c r="E15" s="86" t="s">
        <v>363</v>
      </c>
      <c r="F15" s="86">
        <v>150</v>
      </c>
      <c r="G15" s="86">
        <v>240</v>
      </c>
      <c r="H15" s="87">
        <f>240-150</f>
        <v>90</v>
      </c>
      <c r="I15" s="86">
        <v>100</v>
      </c>
      <c r="J15" s="21">
        <f t="shared" si="0"/>
        <v>9000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18">
        <v>44326</v>
      </c>
      <c r="D16" s="19" t="s">
        <v>18</v>
      </c>
      <c r="E16" s="19" t="s">
        <v>324</v>
      </c>
      <c r="F16" s="35">
        <v>150</v>
      </c>
      <c r="G16" s="35">
        <v>-100</v>
      </c>
      <c r="H16" s="35">
        <v>-50</v>
      </c>
      <c r="I16" s="20">
        <v>100</v>
      </c>
      <c r="J16" s="21">
        <f t="shared" si="0"/>
        <v>-5000</v>
      </c>
      <c r="K16" s="7"/>
      <c r="V16" s="5">
        <f t="shared" si="2"/>
        <v>0</v>
      </c>
      <c r="W16" s="5">
        <f t="shared" si="3"/>
        <v>1</v>
      </c>
    </row>
    <row r="17" spans="1:23" x14ac:dyDescent="0.3">
      <c r="A17" s="6"/>
      <c r="B17" s="17">
        <v>12</v>
      </c>
      <c r="C17" s="18">
        <v>44326</v>
      </c>
      <c r="D17" s="19" t="s">
        <v>18</v>
      </c>
      <c r="E17" s="19" t="s">
        <v>356</v>
      </c>
      <c r="F17" s="35">
        <v>130</v>
      </c>
      <c r="G17" s="35">
        <v>143</v>
      </c>
      <c r="H17" s="35">
        <v>13</v>
      </c>
      <c r="I17" s="20">
        <v>100</v>
      </c>
      <c r="J17" s="21">
        <f t="shared" si="0"/>
        <v>1300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18">
        <v>44327</v>
      </c>
      <c r="D18" s="19" t="s">
        <v>18</v>
      </c>
      <c r="E18" s="19" t="s">
        <v>283</v>
      </c>
      <c r="F18" s="35">
        <v>140</v>
      </c>
      <c r="G18" s="35">
        <v>230</v>
      </c>
      <c r="H18" s="35">
        <f>230-140</f>
        <v>90</v>
      </c>
      <c r="I18" s="20">
        <v>100</v>
      </c>
      <c r="J18" s="21">
        <f t="shared" si="0"/>
        <v>9000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18">
        <v>44327</v>
      </c>
      <c r="D19" s="19" t="s">
        <v>18</v>
      </c>
      <c r="E19" s="19" t="s">
        <v>208</v>
      </c>
      <c r="F19" s="35">
        <v>140</v>
      </c>
      <c r="G19" s="35">
        <v>160</v>
      </c>
      <c r="H19" s="35">
        <v>20</v>
      </c>
      <c r="I19" s="20">
        <v>100</v>
      </c>
      <c r="J19" s="21">
        <f t="shared" si="0"/>
        <v>2000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18">
        <v>44328</v>
      </c>
      <c r="D20" s="19" t="s">
        <v>18</v>
      </c>
      <c r="E20" s="19" t="s">
        <v>316</v>
      </c>
      <c r="F20" s="35">
        <v>120</v>
      </c>
      <c r="G20" s="35">
        <v>199</v>
      </c>
      <c r="H20" s="35">
        <f>199-120</f>
        <v>79</v>
      </c>
      <c r="I20" s="20">
        <v>100</v>
      </c>
      <c r="J20" s="21">
        <f t="shared" si="0"/>
        <v>7900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18">
        <v>44328</v>
      </c>
      <c r="D21" s="19" t="s">
        <v>18</v>
      </c>
      <c r="E21" s="19" t="s">
        <v>283</v>
      </c>
      <c r="F21" s="35">
        <v>140</v>
      </c>
      <c r="G21" s="35">
        <v>240</v>
      </c>
      <c r="H21" s="35">
        <v>100</v>
      </c>
      <c r="I21" s="20">
        <v>100</v>
      </c>
      <c r="J21" s="21">
        <f t="shared" si="0"/>
        <v>10000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44330</v>
      </c>
      <c r="D22" s="19" t="s">
        <v>18</v>
      </c>
      <c r="E22" s="19" t="s">
        <v>341</v>
      </c>
      <c r="F22" s="35">
        <v>150</v>
      </c>
      <c r="G22" s="35">
        <v>100</v>
      </c>
      <c r="H22" s="35">
        <v>-50</v>
      </c>
      <c r="I22" s="20">
        <v>100</v>
      </c>
      <c r="J22" s="21">
        <f t="shared" si="0"/>
        <v>-5000</v>
      </c>
      <c r="K22" s="7"/>
      <c r="V22" s="5">
        <f t="shared" si="2"/>
        <v>0</v>
      </c>
      <c r="W22" s="5">
        <f t="shared" si="3"/>
        <v>1</v>
      </c>
    </row>
    <row r="23" spans="1:23" x14ac:dyDescent="0.3">
      <c r="A23" s="6"/>
      <c r="B23" s="17">
        <v>18</v>
      </c>
      <c r="C23" s="18">
        <v>44330</v>
      </c>
      <c r="D23" s="19" t="s">
        <v>18</v>
      </c>
      <c r="E23" s="19" t="s">
        <v>202</v>
      </c>
      <c r="F23" s="35">
        <v>140</v>
      </c>
      <c r="G23" s="35">
        <v>179</v>
      </c>
      <c r="H23" s="35">
        <f>179-140</f>
        <v>39</v>
      </c>
      <c r="I23" s="20">
        <v>100</v>
      </c>
      <c r="J23" s="21">
        <f t="shared" si="0"/>
        <v>3900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44333</v>
      </c>
      <c r="D24" s="19" t="s">
        <v>18</v>
      </c>
      <c r="E24" s="19" t="s">
        <v>364</v>
      </c>
      <c r="F24" s="35">
        <v>130</v>
      </c>
      <c r="G24" s="35">
        <v>230</v>
      </c>
      <c r="H24" s="35">
        <v>100</v>
      </c>
      <c r="I24" s="20">
        <v>100</v>
      </c>
      <c r="J24" s="21">
        <f t="shared" si="0"/>
        <v>10000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44333</v>
      </c>
      <c r="D25" s="19" t="s">
        <v>18</v>
      </c>
      <c r="E25" s="19" t="s">
        <v>335</v>
      </c>
      <c r="F25" s="35">
        <v>140</v>
      </c>
      <c r="G25" s="35">
        <v>240</v>
      </c>
      <c r="H25" s="35">
        <v>100</v>
      </c>
      <c r="I25" s="20">
        <v>100</v>
      </c>
      <c r="J25" s="21">
        <f t="shared" si="0"/>
        <v>10000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44334</v>
      </c>
      <c r="D26" s="19" t="s">
        <v>18</v>
      </c>
      <c r="E26" s="19" t="s">
        <v>365</v>
      </c>
      <c r="F26" s="35">
        <v>140</v>
      </c>
      <c r="G26" s="35">
        <v>190</v>
      </c>
      <c r="H26" s="35">
        <v>50</v>
      </c>
      <c r="I26" s="20">
        <v>100</v>
      </c>
      <c r="J26" s="21">
        <f t="shared" si="0"/>
        <v>5000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44334</v>
      </c>
      <c r="D27" s="19" t="s">
        <v>18</v>
      </c>
      <c r="E27" s="19" t="s">
        <v>365</v>
      </c>
      <c r="F27" s="35">
        <v>140</v>
      </c>
      <c r="G27" s="35">
        <v>165</v>
      </c>
      <c r="H27" s="19">
        <v>25</v>
      </c>
      <c r="I27" s="20">
        <v>100</v>
      </c>
      <c r="J27" s="21">
        <f t="shared" si="0"/>
        <v>2500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44335</v>
      </c>
      <c r="D28" s="19" t="s">
        <v>18</v>
      </c>
      <c r="E28" s="19" t="s">
        <v>366</v>
      </c>
      <c r="F28" s="35">
        <v>150</v>
      </c>
      <c r="G28" s="35">
        <v>165</v>
      </c>
      <c r="H28" s="19">
        <v>15</v>
      </c>
      <c r="I28" s="20">
        <v>100</v>
      </c>
      <c r="J28" s="21">
        <f t="shared" si="0"/>
        <v>1500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44335</v>
      </c>
      <c r="D29" s="19" t="s">
        <v>18</v>
      </c>
      <c r="E29" s="19" t="s">
        <v>336</v>
      </c>
      <c r="F29" s="20">
        <v>150</v>
      </c>
      <c r="G29" s="20">
        <v>200</v>
      </c>
      <c r="H29" s="19">
        <v>50</v>
      </c>
      <c r="I29" s="20">
        <v>100</v>
      </c>
      <c r="J29" s="21">
        <f t="shared" si="0"/>
        <v>5000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44336</v>
      </c>
      <c r="D30" s="25" t="s">
        <v>18</v>
      </c>
      <c r="E30" s="25" t="s">
        <v>367</v>
      </c>
      <c r="F30" s="26">
        <v>120</v>
      </c>
      <c r="G30" s="61">
        <v>220</v>
      </c>
      <c r="H30" s="61">
        <v>100</v>
      </c>
      <c r="I30" s="26">
        <v>100</v>
      </c>
      <c r="J30" s="21">
        <f t="shared" si="0"/>
        <v>10000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44336</v>
      </c>
      <c r="D31" s="25" t="s">
        <v>18</v>
      </c>
      <c r="E31" s="25" t="s">
        <v>368</v>
      </c>
      <c r="F31" s="26">
        <v>80</v>
      </c>
      <c r="G31" s="61">
        <v>180</v>
      </c>
      <c r="H31" s="61">
        <v>100</v>
      </c>
      <c r="I31" s="26">
        <v>100</v>
      </c>
      <c r="J31" s="21">
        <f t="shared" si="0"/>
        <v>10000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44337</v>
      </c>
      <c r="D32" s="25" t="s">
        <v>18</v>
      </c>
      <c r="E32" s="25" t="s">
        <v>369</v>
      </c>
      <c r="F32" s="26">
        <v>150</v>
      </c>
      <c r="G32" s="61">
        <v>250</v>
      </c>
      <c r="H32" s="61">
        <v>100</v>
      </c>
      <c r="I32" s="26">
        <v>100</v>
      </c>
      <c r="J32" s="21">
        <f t="shared" si="0"/>
        <v>10000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44340</v>
      </c>
      <c r="D33" s="25" t="s">
        <v>18</v>
      </c>
      <c r="E33" s="25" t="s">
        <v>370</v>
      </c>
      <c r="F33" s="26">
        <v>150</v>
      </c>
      <c r="G33" s="61">
        <v>200</v>
      </c>
      <c r="H33" s="61">
        <v>50</v>
      </c>
      <c r="I33" s="26">
        <v>100</v>
      </c>
      <c r="J33" s="21">
        <f t="shared" si="0"/>
        <v>5000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44340</v>
      </c>
      <c r="D34" s="25" t="s">
        <v>18</v>
      </c>
      <c r="E34" s="25" t="s">
        <v>278</v>
      </c>
      <c r="F34" s="26">
        <v>130</v>
      </c>
      <c r="G34" s="61">
        <v>180</v>
      </c>
      <c r="H34" s="61">
        <v>50</v>
      </c>
      <c r="I34" s="26">
        <v>100</v>
      </c>
      <c r="J34" s="21">
        <f t="shared" si="0"/>
        <v>5000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44341</v>
      </c>
      <c r="D35" s="25" t="s">
        <v>18</v>
      </c>
      <c r="E35" s="25" t="s">
        <v>371</v>
      </c>
      <c r="F35" s="26">
        <v>150</v>
      </c>
      <c r="G35" s="61">
        <v>250</v>
      </c>
      <c r="H35" s="61">
        <v>100</v>
      </c>
      <c r="I35" s="26">
        <v>100</v>
      </c>
      <c r="J35" s="21">
        <f t="shared" si="0"/>
        <v>10000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44341</v>
      </c>
      <c r="D36" s="25" t="s">
        <v>18</v>
      </c>
      <c r="E36" s="25" t="s">
        <v>372</v>
      </c>
      <c r="F36" s="26">
        <v>140</v>
      </c>
      <c r="G36" s="61">
        <v>210</v>
      </c>
      <c r="H36" s="61">
        <f>210-140</f>
        <v>70</v>
      </c>
      <c r="I36" s="26">
        <v>100</v>
      </c>
      <c r="J36" s="21">
        <f t="shared" si="0"/>
        <v>7000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44342</v>
      </c>
      <c r="D37" s="25" t="s">
        <v>18</v>
      </c>
      <c r="E37" s="25" t="s">
        <v>240</v>
      </c>
      <c r="F37" s="26">
        <v>150</v>
      </c>
      <c r="G37" s="61">
        <v>180</v>
      </c>
      <c r="H37" s="61">
        <v>30</v>
      </c>
      <c r="I37" s="26">
        <v>100</v>
      </c>
      <c r="J37" s="21">
        <f t="shared" si="0"/>
        <v>3000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44342</v>
      </c>
      <c r="D38" s="25" t="s">
        <v>18</v>
      </c>
      <c r="E38" s="25" t="s">
        <v>308</v>
      </c>
      <c r="F38" s="26">
        <v>150</v>
      </c>
      <c r="G38" s="61">
        <v>180</v>
      </c>
      <c r="H38" s="61">
        <v>30</v>
      </c>
      <c r="I38" s="26">
        <v>100</v>
      </c>
      <c r="J38" s="21">
        <f t="shared" si="0"/>
        <v>3000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44343</v>
      </c>
      <c r="D39" s="25" t="s">
        <v>18</v>
      </c>
      <c r="E39" s="25" t="s">
        <v>368</v>
      </c>
      <c r="F39" s="26">
        <v>150</v>
      </c>
      <c r="G39" s="61">
        <v>100</v>
      </c>
      <c r="H39" s="61">
        <v>-50</v>
      </c>
      <c r="I39" s="26">
        <v>100</v>
      </c>
      <c r="J39" s="21">
        <f t="shared" si="0"/>
        <v>-5000</v>
      </c>
      <c r="K39" s="7"/>
      <c r="V39" s="5">
        <f t="shared" si="2"/>
        <v>0</v>
      </c>
      <c r="W39" s="5">
        <f t="shared" si="3"/>
        <v>1</v>
      </c>
    </row>
    <row r="40" spans="1:23" x14ac:dyDescent="0.3">
      <c r="A40" s="6"/>
      <c r="B40" s="88">
        <v>35</v>
      </c>
      <c r="C40" s="24">
        <v>44343</v>
      </c>
      <c r="D40" s="25" t="s">
        <v>18</v>
      </c>
      <c r="E40" s="25" t="s">
        <v>308</v>
      </c>
      <c r="F40" s="26">
        <v>140</v>
      </c>
      <c r="G40" s="61">
        <v>180</v>
      </c>
      <c r="H40" s="61">
        <v>40</v>
      </c>
      <c r="I40" s="26">
        <v>100</v>
      </c>
      <c r="J40" s="21">
        <f t="shared" si="0"/>
        <v>4000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24">
        <v>44344</v>
      </c>
      <c r="D41" s="25" t="s">
        <v>18</v>
      </c>
      <c r="E41" s="25" t="s">
        <v>252</v>
      </c>
      <c r="F41" s="26">
        <v>150</v>
      </c>
      <c r="G41" s="61">
        <v>166</v>
      </c>
      <c r="H41" s="61">
        <v>16</v>
      </c>
      <c r="I41" s="26">
        <v>100</v>
      </c>
      <c r="J41" s="21">
        <f t="shared" si="0"/>
        <v>1600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88">
        <v>37</v>
      </c>
      <c r="C42" s="24">
        <v>44347</v>
      </c>
      <c r="D42" s="25" t="s">
        <v>18</v>
      </c>
      <c r="E42" s="25" t="s">
        <v>273</v>
      </c>
      <c r="F42" s="26">
        <v>150</v>
      </c>
      <c r="G42" s="61">
        <v>177</v>
      </c>
      <c r="H42" s="61">
        <v>27</v>
      </c>
      <c r="I42" s="26">
        <v>100</v>
      </c>
      <c r="J42" s="21">
        <f t="shared" si="0"/>
        <v>2700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88">
        <v>38</v>
      </c>
      <c r="C43" s="24">
        <v>44347</v>
      </c>
      <c r="D43" s="25" t="s">
        <v>18</v>
      </c>
      <c r="E43" s="25" t="s">
        <v>275</v>
      </c>
      <c r="F43" s="26">
        <v>150</v>
      </c>
      <c r="G43" s="61">
        <v>172</v>
      </c>
      <c r="H43" s="61">
        <v>22</v>
      </c>
      <c r="I43" s="26">
        <v>100</v>
      </c>
      <c r="J43" s="21">
        <f t="shared" si="0"/>
        <v>2200</v>
      </c>
      <c r="K43" s="7"/>
      <c r="V43" s="5">
        <f t="shared" si="2"/>
        <v>1</v>
      </c>
      <c r="W43" s="5">
        <f t="shared" si="3"/>
        <v>0</v>
      </c>
    </row>
    <row r="44" spans="1:23" ht="15" thickBot="1" x14ac:dyDescent="0.35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ht="15" hidden="1" thickBot="1" x14ac:dyDescent="0.35">
      <c r="A45" s="6"/>
      <c r="B45" s="88">
        <v>39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ht="15" hidden="1" thickBot="1" x14ac:dyDescent="0.35">
      <c r="A46" s="6"/>
      <c r="B46" s="17">
        <v>40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ht="15" hidden="1" thickBot="1" x14ac:dyDescent="0.35">
      <c r="A47" s="6"/>
      <c r="B47" s="88">
        <v>41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ht="15" hidden="1" thickBot="1" x14ac:dyDescent="0.35">
      <c r="A48" s="6"/>
      <c r="B48" s="17">
        <v>42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ht="15" hidden="1" thickBot="1" x14ac:dyDescent="0.35">
      <c r="A49" s="6"/>
      <c r="B49" s="88">
        <v>43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ht="15" hidden="1" thickBot="1" x14ac:dyDescent="0.35">
      <c r="A50" s="6"/>
      <c r="B50" s="17">
        <v>44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t="15" hidden="1" thickBot="1" x14ac:dyDescent="0.35">
      <c r="A51" s="6"/>
      <c r="B51" s="88">
        <v>45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t="15" hidden="1" thickBot="1" x14ac:dyDescent="0.35">
      <c r="A52" s="6"/>
      <c r="B52" s="17">
        <v>46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t="15" hidden="1" thickBot="1" x14ac:dyDescent="0.35">
      <c r="A53" s="6"/>
      <c r="B53" s="88">
        <v>47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t="15" hidden="1" thickBot="1" x14ac:dyDescent="0.35">
      <c r="A54" s="6"/>
      <c r="B54" s="17">
        <v>48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t="15" hidden="1" thickBot="1" x14ac:dyDescent="0.35">
      <c r="A55" s="6"/>
      <c r="B55" s="88">
        <v>49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t="15" hidden="1" thickBot="1" x14ac:dyDescent="0.35">
      <c r="A56" s="6"/>
      <c r="B56" s="17">
        <v>50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t="24" thickBot="1" x14ac:dyDescent="0.5">
      <c r="A57" s="6"/>
      <c r="B57" s="144" t="s">
        <v>22</v>
      </c>
      <c r="C57" s="145"/>
      <c r="D57" s="145"/>
      <c r="E57" s="145"/>
      <c r="F57" s="145"/>
      <c r="G57" s="145"/>
      <c r="H57" s="146"/>
      <c r="I57" s="28" t="s">
        <v>23</v>
      </c>
      <c r="J57" s="29">
        <f>SUM(J6:J56)</f>
        <v>154500</v>
      </c>
      <c r="K57" s="7"/>
      <c r="V57" s="5">
        <f>SUM(V6:V56)</f>
        <v>32</v>
      </c>
      <c r="W57" s="5">
        <f>SUM(W6:W56)</f>
        <v>6</v>
      </c>
    </row>
    <row r="58" spans="1:23" ht="30" customHeight="1" thickBot="1" x14ac:dyDescent="0.35">
      <c r="A58" s="30"/>
      <c r="B58" s="31"/>
      <c r="C58" s="31"/>
      <c r="D58" s="31"/>
      <c r="E58" s="31"/>
      <c r="F58" s="31"/>
      <c r="G58" s="31"/>
      <c r="H58" s="32"/>
      <c r="I58" s="31"/>
      <c r="J58" s="32"/>
      <c r="K58" s="33"/>
      <c r="L58" s="36"/>
      <c r="M58" s="36"/>
      <c r="N58" s="36"/>
      <c r="O58" s="36"/>
      <c r="P58" s="36"/>
      <c r="Q58" s="36"/>
      <c r="R58" s="36"/>
    </row>
    <row r="59" spans="1:23" ht="15" thickBot="1" x14ac:dyDescent="0.35">
      <c r="L59" s="36"/>
      <c r="M59" s="36"/>
      <c r="N59" s="36"/>
      <c r="O59" s="22"/>
      <c r="P59" s="22"/>
      <c r="Q59" s="22"/>
      <c r="R59" s="22"/>
    </row>
    <row r="60" spans="1:23" s="36" customFormat="1" ht="30" customHeight="1" thickBot="1" x14ac:dyDescent="0.35">
      <c r="A60" s="1"/>
      <c r="B60" s="2"/>
      <c r="C60" s="2"/>
      <c r="D60" s="2"/>
      <c r="E60" s="2"/>
      <c r="F60" s="2"/>
      <c r="G60" s="2"/>
      <c r="H60" s="3"/>
      <c r="I60" s="2"/>
      <c r="J60" s="3"/>
      <c r="K60" s="4"/>
    </row>
    <row r="61" spans="1:23" s="36" customFormat="1" ht="25.2" thickBot="1" x14ac:dyDescent="0.35">
      <c r="A61" s="6" t="s">
        <v>1</v>
      </c>
      <c r="B61" s="119" t="s">
        <v>2</v>
      </c>
      <c r="C61" s="120"/>
      <c r="D61" s="120"/>
      <c r="E61" s="120"/>
      <c r="F61" s="120"/>
      <c r="G61" s="120"/>
      <c r="H61" s="120"/>
      <c r="I61" s="120"/>
      <c r="J61" s="121"/>
      <c r="K61" s="7"/>
    </row>
    <row r="62" spans="1:23" s="36" customFormat="1" ht="16.2" thickBot="1" x14ac:dyDescent="0.35">
      <c r="A62" s="6"/>
      <c r="B62" s="168" t="s">
        <v>360</v>
      </c>
      <c r="C62" s="169"/>
      <c r="D62" s="169"/>
      <c r="E62" s="169"/>
      <c r="F62" s="169"/>
      <c r="G62" s="169"/>
      <c r="H62" s="169"/>
      <c r="I62" s="169"/>
      <c r="J62" s="170"/>
      <c r="K62" s="7"/>
      <c r="L62" s="22"/>
    </row>
    <row r="63" spans="1:23" s="36" customFormat="1" ht="16.2" thickBot="1" x14ac:dyDescent="0.35">
      <c r="A63" s="6"/>
      <c r="B63" s="106" t="s">
        <v>90</v>
      </c>
      <c r="C63" s="107"/>
      <c r="D63" s="107"/>
      <c r="E63" s="107"/>
      <c r="F63" s="107"/>
      <c r="G63" s="107"/>
      <c r="H63" s="107"/>
      <c r="I63" s="107"/>
      <c r="J63" s="108"/>
      <c r="K63" s="7"/>
    </row>
    <row r="64" spans="1:23" s="22" customFormat="1" ht="15" thickBot="1" x14ac:dyDescent="0.35">
      <c r="A64" s="69"/>
      <c r="B64" s="8" t="s">
        <v>9</v>
      </c>
      <c r="C64" s="9" t="s">
        <v>10</v>
      </c>
      <c r="D64" s="10" t="s">
        <v>11</v>
      </c>
      <c r="E64" s="10" t="s">
        <v>12</v>
      </c>
      <c r="F64" s="11" t="s">
        <v>65</v>
      </c>
      <c r="G64" s="11" t="s">
        <v>66</v>
      </c>
      <c r="H64" s="12" t="s">
        <v>67</v>
      </c>
      <c r="I64" s="11" t="s">
        <v>68</v>
      </c>
      <c r="J64" s="13" t="s">
        <v>17</v>
      </c>
      <c r="K64" s="76"/>
      <c r="L64" s="36"/>
      <c r="M64" s="36"/>
      <c r="N64" s="36"/>
      <c r="O64" s="36" t="s">
        <v>21</v>
      </c>
      <c r="P64" s="36"/>
      <c r="Q64" s="36"/>
      <c r="R64" s="36"/>
      <c r="V64" s="5" t="s">
        <v>5</v>
      </c>
      <c r="W64" s="5" t="s">
        <v>6</v>
      </c>
    </row>
    <row r="65" spans="1:23" s="36" customFormat="1" x14ac:dyDescent="0.3">
      <c r="A65" s="6"/>
      <c r="B65" s="88">
        <v>1</v>
      </c>
      <c r="C65" s="66">
        <v>44319</v>
      </c>
      <c r="D65" s="67" t="s">
        <v>18</v>
      </c>
      <c r="E65" s="67" t="s">
        <v>181</v>
      </c>
      <c r="F65" s="68">
        <v>1637</v>
      </c>
      <c r="G65" s="68">
        <v>1657</v>
      </c>
      <c r="H65" s="97">
        <v>20</v>
      </c>
      <c r="I65" s="68">
        <v>500</v>
      </c>
      <c r="J65" s="92">
        <f>H65*I65</f>
        <v>10000</v>
      </c>
      <c r="K65" s="7"/>
      <c r="V65" s="5">
        <f t="shared" ref="V65:V122" si="5">IF($J65&gt;0,1,0)</f>
        <v>1</v>
      </c>
      <c r="W65" s="5">
        <f t="shared" ref="W65:W122" si="6">IF($J65&lt;0,1,0)</f>
        <v>0</v>
      </c>
    </row>
    <row r="66" spans="1:23" s="36" customFormat="1" x14ac:dyDescent="0.3">
      <c r="A66" s="6"/>
      <c r="B66" s="17">
        <f>B65+1</f>
        <v>2</v>
      </c>
      <c r="C66" s="66">
        <v>44319</v>
      </c>
      <c r="D66" s="67" t="s">
        <v>18</v>
      </c>
      <c r="E66" s="67" t="s">
        <v>75</v>
      </c>
      <c r="F66" s="68">
        <v>592</v>
      </c>
      <c r="G66" s="68">
        <v>597</v>
      </c>
      <c r="H66" s="67">
        <v>-5</v>
      </c>
      <c r="I66" s="20">
        <v>1375</v>
      </c>
      <c r="J66" s="21">
        <f>H66*I66</f>
        <v>-6875</v>
      </c>
      <c r="K66" s="7"/>
      <c r="L66" s="36" t="s">
        <v>21</v>
      </c>
      <c r="V66" s="5">
        <f t="shared" si="5"/>
        <v>0</v>
      </c>
      <c r="W66" s="5">
        <f t="shared" si="6"/>
        <v>1</v>
      </c>
    </row>
    <row r="67" spans="1:23" s="36" customFormat="1" x14ac:dyDescent="0.3">
      <c r="A67" s="6"/>
      <c r="B67" s="17">
        <f t="shared" ref="B67:B122" si="7">B66+1</f>
        <v>3</v>
      </c>
      <c r="C67" s="18">
        <v>44320</v>
      </c>
      <c r="D67" s="19" t="s">
        <v>69</v>
      </c>
      <c r="E67" s="19" t="s">
        <v>181</v>
      </c>
      <c r="F67" s="35">
        <v>1656</v>
      </c>
      <c r="G67" s="35">
        <v>1636</v>
      </c>
      <c r="H67" s="35">
        <f>1656-1636</f>
        <v>20</v>
      </c>
      <c r="I67" s="20">
        <v>500</v>
      </c>
      <c r="J67" s="21">
        <f>H67*I67</f>
        <v>10000</v>
      </c>
      <c r="K67" s="7"/>
      <c r="V67" s="5">
        <f t="shared" si="5"/>
        <v>1</v>
      </c>
      <c r="W67" s="5">
        <f t="shared" si="6"/>
        <v>0</v>
      </c>
    </row>
    <row r="68" spans="1:23" s="36" customFormat="1" x14ac:dyDescent="0.3">
      <c r="A68" s="6"/>
      <c r="B68" s="17">
        <f t="shared" si="7"/>
        <v>4</v>
      </c>
      <c r="C68" s="18">
        <v>44320</v>
      </c>
      <c r="D68" s="19" t="s">
        <v>69</v>
      </c>
      <c r="E68" s="19" t="s">
        <v>302</v>
      </c>
      <c r="F68" s="35">
        <v>655</v>
      </c>
      <c r="G68" s="35">
        <v>642</v>
      </c>
      <c r="H68" s="35">
        <f>655-642</f>
        <v>13</v>
      </c>
      <c r="I68" s="20">
        <v>1350</v>
      </c>
      <c r="J68" s="21">
        <f>H68*I68</f>
        <v>17550</v>
      </c>
      <c r="K68" s="7"/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si="7"/>
        <v>5</v>
      </c>
      <c r="C69" s="18">
        <v>44321</v>
      </c>
      <c r="D69" s="19" t="s">
        <v>69</v>
      </c>
      <c r="E69" s="19" t="s">
        <v>374</v>
      </c>
      <c r="F69" s="35">
        <v>1266</v>
      </c>
      <c r="G69" s="35">
        <v>1242</v>
      </c>
      <c r="H69" s="35">
        <f>1266-1242</f>
        <v>24</v>
      </c>
      <c r="I69" s="20">
        <v>1000</v>
      </c>
      <c r="J69" s="21">
        <f>H69*I69</f>
        <v>24000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6</v>
      </c>
      <c r="C70" s="18">
        <v>44321</v>
      </c>
      <c r="D70" s="19" t="s">
        <v>69</v>
      </c>
      <c r="E70" s="19" t="s">
        <v>375</v>
      </c>
      <c r="F70" s="20">
        <v>1416</v>
      </c>
      <c r="G70" s="35">
        <v>1426</v>
      </c>
      <c r="H70" s="35">
        <v>-10</v>
      </c>
      <c r="I70" s="20">
        <v>475</v>
      </c>
      <c r="J70" s="21">
        <f t="shared" ref="J70:J122" si="8">I70*H70</f>
        <v>-4750</v>
      </c>
      <c r="K70" s="7"/>
      <c r="V70" s="5">
        <f t="shared" si="5"/>
        <v>0</v>
      </c>
      <c r="W70" s="5">
        <f t="shared" si="6"/>
        <v>1</v>
      </c>
    </row>
    <row r="71" spans="1:23" s="36" customFormat="1" x14ac:dyDescent="0.3">
      <c r="A71" s="6"/>
      <c r="B71" s="17">
        <f t="shared" si="7"/>
        <v>7</v>
      </c>
      <c r="C71" s="18">
        <v>44322</v>
      </c>
      <c r="D71" s="19" t="s">
        <v>18</v>
      </c>
      <c r="E71" s="19" t="s">
        <v>181</v>
      </c>
      <c r="F71" s="35">
        <v>1660</v>
      </c>
      <c r="G71" s="35">
        <v>1680</v>
      </c>
      <c r="H71" s="35">
        <v>20</v>
      </c>
      <c r="I71" s="20">
        <v>500</v>
      </c>
      <c r="J71" s="21">
        <f t="shared" si="8"/>
        <v>10000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8</v>
      </c>
      <c r="C72" s="18">
        <v>44322</v>
      </c>
      <c r="D72" s="19" t="s">
        <v>69</v>
      </c>
      <c r="E72" s="19" t="s">
        <v>376</v>
      </c>
      <c r="F72" s="35">
        <v>1770</v>
      </c>
      <c r="G72" s="35">
        <v>1785</v>
      </c>
      <c r="H72" s="35">
        <v>-15</v>
      </c>
      <c r="I72" s="20">
        <v>400</v>
      </c>
      <c r="J72" s="21">
        <f t="shared" si="8"/>
        <v>-6000</v>
      </c>
      <c r="K72" s="7"/>
      <c r="V72" s="5">
        <f t="shared" si="5"/>
        <v>0</v>
      </c>
      <c r="W72" s="5">
        <f t="shared" si="6"/>
        <v>1</v>
      </c>
    </row>
    <row r="73" spans="1:23" s="36" customFormat="1" x14ac:dyDescent="0.3">
      <c r="A73" s="6"/>
      <c r="B73" s="17">
        <f t="shared" si="7"/>
        <v>9</v>
      </c>
      <c r="C73" s="18">
        <v>44323</v>
      </c>
      <c r="D73" s="19" t="s">
        <v>69</v>
      </c>
      <c r="E73" s="19" t="s">
        <v>181</v>
      </c>
      <c r="F73" s="35">
        <v>1650</v>
      </c>
      <c r="G73" s="35">
        <v>1625</v>
      </c>
      <c r="H73" s="35">
        <v>25</v>
      </c>
      <c r="I73" s="20">
        <v>500</v>
      </c>
      <c r="J73" s="21">
        <f t="shared" si="8"/>
        <v>12500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10</v>
      </c>
      <c r="C74" s="18">
        <v>44323</v>
      </c>
      <c r="D74" s="19" t="s">
        <v>18</v>
      </c>
      <c r="E74" s="19" t="s">
        <v>81</v>
      </c>
      <c r="F74" s="35">
        <v>1175</v>
      </c>
      <c r="G74" s="35">
        <v>1166</v>
      </c>
      <c r="H74" s="35">
        <v>-9</v>
      </c>
      <c r="I74" s="20">
        <v>550</v>
      </c>
      <c r="J74" s="21">
        <f t="shared" si="8"/>
        <v>-4950</v>
      </c>
      <c r="K74" s="7"/>
      <c r="V74" s="5">
        <f t="shared" si="5"/>
        <v>0</v>
      </c>
      <c r="W74" s="5">
        <f t="shared" si="6"/>
        <v>1</v>
      </c>
    </row>
    <row r="75" spans="1:23" s="36" customFormat="1" x14ac:dyDescent="0.3">
      <c r="A75" s="6"/>
      <c r="B75" s="17">
        <f t="shared" si="7"/>
        <v>11</v>
      </c>
      <c r="C75" s="18">
        <v>44326</v>
      </c>
      <c r="D75" s="19" t="s">
        <v>18</v>
      </c>
      <c r="E75" s="19" t="s">
        <v>181</v>
      </c>
      <c r="F75" s="19">
        <v>1663</v>
      </c>
      <c r="G75" s="35">
        <v>1683</v>
      </c>
      <c r="H75" s="35">
        <v>20</v>
      </c>
      <c r="I75" s="20">
        <v>500</v>
      </c>
      <c r="J75" s="21">
        <f t="shared" si="8"/>
        <v>10000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12</v>
      </c>
      <c r="C76" s="18">
        <v>44326</v>
      </c>
      <c r="D76" s="19" t="s">
        <v>69</v>
      </c>
      <c r="E76" s="19" t="s">
        <v>70</v>
      </c>
      <c r="F76" s="35">
        <v>723.5</v>
      </c>
      <c r="G76" s="35">
        <v>714</v>
      </c>
      <c r="H76" s="35">
        <f>723.5-714</f>
        <v>9.5</v>
      </c>
      <c r="I76" s="20">
        <v>1200</v>
      </c>
      <c r="J76" s="21">
        <f t="shared" si="8"/>
        <v>11400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13</v>
      </c>
      <c r="C77" s="18">
        <v>44327</v>
      </c>
      <c r="D77" s="19" t="s">
        <v>69</v>
      </c>
      <c r="E77" s="19" t="s">
        <v>176</v>
      </c>
      <c r="F77" s="35">
        <v>2470</v>
      </c>
      <c r="G77" s="35">
        <v>2455.6999999999998</v>
      </c>
      <c r="H77" s="35">
        <f>2470-2455.7</f>
        <v>14.300000000000182</v>
      </c>
      <c r="I77" s="20">
        <v>500</v>
      </c>
      <c r="J77" s="21">
        <f t="shared" si="8"/>
        <v>7150.0000000000909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14</v>
      </c>
      <c r="C78" s="18">
        <v>44328</v>
      </c>
      <c r="D78" s="19" t="s">
        <v>69</v>
      </c>
      <c r="E78" s="19" t="s">
        <v>75</v>
      </c>
      <c r="F78" s="77">
        <v>600</v>
      </c>
      <c r="G78" s="35">
        <v>596</v>
      </c>
      <c r="H78" s="78">
        <v>4</v>
      </c>
      <c r="I78" s="20">
        <v>1375</v>
      </c>
      <c r="J78" s="21">
        <f t="shared" si="8"/>
        <v>5500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15</v>
      </c>
      <c r="C79" s="18">
        <v>44328</v>
      </c>
      <c r="D79" s="19" t="s">
        <v>18</v>
      </c>
      <c r="E79" s="19" t="s">
        <v>86</v>
      </c>
      <c r="F79" s="35">
        <v>5430</v>
      </c>
      <c r="G79" s="35">
        <v>5400</v>
      </c>
      <c r="H79" s="78">
        <v>-30</v>
      </c>
      <c r="I79" s="20">
        <v>250</v>
      </c>
      <c r="J79" s="21">
        <f t="shared" si="8"/>
        <v>-7500</v>
      </c>
      <c r="K79" s="7"/>
      <c r="V79" s="5">
        <f t="shared" si="5"/>
        <v>0</v>
      </c>
      <c r="W79" s="5">
        <f t="shared" si="6"/>
        <v>1</v>
      </c>
    </row>
    <row r="80" spans="1:23" s="36" customFormat="1" x14ac:dyDescent="0.3">
      <c r="A80" s="6"/>
      <c r="B80" s="17">
        <f t="shared" si="7"/>
        <v>16</v>
      </c>
      <c r="C80" s="18">
        <v>44330</v>
      </c>
      <c r="D80" s="19" t="s">
        <v>69</v>
      </c>
      <c r="E80" s="19" t="s">
        <v>89</v>
      </c>
      <c r="F80" s="35">
        <v>1630</v>
      </c>
      <c r="G80" s="35">
        <v>1650</v>
      </c>
      <c r="H80" s="78">
        <v>-20</v>
      </c>
      <c r="I80" s="20">
        <v>275</v>
      </c>
      <c r="J80" s="21">
        <f t="shared" si="8"/>
        <v>-5500</v>
      </c>
      <c r="K80" s="7"/>
      <c r="V80" s="5">
        <f t="shared" si="5"/>
        <v>0</v>
      </c>
      <c r="W80" s="5">
        <f t="shared" si="6"/>
        <v>1</v>
      </c>
    </row>
    <row r="81" spans="1:23" s="36" customFormat="1" x14ac:dyDescent="0.3">
      <c r="A81" s="6"/>
      <c r="B81" s="17">
        <f t="shared" si="7"/>
        <v>17</v>
      </c>
      <c r="C81" s="18">
        <v>44330</v>
      </c>
      <c r="D81" s="19" t="s">
        <v>69</v>
      </c>
      <c r="E81" s="19" t="s">
        <v>86</v>
      </c>
      <c r="F81" s="35">
        <v>5300</v>
      </c>
      <c r="G81" s="35">
        <v>5287</v>
      </c>
      <c r="H81" s="35">
        <f>5300-5287</f>
        <v>13</v>
      </c>
      <c r="I81" s="20">
        <v>250</v>
      </c>
      <c r="J81" s="21">
        <f t="shared" si="8"/>
        <v>3250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18</v>
      </c>
      <c r="C82" s="18">
        <v>44333</v>
      </c>
      <c r="D82" s="19" t="s">
        <v>69</v>
      </c>
      <c r="E82" s="19" t="s">
        <v>86</v>
      </c>
      <c r="F82" s="35">
        <v>5420</v>
      </c>
      <c r="G82" s="35">
        <v>5395</v>
      </c>
      <c r="H82" s="35">
        <f>5395-5420</f>
        <v>-25</v>
      </c>
      <c r="I82" s="20">
        <v>250</v>
      </c>
      <c r="J82" s="21">
        <f t="shared" si="8"/>
        <v>-6250</v>
      </c>
      <c r="K82" s="7"/>
      <c r="V82" s="5">
        <f t="shared" si="5"/>
        <v>0</v>
      </c>
      <c r="W82" s="5">
        <f t="shared" si="6"/>
        <v>1</v>
      </c>
    </row>
    <row r="83" spans="1:23" s="36" customFormat="1" x14ac:dyDescent="0.3">
      <c r="A83" s="6"/>
      <c r="B83" s="17">
        <f t="shared" si="7"/>
        <v>19</v>
      </c>
      <c r="C83" s="18">
        <v>44333</v>
      </c>
      <c r="D83" s="19" t="s">
        <v>69</v>
      </c>
      <c r="E83" s="19" t="s">
        <v>119</v>
      </c>
      <c r="F83" s="35">
        <v>1119</v>
      </c>
      <c r="G83" s="35">
        <v>1106</v>
      </c>
      <c r="H83" s="35">
        <f>1119-1106</f>
        <v>13</v>
      </c>
      <c r="I83" s="20">
        <v>850</v>
      </c>
      <c r="J83" s="21">
        <f t="shared" si="8"/>
        <v>11050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20</v>
      </c>
      <c r="C84" s="18">
        <v>44334</v>
      </c>
      <c r="D84" s="19" t="s">
        <v>18</v>
      </c>
      <c r="E84" s="19" t="s">
        <v>377</v>
      </c>
      <c r="F84" s="35">
        <v>1945</v>
      </c>
      <c r="G84" s="35">
        <v>1959</v>
      </c>
      <c r="H84" s="35">
        <f>1959-1945</f>
        <v>14</v>
      </c>
      <c r="I84" s="20">
        <v>500</v>
      </c>
      <c r="J84" s="21">
        <f t="shared" si="8"/>
        <v>7000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21</v>
      </c>
      <c r="C85" s="18">
        <v>44334</v>
      </c>
      <c r="D85" s="19" t="s">
        <v>69</v>
      </c>
      <c r="E85" s="19" t="s">
        <v>75</v>
      </c>
      <c r="F85" s="35">
        <v>628</v>
      </c>
      <c r="G85" s="35">
        <v>634</v>
      </c>
      <c r="H85" s="35">
        <v>-6</v>
      </c>
      <c r="I85" s="20">
        <v>1375</v>
      </c>
      <c r="J85" s="21">
        <f t="shared" si="8"/>
        <v>-8250</v>
      </c>
      <c r="K85" s="7"/>
      <c r="V85" s="5">
        <f t="shared" si="5"/>
        <v>0</v>
      </c>
      <c r="W85" s="5">
        <f t="shared" si="6"/>
        <v>1</v>
      </c>
    </row>
    <row r="86" spans="1:23" s="36" customFormat="1" x14ac:dyDescent="0.3">
      <c r="A86" s="6"/>
      <c r="B86" s="17">
        <f t="shared" si="7"/>
        <v>22</v>
      </c>
      <c r="C86" s="18">
        <v>44335</v>
      </c>
      <c r="D86" s="19" t="s">
        <v>18</v>
      </c>
      <c r="E86" s="19" t="s">
        <v>373</v>
      </c>
      <c r="F86" s="35">
        <v>1545</v>
      </c>
      <c r="G86" s="35">
        <v>1530</v>
      </c>
      <c r="H86" s="35">
        <v>-15</v>
      </c>
      <c r="I86" s="20">
        <v>375</v>
      </c>
      <c r="J86" s="21">
        <f t="shared" si="8"/>
        <v>-5625</v>
      </c>
      <c r="K86" s="7"/>
      <c r="V86" s="5">
        <f t="shared" si="5"/>
        <v>0</v>
      </c>
      <c r="W86" s="5">
        <f t="shared" si="6"/>
        <v>1</v>
      </c>
    </row>
    <row r="87" spans="1:23" s="36" customFormat="1" x14ac:dyDescent="0.3">
      <c r="A87" s="6"/>
      <c r="B87" s="17">
        <f t="shared" si="7"/>
        <v>23</v>
      </c>
      <c r="C87" s="18">
        <v>44335</v>
      </c>
      <c r="D87" s="19" t="s">
        <v>18</v>
      </c>
      <c r="E87" s="19" t="s">
        <v>302</v>
      </c>
      <c r="F87" s="35">
        <v>662</v>
      </c>
      <c r="G87" s="35">
        <v>656</v>
      </c>
      <c r="H87" s="35">
        <v>-6</v>
      </c>
      <c r="I87" s="20">
        <v>1350</v>
      </c>
      <c r="J87" s="21">
        <f t="shared" si="8"/>
        <v>-8100</v>
      </c>
      <c r="K87" s="7"/>
      <c r="V87" s="5">
        <f t="shared" si="5"/>
        <v>0</v>
      </c>
      <c r="W87" s="5">
        <f t="shared" si="6"/>
        <v>1</v>
      </c>
    </row>
    <row r="88" spans="1:23" s="36" customFormat="1" x14ac:dyDescent="0.3">
      <c r="A88" s="6"/>
      <c r="B88" s="17">
        <f t="shared" si="7"/>
        <v>24</v>
      </c>
      <c r="C88" s="18">
        <v>44336</v>
      </c>
      <c r="D88" s="19" t="s">
        <v>69</v>
      </c>
      <c r="E88" s="19" t="s">
        <v>375</v>
      </c>
      <c r="F88" s="35">
        <v>1375</v>
      </c>
      <c r="G88" s="35">
        <v>1367.85</v>
      </c>
      <c r="H88" s="35">
        <f>1375-1367.85</f>
        <v>7.1500000000000909</v>
      </c>
      <c r="I88" s="20">
        <v>475</v>
      </c>
      <c r="J88" s="21">
        <f t="shared" si="8"/>
        <v>3396.2500000000432</v>
      </c>
      <c r="K88" s="7"/>
      <c r="V88" s="5">
        <f t="shared" si="5"/>
        <v>1</v>
      </c>
      <c r="W88" s="5">
        <f t="shared" si="6"/>
        <v>0</v>
      </c>
    </row>
    <row r="89" spans="1:23" s="36" customFormat="1" x14ac:dyDescent="0.3">
      <c r="A89" s="6"/>
      <c r="B89" s="17">
        <f t="shared" si="7"/>
        <v>25</v>
      </c>
      <c r="C89" s="18">
        <v>44336</v>
      </c>
      <c r="D89" s="19" t="s">
        <v>18</v>
      </c>
      <c r="E89" s="19" t="s">
        <v>70</v>
      </c>
      <c r="F89" s="35">
        <v>714</v>
      </c>
      <c r="G89" s="35">
        <v>716.3</v>
      </c>
      <c r="H89" s="35">
        <v>2.2999999999999998</v>
      </c>
      <c r="I89" s="20">
        <v>1200</v>
      </c>
      <c r="J89" s="21">
        <f t="shared" si="8"/>
        <v>2760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26</v>
      </c>
      <c r="C90" s="18">
        <v>44337</v>
      </c>
      <c r="D90" s="19" t="s">
        <v>18</v>
      </c>
      <c r="E90" s="19" t="s">
        <v>89</v>
      </c>
      <c r="F90" s="35">
        <v>1740</v>
      </c>
      <c r="G90" s="35">
        <v>1720</v>
      </c>
      <c r="H90" s="35">
        <v>-20</v>
      </c>
      <c r="I90" s="20">
        <v>275</v>
      </c>
      <c r="J90" s="21">
        <f t="shared" si="8"/>
        <v>-5500</v>
      </c>
      <c r="K90" s="7"/>
      <c r="V90" s="5">
        <f t="shared" si="5"/>
        <v>0</v>
      </c>
      <c r="W90" s="5">
        <f t="shared" si="6"/>
        <v>1</v>
      </c>
    </row>
    <row r="91" spans="1:23" s="36" customFormat="1" x14ac:dyDescent="0.3">
      <c r="A91" s="6"/>
      <c r="B91" s="17">
        <f t="shared" si="7"/>
        <v>27</v>
      </c>
      <c r="C91" s="18">
        <v>44337</v>
      </c>
      <c r="D91" s="19" t="s">
        <v>18</v>
      </c>
      <c r="E91" s="19" t="s">
        <v>181</v>
      </c>
      <c r="F91" s="35">
        <v>1685</v>
      </c>
      <c r="G91" s="35">
        <v>1700</v>
      </c>
      <c r="H91" s="35">
        <f>1700-1685</f>
        <v>15</v>
      </c>
      <c r="I91" s="20">
        <v>500</v>
      </c>
      <c r="J91" s="21">
        <f t="shared" si="8"/>
        <v>7500</v>
      </c>
      <c r="K91" s="7"/>
      <c r="V91" s="5">
        <f t="shared" si="5"/>
        <v>1</v>
      </c>
      <c r="W91" s="5">
        <f t="shared" si="6"/>
        <v>0</v>
      </c>
    </row>
    <row r="92" spans="1:23" s="36" customFormat="1" x14ac:dyDescent="0.3">
      <c r="A92" s="6"/>
      <c r="B92" s="17">
        <f t="shared" si="7"/>
        <v>28</v>
      </c>
      <c r="C92" s="18">
        <v>44340</v>
      </c>
      <c r="D92" s="19" t="s">
        <v>18</v>
      </c>
      <c r="E92" s="19" t="s">
        <v>86</v>
      </c>
      <c r="F92" s="35">
        <v>5630</v>
      </c>
      <c r="G92" s="35">
        <v>5650</v>
      </c>
      <c r="H92" s="35">
        <v>20</v>
      </c>
      <c r="I92" s="20">
        <v>250</v>
      </c>
      <c r="J92" s="21">
        <f t="shared" si="8"/>
        <v>5000</v>
      </c>
      <c r="K92" s="7"/>
      <c r="V92" s="5">
        <f t="shared" si="5"/>
        <v>1</v>
      </c>
      <c r="W92" s="5">
        <f t="shared" si="6"/>
        <v>0</v>
      </c>
    </row>
    <row r="93" spans="1:23" s="36" customFormat="1" x14ac:dyDescent="0.3">
      <c r="A93" s="6"/>
      <c r="B93" s="17">
        <f t="shared" si="7"/>
        <v>29</v>
      </c>
      <c r="C93" s="18">
        <v>44340</v>
      </c>
      <c r="D93" s="19" t="s">
        <v>69</v>
      </c>
      <c r="E93" s="19" t="s">
        <v>119</v>
      </c>
      <c r="F93" s="35">
        <v>1085</v>
      </c>
      <c r="G93" s="35">
        <v>1095</v>
      </c>
      <c r="H93" s="35">
        <v>-10</v>
      </c>
      <c r="I93" s="20">
        <v>850</v>
      </c>
      <c r="J93" s="21">
        <f t="shared" si="8"/>
        <v>-8500</v>
      </c>
      <c r="K93" s="7"/>
      <c r="V93" s="5">
        <f t="shared" si="5"/>
        <v>0</v>
      </c>
      <c r="W93" s="5">
        <f t="shared" si="6"/>
        <v>1</v>
      </c>
    </row>
    <row r="94" spans="1:23" s="36" customFormat="1" x14ac:dyDescent="0.3">
      <c r="A94" s="6"/>
      <c r="B94" s="17">
        <f t="shared" si="7"/>
        <v>30</v>
      </c>
      <c r="C94" s="18">
        <v>44341</v>
      </c>
      <c r="D94" s="19" t="s">
        <v>18</v>
      </c>
      <c r="E94" s="19" t="s">
        <v>104</v>
      </c>
      <c r="F94" s="35">
        <v>3110</v>
      </c>
      <c r="G94" s="35">
        <v>3125</v>
      </c>
      <c r="H94" s="35">
        <f>3125-3110</f>
        <v>15</v>
      </c>
      <c r="I94" s="20">
        <v>300</v>
      </c>
      <c r="J94" s="21">
        <f t="shared" si="8"/>
        <v>4500</v>
      </c>
      <c r="K94" s="7"/>
      <c r="V94" s="5">
        <f t="shared" si="5"/>
        <v>1</v>
      </c>
      <c r="W94" s="5">
        <f t="shared" si="6"/>
        <v>0</v>
      </c>
    </row>
    <row r="95" spans="1:23" s="36" customFormat="1" x14ac:dyDescent="0.3">
      <c r="A95" s="6"/>
      <c r="B95" s="17">
        <f t="shared" si="7"/>
        <v>31</v>
      </c>
      <c r="C95" s="18">
        <v>44341</v>
      </c>
      <c r="D95" s="19" t="s">
        <v>18</v>
      </c>
      <c r="E95" s="19" t="s">
        <v>181</v>
      </c>
      <c r="F95" s="35">
        <v>1695</v>
      </c>
      <c r="G95" s="35">
        <v>1725</v>
      </c>
      <c r="H95" s="35">
        <f>1725-1695</f>
        <v>30</v>
      </c>
      <c r="I95" s="20">
        <v>500</v>
      </c>
      <c r="J95" s="21">
        <f t="shared" si="8"/>
        <v>15000</v>
      </c>
      <c r="K95" s="7"/>
      <c r="V95" s="5">
        <f t="shared" si="5"/>
        <v>1</v>
      </c>
      <c r="W95" s="5">
        <f t="shared" si="6"/>
        <v>0</v>
      </c>
    </row>
    <row r="96" spans="1:23" s="36" customFormat="1" x14ac:dyDescent="0.3">
      <c r="A96" s="6"/>
      <c r="B96" s="17">
        <f t="shared" si="7"/>
        <v>32</v>
      </c>
      <c r="C96" s="18">
        <v>44342</v>
      </c>
      <c r="D96" s="19" t="s">
        <v>18</v>
      </c>
      <c r="E96" s="19" t="s">
        <v>104</v>
      </c>
      <c r="F96" s="35">
        <v>3130</v>
      </c>
      <c r="G96" s="35">
        <v>3158</v>
      </c>
      <c r="H96" s="35">
        <v>28</v>
      </c>
      <c r="I96" s="20">
        <v>300</v>
      </c>
      <c r="J96" s="21">
        <f t="shared" si="8"/>
        <v>8400</v>
      </c>
      <c r="K96" s="7"/>
      <c r="V96" s="5">
        <f t="shared" si="5"/>
        <v>1</v>
      </c>
      <c r="W96" s="5">
        <f t="shared" si="6"/>
        <v>0</v>
      </c>
    </row>
    <row r="97" spans="1:23" s="36" customFormat="1" x14ac:dyDescent="0.3">
      <c r="A97" s="6"/>
      <c r="B97" s="17">
        <f t="shared" si="7"/>
        <v>33</v>
      </c>
      <c r="C97" s="18">
        <v>44342</v>
      </c>
      <c r="D97" s="19" t="s">
        <v>18</v>
      </c>
      <c r="E97" s="19" t="s">
        <v>86</v>
      </c>
      <c r="F97" s="35">
        <v>5595</v>
      </c>
      <c r="G97" s="35">
        <v>5625</v>
      </c>
      <c r="H97" s="35">
        <f>5595-5625</f>
        <v>-30</v>
      </c>
      <c r="I97" s="20">
        <v>250</v>
      </c>
      <c r="J97" s="21">
        <f t="shared" si="8"/>
        <v>-7500</v>
      </c>
      <c r="K97" s="7"/>
      <c r="V97" s="5">
        <f t="shared" si="5"/>
        <v>0</v>
      </c>
      <c r="W97" s="5">
        <f t="shared" si="6"/>
        <v>1</v>
      </c>
    </row>
    <row r="98" spans="1:23" s="36" customFormat="1" x14ac:dyDescent="0.3">
      <c r="A98" s="6"/>
      <c r="B98" s="17">
        <f t="shared" si="7"/>
        <v>34</v>
      </c>
      <c r="C98" s="18">
        <v>44343</v>
      </c>
      <c r="D98" s="19" t="s">
        <v>18</v>
      </c>
      <c r="E98" s="19" t="s">
        <v>104</v>
      </c>
      <c r="F98" s="35">
        <v>3205</v>
      </c>
      <c r="G98" s="35">
        <v>3212</v>
      </c>
      <c r="H98" s="35">
        <f>3212-3205</f>
        <v>7</v>
      </c>
      <c r="I98" s="20">
        <v>300</v>
      </c>
      <c r="J98" s="21">
        <f t="shared" si="8"/>
        <v>2100</v>
      </c>
      <c r="K98" s="7"/>
      <c r="V98" s="5">
        <f t="shared" si="5"/>
        <v>1</v>
      </c>
      <c r="W98" s="5">
        <f t="shared" si="6"/>
        <v>0</v>
      </c>
    </row>
    <row r="99" spans="1:23" s="36" customFormat="1" x14ac:dyDescent="0.3">
      <c r="A99" s="6"/>
      <c r="B99" s="17">
        <v>35</v>
      </c>
      <c r="C99" s="18">
        <v>44343</v>
      </c>
      <c r="D99" s="19" t="s">
        <v>18</v>
      </c>
      <c r="E99" s="19" t="s">
        <v>181</v>
      </c>
      <c r="F99" s="35">
        <v>1725</v>
      </c>
      <c r="G99" s="35">
        <v>1740</v>
      </c>
      <c r="H99" s="35">
        <f>1740-1725</f>
        <v>15</v>
      </c>
      <c r="I99" s="20">
        <v>500</v>
      </c>
      <c r="J99" s="21">
        <f t="shared" si="8"/>
        <v>7500</v>
      </c>
      <c r="K99" s="7"/>
      <c r="V99" s="5">
        <f t="shared" si="5"/>
        <v>1</v>
      </c>
      <c r="W99" s="5">
        <f t="shared" si="6"/>
        <v>0</v>
      </c>
    </row>
    <row r="100" spans="1:23" s="36" customFormat="1" x14ac:dyDescent="0.3">
      <c r="A100" s="6"/>
      <c r="B100" s="17">
        <v>36</v>
      </c>
      <c r="C100" s="18">
        <v>44344</v>
      </c>
      <c r="D100" s="19" t="s">
        <v>18</v>
      </c>
      <c r="E100" s="19" t="s">
        <v>181</v>
      </c>
      <c r="F100" s="35">
        <v>1735</v>
      </c>
      <c r="G100" s="35">
        <v>1765</v>
      </c>
      <c r="H100" s="35">
        <v>30</v>
      </c>
      <c r="I100" s="20">
        <v>500</v>
      </c>
      <c r="J100" s="21">
        <f t="shared" si="8"/>
        <v>15000</v>
      </c>
      <c r="K100" s="7"/>
      <c r="V100" s="5"/>
      <c r="W100" s="5"/>
    </row>
    <row r="101" spans="1:23" s="36" customFormat="1" x14ac:dyDescent="0.3">
      <c r="A101" s="6"/>
      <c r="B101" s="17">
        <v>37</v>
      </c>
      <c r="C101" s="18">
        <v>44344</v>
      </c>
      <c r="D101" s="19" t="s">
        <v>18</v>
      </c>
      <c r="E101" s="19" t="s">
        <v>70</v>
      </c>
      <c r="F101" s="35">
        <v>760</v>
      </c>
      <c r="G101" s="35">
        <v>754</v>
      </c>
      <c r="H101" s="35">
        <v>-6</v>
      </c>
      <c r="I101" s="20">
        <v>1200</v>
      </c>
      <c r="J101" s="21">
        <f t="shared" si="8"/>
        <v>-7200</v>
      </c>
      <c r="K101" s="7"/>
      <c r="V101" s="5"/>
      <c r="W101" s="5"/>
    </row>
    <row r="102" spans="1:23" s="36" customFormat="1" x14ac:dyDescent="0.3">
      <c r="A102" s="6"/>
      <c r="B102" s="17">
        <v>38</v>
      </c>
      <c r="C102" s="18">
        <v>44344</v>
      </c>
      <c r="D102" s="19" t="s">
        <v>69</v>
      </c>
      <c r="E102" s="19" t="s">
        <v>75</v>
      </c>
      <c r="F102" s="35">
        <v>657</v>
      </c>
      <c r="G102" s="35">
        <v>646</v>
      </c>
      <c r="H102" s="35">
        <f>657-646</f>
        <v>11</v>
      </c>
      <c r="I102" s="20">
        <v>1375</v>
      </c>
      <c r="J102" s="21">
        <f t="shared" si="8"/>
        <v>15125</v>
      </c>
      <c r="K102" s="7"/>
      <c r="V102" s="5"/>
      <c r="W102" s="5"/>
    </row>
    <row r="103" spans="1:23" s="36" customFormat="1" x14ac:dyDescent="0.3">
      <c r="A103" s="6"/>
      <c r="B103" s="17">
        <v>39</v>
      </c>
      <c r="C103" s="18">
        <v>44347</v>
      </c>
      <c r="D103" s="19" t="s">
        <v>69</v>
      </c>
      <c r="E103" s="19" t="s">
        <v>181</v>
      </c>
      <c r="F103" s="35">
        <v>1755</v>
      </c>
      <c r="G103" s="35">
        <v>1733</v>
      </c>
      <c r="H103" s="35">
        <f>1755-1733</f>
        <v>22</v>
      </c>
      <c r="I103" s="20">
        <v>500</v>
      </c>
      <c r="J103" s="21">
        <f t="shared" si="8"/>
        <v>11000</v>
      </c>
      <c r="K103" s="7"/>
      <c r="V103" s="5"/>
      <c r="W103" s="5"/>
    </row>
    <row r="104" spans="1:23" s="36" customFormat="1" x14ac:dyDescent="0.3">
      <c r="A104" s="6"/>
      <c r="B104" s="17">
        <v>40</v>
      </c>
      <c r="C104" s="18">
        <v>44347</v>
      </c>
      <c r="D104" s="19" t="s">
        <v>18</v>
      </c>
      <c r="E104" s="19" t="s">
        <v>86</v>
      </c>
      <c r="F104" s="35">
        <v>5660</v>
      </c>
      <c r="G104" s="35">
        <v>5675</v>
      </c>
      <c r="H104" s="35">
        <v>15</v>
      </c>
      <c r="I104" s="20">
        <v>250</v>
      </c>
      <c r="J104" s="21">
        <f t="shared" si="8"/>
        <v>3750</v>
      </c>
      <c r="K104" s="7"/>
      <c r="V104" s="5">
        <f t="shared" si="5"/>
        <v>1</v>
      </c>
      <c r="W104" s="5">
        <f t="shared" si="6"/>
        <v>0</v>
      </c>
    </row>
    <row r="105" spans="1:23" s="36" customFormat="1" x14ac:dyDescent="0.3">
      <c r="A105" s="6"/>
      <c r="B105" s="17">
        <v>41</v>
      </c>
      <c r="C105" s="18"/>
      <c r="D105" s="19"/>
      <c r="E105" s="19"/>
      <c r="F105" s="35"/>
      <c r="G105" s="35"/>
      <c r="H105" s="35"/>
      <c r="I105" s="20"/>
      <c r="J105" s="21">
        <f t="shared" si="8"/>
        <v>0</v>
      </c>
      <c r="K105" s="7"/>
      <c r="V105" s="5">
        <f t="shared" si="5"/>
        <v>0</v>
      </c>
      <c r="W105" s="5">
        <f t="shared" si="6"/>
        <v>0</v>
      </c>
    </row>
    <row r="106" spans="1:23" s="36" customFormat="1" ht="15" thickBot="1" x14ac:dyDescent="0.35">
      <c r="A106" s="6"/>
      <c r="B106" s="17">
        <f t="shared" si="7"/>
        <v>42</v>
      </c>
      <c r="C106" s="18"/>
      <c r="D106" s="19"/>
      <c r="E106" s="19"/>
      <c r="F106" s="35"/>
      <c r="G106" s="35"/>
      <c r="H106" s="35"/>
      <c r="I106" s="20"/>
      <c r="J106" s="21">
        <f t="shared" si="8"/>
        <v>0</v>
      </c>
      <c r="K106" s="7"/>
      <c r="V106" s="5">
        <f t="shared" si="5"/>
        <v>0</v>
      </c>
      <c r="W106" s="5">
        <f t="shared" si="6"/>
        <v>0</v>
      </c>
    </row>
    <row r="107" spans="1:23" s="36" customFormat="1" ht="15" hidden="1" thickBot="1" x14ac:dyDescent="0.35">
      <c r="A107" s="6"/>
      <c r="B107" s="17">
        <f t="shared" si="7"/>
        <v>43</v>
      </c>
      <c r="C107" s="18"/>
      <c r="D107" s="19"/>
      <c r="E107" s="19"/>
      <c r="F107" s="35"/>
      <c r="G107" s="35"/>
      <c r="H107" s="35"/>
      <c r="I107" s="20"/>
      <c r="J107" s="21">
        <f t="shared" si="8"/>
        <v>0</v>
      </c>
      <c r="K107" s="7"/>
      <c r="V107" s="5">
        <f t="shared" si="5"/>
        <v>0</v>
      </c>
      <c r="W107" s="5">
        <f t="shared" si="6"/>
        <v>0</v>
      </c>
    </row>
    <row r="108" spans="1:23" s="36" customFormat="1" ht="15" hidden="1" thickBot="1" x14ac:dyDescent="0.35">
      <c r="A108" s="6"/>
      <c r="B108" s="17">
        <f t="shared" si="7"/>
        <v>44</v>
      </c>
      <c r="C108" s="18"/>
      <c r="D108" s="19"/>
      <c r="E108" s="19"/>
      <c r="F108" s="35"/>
      <c r="G108" s="35"/>
      <c r="H108" s="35"/>
      <c r="I108" s="20"/>
      <c r="J108" s="21">
        <f t="shared" si="8"/>
        <v>0</v>
      </c>
      <c r="K108" s="7"/>
      <c r="V108" s="5">
        <f t="shared" si="5"/>
        <v>0</v>
      </c>
      <c r="W108" s="5">
        <f t="shared" si="6"/>
        <v>0</v>
      </c>
    </row>
    <row r="109" spans="1:23" s="36" customFormat="1" ht="15" hidden="1" thickBot="1" x14ac:dyDescent="0.35">
      <c r="A109" s="6"/>
      <c r="B109" s="17">
        <f t="shared" si="7"/>
        <v>45</v>
      </c>
      <c r="C109" s="18"/>
      <c r="D109" s="19"/>
      <c r="E109" s="19"/>
      <c r="F109" s="35"/>
      <c r="G109" s="35"/>
      <c r="H109" s="35"/>
      <c r="I109" s="20"/>
      <c r="J109" s="21">
        <f t="shared" si="8"/>
        <v>0</v>
      </c>
      <c r="K109" s="7"/>
      <c r="V109" s="5">
        <f t="shared" si="5"/>
        <v>0</v>
      </c>
      <c r="W109" s="5">
        <f t="shared" si="6"/>
        <v>0</v>
      </c>
    </row>
    <row r="110" spans="1:23" s="36" customFormat="1" ht="15" hidden="1" thickBot="1" x14ac:dyDescent="0.35">
      <c r="A110" s="6"/>
      <c r="B110" s="17">
        <f t="shared" si="7"/>
        <v>46</v>
      </c>
      <c r="C110" s="18"/>
      <c r="D110" s="19"/>
      <c r="E110" s="19"/>
      <c r="F110" s="35"/>
      <c r="G110" s="35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t="15" hidden="1" thickBot="1" x14ac:dyDescent="0.35">
      <c r="A111" s="6"/>
      <c r="B111" s="17">
        <f t="shared" si="7"/>
        <v>47</v>
      </c>
      <c r="C111" s="18"/>
      <c r="D111" s="19"/>
      <c r="E111" s="19"/>
      <c r="F111" s="35"/>
      <c r="G111" s="35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t="15" hidden="1" thickBot="1" x14ac:dyDescent="0.35">
      <c r="A112" s="6"/>
      <c r="B112" s="17">
        <f t="shared" si="7"/>
        <v>48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t="15" hidden="1" thickBot="1" x14ac:dyDescent="0.35">
      <c r="A113" s="6"/>
      <c r="B113" s="17">
        <f t="shared" si="7"/>
        <v>49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t="15" hidden="1" thickBot="1" x14ac:dyDescent="0.35">
      <c r="A114" s="6"/>
      <c r="B114" s="17">
        <f t="shared" si="7"/>
        <v>50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t="15" hidden="1" thickBot="1" x14ac:dyDescent="0.35">
      <c r="A115" s="6"/>
      <c r="B115" s="17">
        <f t="shared" si="7"/>
        <v>51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t="15" hidden="1" thickBot="1" x14ac:dyDescent="0.35">
      <c r="A116" s="6"/>
      <c r="B116" s="17">
        <f t="shared" si="7"/>
        <v>52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t="15" hidden="1" thickBot="1" x14ac:dyDescent="0.35">
      <c r="A117" s="6"/>
      <c r="B117" s="17">
        <f t="shared" si="7"/>
        <v>53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t="15" hidden="1" thickBot="1" x14ac:dyDescent="0.35">
      <c r="A118" s="6"/>
      <c r="B118" s="17">
        <f t="shared" si="7"/>
        <v>54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t="15" hidden="1" thickBot="1" x14ac:dyDescent="0.35">
      <c r="A119" s="6"/>
      <c r="B119" s="17">
        <f t="shared" si="7"/>
        <v>55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hidden="1" thickBot="1" x14ac:dyDescent="0.35">
      <c r="A120" s="6"/>
      <c r="B120" s="17">
        <f t="shared" si="7"/>
        <v>56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15" hidden="1" thickBot="1" x14ac:dyDescent="0.35">
      <c r="A121" s="6"/>
      <c r="B121" s="17">
        <f t="shared" si="7"/>
        <v>57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58</v>
      </c>
      <c r="C122" s="79"/>
      <c r="D122" s="80"/>
      <c r="E122" s="80"/>
      <c r="F122" s="81"/>
      <c r="G122" s="81"/>
      <c r="H122" s="80"/>
      <c r="I122" s="81"/>
      <c r="J122" s="82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24" thickBot="1" x14ac:dyDescent="0.5">
      <c r="A123" s="6"/>
      <c r="B123" s="144" t="s">
        <v>22</v>
      </c>
      <c r="C123" s="145"/>
      <c r="D123" s="145"/>
      <c r="E123" s="145"/>
      <c r="F123" s="145"/>
      <c r="G123" s="145"/>
      <c r="H123" s="146"/>
      <c r="I123" s="83" t="s">
        <v>23</v>
      </c>
      <c r="J123" s="84">
        <f>SUM(J65:J122)</f>
        <v>147931.25000000012</v>
      </c>
      <c r="K123" s="7"/>
      <c r="L123" s="5"/>
      <c r="M123" s="5"/>
      <c r="N123" s="5"/>
      <c r="O123" s="5"/>
      <c r="P123" s="5"/>
      <c r="Q123" s="5"/>
      <c r="R123" s="5"/>
      <c r="V123" s="36">
        <f>SUM(V65:V122)</f>
        <v>23</v>
      </c>
      <c r="W123" s="36">
        <f>SUM(W65:W122)</f>
        <v>13</v>
      </c>
    </row>
    <row r="124" spans="1:23" s="36" customFormat="1" ht="30" customHeight="1" thickBot="1" x14ac:dyDescent="0.35">
      <c r="A124" s="30"/>
      <c r="B124" s="31"/>
      <c r="C124" s="31"/>
      <c r="D124" s="31"/>
      <c r="E124" s="31"/>
      <c r="F124" s="31"/>
      <c r="G124" s="31"/>
      <c r="H124" s="32"/>
      <c r="I124" s="31"/>
      <c r="J124" s="32"/>
      <c r="K124" s="33"/>
      <c r="L124" s="5"/>
      <c r="M124" s="5"/>
      <c r="N124" s="5"/>
      <c r="O124" s="5"/>
      <c r="P124" s="5"/>
      <c r="Q124" s="5"/>
      <c r="R124" s="5"/>
    </row>
    <row r="125" spans="1:23" ht="15" thickBot="1" x14ac:dyDescent="0.35"/>
    <row r="126" spans="1:23" s="36" customFormat="1" ht="30" customHeight="1" thickBot="1" x14ac:dyDescent="0.35">
      <c r="A126" s="1"/>
      <c r="B126" s="2"/>
      <c r="C126" s="2"/>
      <c r="D126" s="2"/>
      <c r="E126" s="2"/>
      <c r="F126" s="2"/>
      <c r="G126" s="2"/>
      <c r="H126" s="3"/>
      <c r="I126" s="2"/>
      <c r="J126" s="3"/>
      <c r="K126" s="4"/>
    </row>
    <row r="127" spans="1:23" s="36" customFormat="1" ht="25.2" thickBot="1" x14ac:dyDescent="0.35">
      <c r="A127" s="6" t="s">
        <v>1</v>
      </c>
      <c r="B127" s="119" t="s">
        <v>2</v>
      </c>
      <c r="C127" s="120"/>
      <c r="D127" s="120"/>
      <c r="E127" s="120"/>
      <c r="F127" s="120"/>
      <c r="G127" s="120"/>
      <c r="H127" s="120"/>
      <c r="I127" s="120"/>
      <c r="J127" s="121"/>
      <c r="K127" s="7"/>
    </row>
    <row r="128" spans="1:23" s="36" customFormat="1" ht="16.2" thickBot="1" x14ac:dyDescent="0.35">
      <c r="A128" s="6"/>
      <c r="B128" s="168" t="s">
        <v>360</v>
      </c>
      <c r="C128" s="169"/>
      <c r="D128" s="169"/>
      <c r="E128" s="169"/>
      <c r="F128" s="169"/>
      <c r="G128" s="169"/>
      <c r="H128" s="169"/>
      <c r="I128" s="169"/>
      <c r="J128" s="170"/>
      <c r="K128" s="7"/>
      <c r="L128" s="22"/>
    </row>
    <row r="129" spans="1:23" s="36" customFormat="1" ht="16.2" thickBot="1" x14ac:dyDescent="0.35">
      <c r="A129" s="6"/>
      <c r="B129" s="106" t="s">
        <v>215</v>
      </c>
      <c r="C129" s="107"/>
      <c r="D129" s="107"/>
      <c r="E129" s="107"/>
      <c r="F129" s="107"/>
      <c r="G129" s="107"/>
      <c r="H129" s="107"/>
      <c r="I129" s="107"/>
      <c r="J129" s="108"/>
      <c r="K129" s="7"/>
    </row>
    <row r="130" spans="1:23" s="22" customFormat="1" ht="15" thickBot="1" x14ac:dyDescent="0.35">
      <c r="A130" s="69"/>
      <c r="B130" s="70" t="s">
        <v>9</v>
      </c>
      <c r="C130" s="71" t="s">
        <v>10</v>
      </c>
      <c r="D130" s="72" t="s">
        <v>11</v>
      </c>
      <c r="E130" s="72" t="s">
        <v>12</v>
      </c>
      <c r="F130" s="73" t="s">
        <v>65</v>
      </c>
      <c r="G130" s="73" t="s">
        <v>66</v>
      </c>
      <c r="H130" s="74" t="s">
        <v>67</v>
      </c>
      <c r="I130" s="73" t="s">
        <v>68</v>
      </c>
      <c r="J130" s="75" t="s">
        <v>17</v>
      </c>
      <c r="K130" s="76"/>
      <c r="L130" s="36"/>
      <c r="M130" s="36"/>
      <c r="N130" s="36"/>
      <c r="O130" s="36" t="s">
        <v>21</v>
      </c>
      <c r="P130" s="36"/>
      <c r="Q130" s="36"/>
      <c r="R130" s="36"/>
      <c r="V130" s="5" t="s">
        <v>5</v>
      </c>
      <c r="W130" s="5" t="s">
        <v>6</v>
      </c>
    </row>
    <row r="131" spans="1:23" s="36" customFormat="1" x14ac:dyDescent="0.3">
      <c r="A131" s="6"/>
      <c r="B131" s="14">
        <v>1</v>
      </c>
      <c r="C131" s="93">
        <v>44319</v>
      </c>
      <c r="D131" s="94" t="s">
        <v>18</v>
      </c>
      <c r="E131" s="94" t="s">
        <v>287</v>
      </c>
      <c r="F131" s="60">
        <v>130</v>
      </c>
      <c r="G131" s="60">
        <v>126</v>
      </c>
      <c r="H131" s="60">
        <v>-2</v>
      </c>
      <c r="I131" s="15">
        <v>300</v>
      </c>
      <c r="J131" s="16">
        <f t="shared" ref="J131:J176" si="9">I131*H131</f>
        <v>-600</v>
      </c>
      <c r="K131" s="7"/>
      <c r="V131" s="5">
        <f t="shared" ref="V131:V176" si="10">IF($J131&gt;0,1,0)</f>
        <v>0</v>
      </c>
      <c r="W131" s="5">
        <f t="shared" ref="W131:W176" si="11">IF($J131&lt;0,1,0)</f>
        <v>1</v>
      </c>
    </row>
    <row r="132" spans="1:23" s="36" customFormat="1" x14ac:dyDescent="0.3">
      <c r="A132" s="6"/>
      <c r="B132" s="17">
        <f>B131+1</f>
        <v>2</v>
      </c>
      <c r="C132" s="18">
        <v>44319</v>
      </c>
      <c r="D132" s="19" t="s">
        <v>18</v>
      </c>
      <c r="E132" s="19" t="s">
        <v>338</v>
      </c>
      <c r="F132" s="35">
        <v>100</v>
      </c>
      <c r="G132" s="35">
        <v>115</v>
      </c>
      <c r="H132" s="35">
        <v>15</v>
      </c>
      <c r="I132" s="20">
        <v>300</v>
      </c>
      <c r="J132" s="21">
        <f t="shared" si="9"/>
        <v>4500</v>
      </c>
      <c r="K132" s="7"/>
      <c r="L132" s="36" t="s">
        <v>21</v>
      </c>
      <c r="V132" s="5">
        <f t="shared" si="10"/>
        <v>1</v>
      </c>
      <c r="W132" s="5">
        <f t="shared" si="11"/>
        <v>0</v>
      </c>
    </row>
    <row r="133" spans="1:23" s="36" customFormat="1" x14ac:dyDescent="0.3">
      <c r="A133" s="6"/>
      <c r="B133" s="17">
        <f t="shared" ref="B133:B153" si="12">B132+1</f>
        <v>3</v>
      </c>
      <c r="C133" s="18">
        <v>44320</v>
      </c>
      <c r="D133" s="19" t="s">
        <v>18</v>
      </c>
      <c r="E133" s="19" t="s">
        <v>206</v>
      </c>
      <c r="F133" s="35">
        <v>95</v>
      </c>
      <c r="G133" s="35">
        <v>116</v>
      </c>
      <c r="H133" s="35">
        <f>116-95</f>
        <v>21</v>
      </c>
      <c r="I133" s="20">
        <v>300</v>
      </c>
      <c r="J133" s="21">
        <f t="shared" si="9"/>
        <v>6300</v>
      </c>
      <c r="K133" s="7"/>
      <c r="V133" s="5">
        <f t="shared" si="10"/>
        <v>1</v>
      </c>
      <c r="W133" s="5">
        <f t="shared" si="11"/>
        <v>0</v>
      </c>
    </row>
    <row r="134" spans="1:23" s="36" customFormat="1" x14ac:dyDescent="0.3">
      <c r="A134" s="6"/>
      <c r="B134" s="17">
        <f t="shared" si="12"/>
        <v>4</v>
      </c>
      <c r="C134" s="18">
        <v>44320</v>
      </c>
      <c r="D134" s="19" t="s">
        <v>18</v>
      </c>
      <c r="E134" s="19" t="s">
        <v>338</v>
      </c>
      <c r="F134" s="35">
        <v>95</v>
      </c>
      <c r="G134" s="35">
        <v>80</v>
      </c>
      <c r="H134" s="35">
        <v>-15</v>
      </c>
      <c r="I134" s="20">
        <v>300</v>
      </c>
      <c r="J134" s="21">
        <f t="shared" si="9"/>
        <v>-4500</v>
      </c>
      <c r="K134" s="7"/>
      <c r="V134" s="5">
        <f t="shared" si="10"/>
        <v>0</v>
      </c>
      <c r="W134" s="5">
        <f t="shared" si="11"/>
        <v>1</v>
      </c>
    </row>
    <row r="135" spans="1:23" s="36" customFormat="1" x14ac:dyDescent="0.3">
      <c r="A135" s="6"/>
      <c r="B135" s="17">
        <f t="shared" si="12"/>
        <v>5</v>
      </c>
      <c r="C135" s="18">
        <v>44321</v>
      </c>
      <c r="D135" s="19" t="s">
        <v>18</v>
      </c>
      <c r="E135" s="19" t="s">
        <v>338</v>
      </c>
      <c r="F135" s="35">
        <v>65</v>
      </c>
      <c r="G135" s="35">
        <v>76</v>
      </c>
      <c r="H135" s="35">
        <f>76-65</f>
        <v>11</v>
      </c>
      <c r="I135" s="20">
        <v>300</v>
      </c>
      <c r="J135" s="21">
        <f t="shared" si="9"/>
        <v>3300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6</v>
      </c>
      <c r="C136" s="18">
        <v>44321</v>
      </c>
      <c r="D136" s="19" t="s">
        <v>18</v>
      </c>
      <c r="E136" s="19" t="s">
        <v>207</v>
      </c>
      <c r="F136" s="20">
        <v>85</v>
      </c>
      <c r="G136" s="35">
        <v>91</v>
      </c>
      <c r="H136" s="35">
        <f>91-85</f>
        <v>6</v>
      </c>
      <c r="I136" s="20">
        <v>300</v>
      </c>
      <c r="J136" s="21">
        <f t="shared" si="9"/>
        <v>1800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7</v>
      </c>
      <c r="C137" s="18">
        <v>44322</v>
      </c>
      <c r="D137" s="19" t="s">
        <v>18</v>
      </c>
      <c r="E137" s="19" t="s">
        <v>207</v>
      </c>
      <c r="F137" s="35">
        <v>80</v>
      </c>
      <c r="G137" s="35">
        <v>65</v>
      </c>
      <c r="H137" s="35">
        <v>-15</v>
      </c>
      <c r="I137" s="20">
        <v>300</v>
      </c>
      <c r="J137" s="21">
        <f t="shared" si="9"/>
        <v>-4500</v>
      </c>
      <c r="K137" s="7"/>
      <c r="V137" s="5">
        <f t="shared" si="10"/>
        <v>0</v>
      </c>
      <c r="W137" s="5">
        <f t="shared" si="11"/>
        <v>1</v>
      </c>
    </row>
    <row r="138" spans="1:23" s="36" customFormat="1" x14ac:dyDescent="0.3">
      <c r="A138" s="6"/>
      <c r="B138" s="17">
        <f t="shared" si="12"/>
        <v>8</v>
      </c>
      <c r="C138" s="18">
        <v>44322</v>
      </c>
      <c r="D138" s="19" t="s">
        <v>18</v>
      </c>
      <c r="E138" s="19" t="s">
        <v>207</v>
      </c>
      <c r="F138" s="35">
        <v>80</v>
      </c>
      <c r="G138" s="35">
        <v>110</v>
      </c>
      <c r="H138" s="35">
        <v>30</v>
      </c>
      <c r="I138" s="20">
        <v>300</v>
      </c>
      <c r="J138" s="21">
        <f t="shared" si="9"/>
        <v>9000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9</v>
      </c>
      <c r="C139" s="18">
        <v>44323</v>
      </c>
      <c r="D139" s="19" t="s">
        <v>18</v>
      </c>
      <c r="E139" s="19" t="s">
        <v>280</v>
      </c>
      <c r="F139" s="35">
        <v>90</v>
      </c>
      <c r="G139" s="35">
        <v>102</v>
      </c>
      <c r="H139" s="35">
        <f>102-90</f>
        <v>12</v>
      </c>
      <c r="I139" s="20">
        <v>300</v>
      </c>
      <c r="J139" s="21">
        <f t="shared" si="9"/>
        <v>3600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10</v>
      </c>
      <c r="C140" s="18">
        <v>44323</v>
      </c>
      <c r="D140" s="19" t="s">
        <v>18</v>
      </c>
      <c r="E140" s="19" t="s">
        <v>318</v>
      </c>
      <c r="F140" s="35">
        <v>75</v>
      </c>
      <c r="G140" s="35">
        <v>85.5</v>
      </c>
      <c r="H140" s="35">
        <v>10.5</v>
      </c>
      <c r="I140" s="20">
        <v>300</v>
      </c>
      <c r="J140" s="21">
        <f t="shared" si="9"/>
        <v>3150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11</v>
      </c>
      <c r="C141" s="18">
        <v>44326</v>
      </c>
      <c r="D141" s="19" t="s">
        <v>18</v>
      </c>
      <c r="E141" s="19" t="s">
        <v>313</v>
      </c>
      <c r="F141" s="19">
        <v>95</v>
      </c>
      <c r="G141" s="35">
        <v>80</v>
      </c>
      <c r="H141" s="35">
        <v>-15</v>
      </c>
      <c r="I141" s="20">
        <v>300</v>
      </c>
      <c r="J141" s="21">
        <f t="shared" si="9"/>
        <v>-4500</v>
      </c>
      <c r="K141" s="7"/>
      <c r="V141" s="5">
        <f t="shared" si="10"/>
        <v>0</v>
      </c>
      <c r="W141" s="5">
        <f t="shared" si="11"/>
        <v>1</v>
      </c>
    </row>
    <row r="142" spans="1:23" s="36" customFormat="1" x14ac:dyDescent="0.3">
      <c r="A142" s="6"/>
      <c r="B142" s="17">
        <f t="shared" si="12"/>
        <v>12</v>
      </c>
      <c r="C142" s="18">
        <v>44327</v>
      </c>
      <c r="D142" s="19" t="s">
        <v>18</v>
      </c>
      <c r="E142" s="19" t="s">
        <v>313</v>
      </c>
      <c r="F142" s="35">
        <v>95</v>
      </c>
      <c r="G142" s="35">
        <v>125</v>
      </c>
      <c r="H142" s="35">
        <v>30</v>
      </c>
      <c r="I142" s="20">
        <v>300</v>
      </c>
      <c r="J142" s="21">
        <f t="shared" si="9"/>
        <v>9000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13</v>
      </c>
      <c r="C143" s="18">
        <v>44328</v>
      </c>
      <c r="D143" s="19" t="s">
        <v>18</v>
      </c>
      <c r="E143" s="19" t="s">
        <v>245</v>
      </c>
      <c r="F143" s="35">
        <v>80</v>
      </c>
      <c r="G143" s="35">
        <v>109</v>
      </c>
      <c r="H143" s="35">
        <v>29</v>
      </c>
      <c r="I143" s="20">
        <v>300</v>
      </c>
      <c r="J143" s="21">
        <f t="shared" si="9"/>
        <v>8700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14</v>
      </c>
      <c r="C144" s="18">
        <v>44328</v>
      </c>
      <c r="D144" s="19" t="s">
        <v>18</v>
      </c>
      <c r="E144" s="19" t="s">
        <v>245</v>
      </c>
      <c r="F144" s="77">
        <v>65</v>
      </c>
      <c r="G144" s="35">
        <v>70</v>
      </c>
      <c r="H144" s="78">
        <v>5</v>
      </c>
      <c r="I144" s="20">
        <v>300</v>
      </c>
      <c r="J144" s="21">
        <f t="shared" si="9"/>
        <v>1500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15</v>
      </c>
      <c r="C145" s="18">
        <v>44330</v>
      </c>
      <c r="D145" s="19" t="s">
        <v>18</v>
      </c>
      <c r="E145" s="19" t="s">
        <v>244</v>
      </c>
      <c r="F145" s="35">
        <v>95</v>
      </c>
      <c r="G145" s="35">
        <v>80</v>
      </c>
      <c r="H145" s="78">
        <v>-15</v>
      </c>
      <c r="I145" s="20">
        <v>300</v>
      </c>
      <c r="J145" s="21">
        <f t="shared" si="9"/>
        <v>-4500</v>
      </c>
      <c r="K145" s="7"/>
      <c r="V145" s="5">
        <f t="shared" si="10"/>
        <v>0</v>
      </c>
      <c r="W145" s="5">
        <f t="shared" si="11"/>
        <v>1</v>
      </c>
    </row>
    <row r="146" spans="1:23" s="36" customFormat="1" x14ac:dyDescent="0.3">
      <c r="A146" s="6"/>
      <c r="B146" s="17">
        <f t="shared" si="12"/>
        <v>16</v>
      </c>
      <c r="C146" s="18">
        <v>44333</v>
      </c>
      <c r="D146" s="19" t="s">
        <v>18</v>
      </c>
      <c r="E146" s="19" t="s">
        <v>244</v>
      </c>
      <c r="F146" s="35">
        <v>100</v>
      </c>
      <c r="G146" s="35">
        <v>130</v>
      </c>
      <c r="H146" s="78">
        <v>30</v>
      </c>
      <c r="I146" s="20">
        <v>300</v>
      </c>
      <c r="J146" s="21">
        <f t="shared" si="9"/>
        <v>9000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17</v>
      </c>
      <c r="C147" s="18">
        <v>44333</v>
      </c>
      <c r="D147" s="19" t="s">
        <v>18</v>
      </c>
      <c r="E147" s="19" t="s">
        <v>328</v>
      </c>
      <c r="F147" s="35">
        <v>95</v>
      </c>
      <c r="G147" s="35">
        <v>125</v>
      </c>
      <c r="H147" s="35">
        <v>30</v>
      </c>
      <c r="I147" s="20">
        <v>300</v>
      </c>
      <c r="J147" s="21">
        <f t="shared" si="9"/>
        <v>9000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18</v>
      </c>
      <c r="C148" s="18">
        <v>44334</v>
      </c>
      <c r="D148" s="19" t="s">
        <v>18</v>
      </c>
      <c r="E148" s="19" t="s">
        <v>257</v>
      </c>
      <c r="F148" s="35">
        <v>80</v>
      </c>
      <c r="G148" s="35">
        <v>100</v>
      </c>
      <c r="H148" s="35">
        <v>20</v>
      </c>
      <c r="I148" s="20">
        <v>300</v>
      </c>
      <c r="J148" s="21">
        <f t="shared" si="9"/>
        <v>6000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19</v>
      </c>
      <c r="C149" s="18">
        <v>44334</v>
      </c>
      <c r="D149" s="19" t="s">
        <v>18</v>
      </c>
      <c r="E149" s="19" t="s">
        <v>257</v>
      </c>
      <c r="F149" s="35">
        <v>95</v>
      </c>
      <c r="G149" s="35">
        <v>108</v>
      </c>
      <c r="H149" s="35">
        <f>108-95</f>
        <v>13</v>
      </c>
      <c r="I149" s="20">
        <v>300</v>
      </c>
      <c r="J149" s="21">
        <f t="shared" si="9"/>
        <v>3900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20</v>
      </c>
      <c r="C150" s="18">
        <v>44335</v>
      </c>
      <c r="D150" s="19" t="s">
        <v>18</v>
      </c>
      <c r="E150" s="19" t="s">
        <v>257</v>
      </c>
      <c r="F150" s="35">
        <v>85</v>
      </c>
      <c r="G150" s="35">
        <v>91</v>
      </c>
      <c r="H150" s="35">
        <v>6</v>
      </c>
      <c r="I150" s="20">
        <v>300</v>
      </c>
      <c r="J150" s="21">
        <f t="shared" si="9"/>
        <v>1800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21</v>
      </c>
      <c r="C151" s="18">
        <v>44336</v>
      </c>
      <c r="D151" s="19" t="s">
        <v>18</v>
      </c>
      <c r="E151" s="19" t="s">
        <v>256</v>
      </c>
      <c r="F151" s="35">
        <v>70</v>
      </c>
      <c r="G151" s="35">
        <v>100</v>
      </c>
      <c r="H151" s="35">
        <v>30</v>
      </c>
      <c r="I151" s="20">
        <v>300</v>
      </c>
      <c r="J151" s="21">
        <f t="shared" si="9"/>
        <v>9000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22</v>
      </c>
      <c r="C152" s="18">
        <v>44336</v>
      </c>
      <c r="D152" s="19" t="s">
        <v>18</v>
      </c>
      <c r="E152" s="19" t="s">
        <v>256</v>
      </c>
      <c r="F152" s="35">
        <v>70</v>
      </c>
      <c r="G152" s="35">
        <v>100</v>
      </c>
      <c r="H152" s="35">
        <v>30</v>
      </c>
      <c r="I152" s="20">
        <v>300</v>
      </c>
      <c r="J152" s="21">
        <f t="shared" si="9"/>
        <v>9000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23</v>
      </c>
      <c r="C153" s="18">
        <v>44337</v>
      </c>
      <c r="D153" s="19" t="s">
        <v>18</v>
      </c>
      <c r="E153" s="19" t="s">
        <v>246</v>
      </c>
      <c r="F153" s="35">
        <v>85</v>
      </c>
      <c r="G153" s="35">
        <v>115</v>
      </c>
      <c r="H153" s="35">
        <v>30</v>
      </c>
      <c r="I153" s="20">
        <v>300</v>
      </c>
      <c r="J153" s="21">
        <f t="shared" si="9"/>
        <v>9000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>B153+1</f>
        <v>24</v>
      </c>
      <c r="C154" s="18">
        <v>44340</v>
      </c>
      <c r="D154" s="19" t="s">
        <v>18</v>
      </c>
      <c r="E154" s="19" t="s">
        <v>251</v>
      </c>
      <c r="F154" s="35">
        <v>85</v>
      </c>
      <c r="G154" s="35">
        <v>100</v>
      </c>
      <c r="H154" s="35">
        <v>15</v>
      </c>
      <c r="I154" s="20">
        <v>300</v>
      </c>
      <c r="J154" s="21">
        <f t="shared" si="9"/>
        <v>4500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ref="B155:B176" si="13">B154+1</f>
        <v>25</v>
      </c>
      <c r="C155" s="18">
        <v>44340</v>
      </c>
      <c r="D155" s="19" t="s">
        <v>18</v>
      </c>
      <c r="E155" s="19" t="s">
        <v>251</v>
      </c>
      <c r="F155" s="35">
        <v>85</v>
      </c>
      <c r="G155" s="35">
        <v>90</v>
      </c>
      <c r="H155" s="35">
        <v>5</v>
      </c>
      <c r="I155" s="20">
        <v>300</v>
      </c>
      <c r="J155" s="21">
        <f t="shared" si="9"/>
        <v>1500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3"/>
        <v>26</v>
      </c>
      <c r="C156" s="18">
        <v>44341</v>
      </c>
      <c r="D156" s="19" t="s">
        <v>18</v>
      </c>
      <c r="E156" s="19" t="s">
        <v>296</v>
      </c>
      <c r="F156" s="35">
        <v>90</v>
      </c>
      <c r="G156" s="35">
        <v>120</v>
      </c>
      <c r="H156" s="35">
        <v>30</v>
      </c>
      <c r="I156" s="20">
        <v>300</v>
      </c>
      <c r="J156" s="21">
        <f t="shared" si="9"/>
        <v>9000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3"/>
        <v>27</v>
      </c>
      <c r="C157" s="18">
        <v>44341</v>
      </c>
      <c r="D157" s="19" t="s">
        <v>18</v>
      </c>
      <c r="E157" s="19" t="s">
        <v>296</v>
      </c>
      <c r="F157" s="35">
        <v>95</v>
      </c>
      <c r="G157" s="35">
        <v>125</v>
      </c>
      <c r="H157" s="35">
        <v>30</v>
      </c>
      <c r="I157" s="20">
        <v>300</v>
      </c>
      <c r="J157" s="21">
        <f t="shared" si="9"/>
        <v>9000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3"/>
        <v>28</v>
      </c>
      <c r="C158" s="18">
        <v>44342</v>
      </c>
      <c r="D158" s="19" t="s">
        <v>18</v>
      </c>
      <c r="E158" s="19" t="s">
        <v>265</v>
      </c>
      <c r="F158" s="35">
        <v>80</v>
      </c>
      <c r="G158" s="35">
        <v>88.85</v>
      </c>
      <c r="H158" s="35">
        <v>8.85</v>
      </c>
      <c r="I158" s="20">
        <v>300</v>
      </c>
      <c r="J158" s="21">
        <f t="shared" si="9"/>
        <v>2655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3"/>
        <v>29</v>
      </c>
      <c r="C159" s="18">
        <v>44342</v>
      </c>
      <c r="D159" s="19" t="s">
        <v>18</v>
      </c>
      <c r="E159" s="19" t="s">
        <v>251</v>
      </c>
      <c r="F159" s="35">
        <v>90</v>
      </c>
      <c r="G159" s="35">
        <v>100</v>
      </c>
      <c r="H159" s="35">
        <v>10</v>
      </c>
      <c r="I159" s="20">
        <v>300</v>
      </c>
      <c r="J159" s="21">
        <f t="shared" si="9"/>
        <v>3000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 t="shared" si="13"/>
        <v>30</v>
      </c>
      <c r="C160" s="18">
        <v>44343</v>
      </c>
      <c r="D160" s="19" t="s">
        <v>18</v>
      </c>
      <c r="E160" s="19" t="s">
        <v>378</v>
      </c>
      <c r="F160" s="35">
        <v>60</v>
      </c>
      <c r="G160" s="35">
        <v>67.2</v>
      </c>
      <c r="H160" s="35">
        <v>7.2</v>
      </c>
      <c r="I160" s="20">
        <v>300</v>
      </c>
      <c r="J160" s="21">
        <f t="shared" si="9"/>
        <v>2160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si="13"/>
        <v>31</v>
      </c>
      <c r="C161" s="18">
        <v>44344</v>
      </c>
      <c r="D161" s="19" t="s">
        <v>18</v>
      </c>
      <c r="E161" s="19" t="s">
        <v>379</v>
      </c>
      <c r="F161" s="35">
        <v>80</v>
      </c>
      <c r="G161" s="35">
        <v>91</v>
      </c>
      <c r="H161" s="35">
        <v>11</v>
      </c>
      <c r="I161" s="20">
        <v>300</v>
      </c>
      <c r="J161" s="21">
        <f t="shared" si="9"/>
        <v>3300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32</v>
      </c>
      <c r="C162" s="18">
        <v>44347</v>
      </c>
      <c r="D162" s="19" t="s">
        <v>18</v>
      </c>
      <c r="E162" s="19" t="s">
        <v>379</v>
      </c>
      <c r="F162" s="35">
        <v>85</v>
      </c>
      <c r="G162" s="35">
        <v>115</v>
      </c>
      <c r="H162" s="35">
        <f>115-85</f>
        <v>30</v>
      </c>
      <c r="I162" s="20">
        <v>300</v>
      </c>
      <c r="J162" s="21">
        <f t="shared" si="9"/>
        <v>9000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33</v>
      </c>
      <c r="C163" s="18">
        <v>44347</v>
      </c>
      <c r="D163" s="19" t="s">
        <v>18</v>
      </c>
      <c r="E163" s="19" t="s">
        <v>380</v>
      </c>
      <c r="F163" s="35">
        <v>80</v>
      </c>
      <c r="G163" s="35">
        <v>95</v>
      </c>
      <c r="H163" s="35">
        <v>15</v>
      </c>
      <c r="I163" s="20">
        <v>300</v>
      </c>
      <c r="J163" s="21">
        <f t="shared" si="9"/>
        <v>4500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34</v>
      </c>
      <c r="C164" s="18"/>
      <c r="D164" s="19"/>
      <c r="E164" s="19"/>
      <c r="F164" s="35"/>
      <c r="G164" s="35"/>
      <c r="H164" s="35"/>
      <c r="I164" s="20"/>
      <c r="J164" s="21">
        <f t="shared" si="9"/>
        <v>0</v>
      </c>
      <c r="K164" s="7"/>
      <c r="V164" s="5">
        <f t="shared" si="10"/>
        <v>0</v>
      </c>
      <c r="W164" s="5">
        <f t="shared" si="11"/>
        <v>0</v>
      </c>
    </row>
    <row r="165" spans="1:23" s="36" customFormat="1" x14ac:dyDescent="0.3">
      <c r="A165" s="6"/>
      <c r="B165" s="17">
        <f t="shared" si="13"/>
        <v>35</v>
      </c>
      <c r="C165" s="18"/>
      <c r="D165" s="19"/>
      <c r="E165" s="19"/>
      <c r="F165" s="35"/>
      <c r="G165" s="35"/>
      <c r="H165" s="35"/>
      <c r="I165" s="20"/>
      <c r="J165" s="21">
        <f t="shared" si="9"/>
        <v>0</v>
      </c>
      <c r="K165" s="7"/>
      <c r="V165" s="5">
        <f t="shared" si="10"/>
        <v>0</v>
      </c>
      <c r="W165" s="5">
        <f t="shared" si="11"/>
        <v>0</v>
      </c>
    </row>
    <row r="166" spans="1:23" s="36" customFormat="1" hidden="1" x14ac:dyDescent="0.3">
      <c r="A166" s="6"/>
      <c r="B166" s="17">
        <f t="shared" si="13"/>
        <v>36</v>
      </c>
      <c r="C166" s="18"/>
      <c r="D166" s="19"/>
      <c r="E166" s="19"/>
      <c r="F166" s="35"/>
      <c r="G166" s="35"/>
      <c r="H166" s="35"/>
      <c r="I166" s="20"/>
      <c r="J166" s="21">
        <f t="shared" si="9"/>
        <v>0</v>
      </c>
      <c r="K166" s="7"/>
      <c r="V166" s="5">
        <f t="shared" si="10"/>
        <v>0</v>
      </c>
      <c r="W166" s="5">
        <f t="shared" si="11"/>
        <v>0</v>
      </c>
    </row>
    <row r="167" spans="1:23" s="36" customFormat="1" hidden="1" x14ac:dyDescent="0.3">
      <c r="A167" s="6"/>
      <c r="B167" s="17">
        <f t="shared" si="13"/>
        <v>37</v>
      </c>
      <c r="C167" s="18"/>
      <c r="D167" s="19"/>
      <c r="E167" s="19"/>
      <c r="F167" s="35"/>
      <c r="G167" s="35"/>
      <c r="H167" s="35"/>
      <c r="I167" s="20"/>
      <c r="J167" s="21">
        <f t="shared" si="9"/>
        <v>0</v>
      </c>
      <c r="K167" s="7"/>
      <c r="V167" s="5">
        <f t="shared" si="10"/>
        <v>0</v>
      </c>
      <c r="W167" s="5">
        <f t="shared" si="11"/>
        <v>0</v>
      </c>
    </row>
    <row r="168" spans="1:23" s="36" customFormat="1" hidden="1" x14ac:dyDescent="0.3">
      <c r="A168" s="6"/>
      <c r="B168" s="17">
        <f t="shared" si="13"/>
        <v>38</v>
      </c>
      <c r="C168" s="18"/>
      <c r="D168" s="19"/>
      <c r="E168" s="19"/>
      <c r="F168" s="35"/>
      <c r="G168" s="35"/>
      <c r="H168" s="35"/>
      <c r="I168" s="20"/>
      <c r="J168" s="21">
        <f t="shared" si="9"/>
        <v>0</v>
      </c>
      <c r="K168" s="7"/>
      <c r="V168" s="5">
        <f t="shared" si="10"/>
        <v>0</v>
      </c>
      <c r="W168" s="5">
        <f t="shared" si="11"/>
        <v>0</v>
      </c>
    </row>
    <row r="169" spans="1:23" s="36" customFormat="1" hidden="1" x14ac:dyDescent="0.3">
      <c r="A169" s="6"/>
      <c r="B169" s="17">
        <f t="shared" si="13"/>
        <v>39</v>
      </c>
      <c r="C169" s="18"/>
      <c r="D169" s="19"/>
      <c r="E169" s="19"/>
      <c r="F169" s="35"/>
      <c r="G169" s="35"/>
      <c r="H169" s="35"/>
      <c r="I169" s="20"/>
      <c r="J169" s="21">
        <f t="shared" si="9"/>
        <v>0</v>
      </c>
      <c r="K169" s="7"/>
      <c r="V169" s="5">
        <f t="shared" si="10"/>
        <v>0</v>
      </c>
      <c r="W169" s="5">
        <f t="shared" si="11"/>
        <v>0</v>
      </c>
    </row>
    <row r="170" spans="1:23" s="36" customFormat="1" hidden="1" x14ac:dyDescent="0.3">
      <c r="A170" s="6"/>
      <c r="B170" s="17">
        <f t="shared" si="13"/>
        <v>40</v>
      </c>
      <c r="C170" s="18"/>
      <c r="D170" s="19"/>
      <c r="E170" s="19"/>
      <c r="F170" s="35"/>
      <c r="G170" s="35"/>
      <c r="H170" s="35"/>
      <c r="I170" s="20"/>
      <c r="J170" s="21">
        <f t="shared" si="9"/>
        <v>0</v>
      </c>
      <c r="K170" s="7"/>
      <c r="V170" s="5">
        <f t="shared" si="10"/>
        <v>0</v>
      </c>
      <c r="W170" s="5">
        <f t="shared" si="11"/>
        <v>0</v>
      </c>
    </row>
    <row r="171" spans="1:23" s="36" customFormat="1" hidden="1" x14ac:dyDescent="0.3">
      <c r="A171" s="6"/>
      <c r="B171" s="17">
        <f t="shared" si="13"/>
        <v>41</v>
      </c>
      <c r="C171" s="18"/>
      <c r="D171" s="19"/>
      <c r="E171" s="19"/>
      <c r="F171" s="35"/>
      <c r="G171" s="35"/>
      <c r="H171" s="35"/>
      <c r="I171" s="20"/>
      <c r="J171" s="21">
        <f t="shared" si="9"/>
        <v>0</v>
      </c>
      <c r="K171" s="7"/>
      <c r="V171" s="5">
        <f t="shared" si="10"/>
        <v>0</v>
      </c>
      <c r="W171" s="5">
        <f t="shared" si="11"/>
        <v>0</v>
      </c>
    </row>
    <row r="172" spans="1:23" s="36" customFormat="1" hidden="1" x14ac:dyDescent="0.3">
      <c r="A172" s="6"/>
      <c r="B172" s="17">
        <f t="shared" si="13"/>
        <v>42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hidden="1" x14ac:dyDescent="0.3">
      <c r="A173" s="6"/>
      <c r="B173" s="17">
        <f t="shared" si="13"/>
        <v>43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hidden="1" x14ac:dyDescent="0.3">
      <c r="A174" s="6"/>
      <c r="B174" s="17">
        <f t="shared" si="13"/>
        <v>44</v>
      </c>
      <c r="C174" s="18"/>
      <c r="D174" s="19"/>
      <c r="E174" s="19"/>
      <c r="F174" s="35"/>
      <c r="G174" s="35"/>
      <c r="H174" s="35"/>
      <c r="I174" s="20"/>
      <c r="J174" s="21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hidden="1" x14ac:dyDescent="0.3">
      <c r="A175" s="6"/>
      <c r="B175" s="17">
        <f t="shared" si="13"/>
        <v>45</v>
      </c>
      <c r="C175" s="18"/>
      <c r="D175" s="19"/>
      <c r="E175" s="19"/>
      <c r="F175" s="35"/>
      <c r="G175" s="35"/>
      <c r="H175" s="35"/>
      <c r="I175" s="20"/>
      <c r="J175" s="21">
        <f t="shared" si="9"/>
        <v>0</v>
      </c>
      <c r="K175" s="7"/>
      <c r="V175" s="5">
        <f t="shared" si="10"/>
        <v>0</v>
      </c>
      <c r="W175" s="5">
        <f t="shared" si="11"/>
        <v>0</v>
      </c>
    </row>
    <row r="176" spans="1:23" s="36" customFormat="1" ht="15" hidden="1" thickBot="1" x14ac:dyDescent="0.35">
      <c r="A176" s="6"/>
      <c r="B176" s="95">
        <f t="shared" si="13"/>
        <v>46</v>
      </c>
      <c r="C176" s="79"/>
      <c r="D176" s="80"/>
      <c r="E176" s="80"/>
      <c r="F176" s="96"/>
      <c r="G176" s="96"/>
      <c r="H176" s="96"/>
      <c r="I176" s="81"/>
      <c r="J176" s="82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ht="24" thickBot="1" x14ac:dyDescent="0.5">
      <c r="A177" s="6"/>
      <c r="B177" s="165" t="s">
        <v>22</v>
      </c>
      <c r="C177" s="166"/>
      <c r="D177" s="166"/>
      <c r="E177" s="166"/>
      <c r="F177" s="166"/>
      <c r="G177" s="166"/>
      <c r="H177" s="167"/>
      <c r="I177" s="83" t="s">
        <v>23</v>
      </c>
      <c r="J177" s="84">
        <f>SUM(J131:J176)</f>
        <v>137565</v>
      </c>
      <c r="K177" s="7"/>
      <c r="L177" s="5"/>
      <c r="M177" s="5"/>
      <c r="N177" s="5"/>
      <c r="O177" s="5"/>
      <c r="P177" s="5"/>
      <c r="Q177" s="5"/>
      <c r="R177" s="5"/>
      <c r="V177" s="36">
        <f>SUM(V131:V176)</f>
        <v>28</v>
      </c>
      <c r="W177" s="36">
        <f>SUM(W131:W176)</f>
        <v>5</v>
      </c>
    </row>
    <row r="178" spans="1:23" s="36" customFormat="1" ht="30" customHeight="1" thickBot="1" x14ac:dyDescent="0.35">
      <c r="A178" s="30"/>
      <c r="B178" s="31"/>
      <c r="C178" s="31"/>
      <c r="D178" s="31"/>
      <c r="E178" s="31"/>
      <c r="F178" s="31"/>
      <c r="G178" s="31"/>
      <c r="H178" s="32"/>
      <c r="I178" s="31"/>
      <c r="J178" s="32"/>
      <c r="K178" s="33"/>
      <c r="L178" s="5"/>
      <c r="M178" s="5"/>
      <c r="N178" s="5"/>
      <c r="O178" s="5"/>
      <c r="P178" s="5"/>
      <c r="Q178" s="5"/>
      <c r="R178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3:J63"/>
    <mergeCell ref="M10:M11"/>
    <mergeCell ref="N10:N11"/>
    <mergeCell ref="O10:O11"/>
    <mergeCell ref="P10:P11"/>
    <mergeCell ref="M12:O14"/>
    <mergeCell ref="P12:R14"/>
    <mergeCell ref="B57:H57"/>
    <mergeCell ref="B61:J61"/>
    <mergeCell ref="B62:J62"/>
    <mergeCell ref="Q10:Q11"/>
    <mergeCell ref="R10:R11"/>
    <mergeCell ref="B123:H123"/>
    <mergeCell ref="B127:J127"/>
    <mergeCell ref="B128:J128"/>
    <mergeCell ref="B129:J129"/>
    <mergeCell ref="B177:H177"/>
  </mergeCells>
  <hyperlinks>
    <hyperlink ref="B57" r:id="rId1" xr:uid="{00000000-0004-0000-0A00-000000000000}"/>
    <hyperlink ref="B123" r:id="rId2" xr:uid="{00000000-0004-0000-0A00-000001000000}"/>
    <hyperlink ref="B177" r:id="rId3" xr:uid="{00000000-0004-0000-0A00-000002000000}"/>
    <hyperlink ref="M1" location="MASTER!A1" display="Back" xr:uid="{00000000-0004-0000-0A00-000003000000}"/>
  </hyperlinks>
  <pageMargins left="0" right="0" top="0" bottom="0" header="0" footer="0"/>
  <pageSetup paperSize="9" orientation="portrait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180"/>
  <sheetViews>
    <sheetView workbookViewId="0"/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44348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95" t="s">
        <v>107</v>
      </c>
      <c r="N4" s="111">
        <f>COUNT(C6:C58)</f>
        <v>40</v>
      </c>
      <c r="O4" s="113">
        <f>V59</f>
        <v>33</v>
      </c>
      <c r="P4" s="113">
        <f>W59</f>
        <v>7</v>
      </c>
      <c r="Q4" s="197">
        <f>N4-O4-P4</f>
        <v>0</v>
      </c>
      <c r="R4" s="199">
        <f>O4/N4</f>
        <v>0.82499999999999996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96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44348</v>
      </c>
      <c r="D6" s="90" t="s">
        <v>18</v>
      </c>
      <c r="E6" s="90" t="s">
        <v>383</v>
      </c>
      <c r="F6" s="90">
        <v>140</v>
      </c>
      <c r="G6" s="90">
        <v>90</v>
      </c>
      <c r="H6" s="91">
        <v>-50</v>
      </c>
      <c r="I6" s="90">
        <v>100</v>
      </c>
      <c r="J6" s="92">
        <f t="shared" ref="J6:J58" si="0">H6*I6</f>
        <v>-5000</v>
      </c>
      <c r="K6" s="7"/>
      <c r="M6" s="213" t="s">
        <v>108</v>
      </c>
      <c r="N6" s="112">
        <f>COUNT(C67:C124)</f>
        <v>41</v>
      </c>
      <c r="O6" s="114">
        <f>V125</f>
        <v>28</v>
      </c>
      <c r="P6" s="114">
        <f>W125</f>
        <v>9</v>
      </c>
      <c r="Q6" s="198">
        <f>N6-O6-P6</f>
        <v>4</v>
      </c>
      <c r="R6" s="203">
        <f t="shared" ref="R6" si="1">O6/N6</f>
        <v>0.68292682926829273</v>
      </c>
      <c r="V6" s="5">
        <f t="shared" ref="V6:V58" si="2">IF($J6&gt;0,1,0)</f>
        <v>0</v>
      </c>
      <c r="W6" s="5">
        <f t="shared" ref="W6:W58" si="3">IF($J6&lt;0,1,0)</f>
        <v>1</v>
      </c>
    </row>
    <row r="7" spans="1:23" x14ac:dyDescent="0.3">
      <c r="A7" s="6"/>
      <c r="B7" s="17">
        <v>2</v>
      </c>
      <c r="C7" s="85">
        <v>44348</v>
      </c>
      <c r="D7" s="86" t="s">
        <v>18</v>
      </c>
      <c r="E7" s="86" t="s">
        <v>384</v>
      </c>
      <c r="F7" s="86">
        <v>140</v>
      </c>
      <c r="G7" s="86">
        <v>170</v>
      </c>
      <c r="H7" s="87">
        <v>30</v>
      </c>
      <c r="I7" s="86">
        <v>100</v>
      </c>
      <c r="J7" s="21">
        <f t="shared" si="0"/>
        <v>3000</v>
      </c>
      <c r="K7" s="7"/>
      <c r="M7" s="213"/>
      <c r="N7" s="112"/>
      <c r="O7" s="114"/>
      <c r="P7" s="114"/>
      <c r="Q7" s="198"/>
      <c r="R7" s="200"/>
      <c r="V7" s="5">
        <f t="shared" si="2"/>
        <v>1</v>
      </c>
      <c r="W7" s="5">
        <f t="shared" si="3"/>
        <v>0</v>
      </c>
    </row>
    <row r="8" spans="1:23" x14ac:dyDescent="0.3">
      <c r="A8" s="6"/>
      <c r="B8" s="88">
        <v>3</v>
      </c>
      <c r="C8" s="85">
        <v>44349</v>
      </c>
      <c r="D8" s="86" t="s">
        <v>18</v>
      </c>
      <c r="E8" s="86" t="s">
        <v>387</v>
      </c>
      <c r="F8" s="86">
        <v>130</v>
      </c>
      <c r="G8" s="86">
        <v>80</v>
      </c>
      <c r="H8" s="87">
        <v>-50</v>
      </c>
      <c r="I8" s="86">
        <v>100</v>
      </c>
      <c r="J8" s="21">
        <f t="shared" si="0"/>
        <v>-5000</v>
      </c>
      <c r="K8" s="7"/>
      <c r="M8" s="205" t="s">
        <v>194</v>
      </c>
      <c r="N8" s="112">
        <f>COUNT(C133:C178)</f>
        <v>39</v>
      </c>
      <c r="O8" s="114">
        <f>V179</f>
        <v>34</v>
      </c>
      <c r="P8" s="114">
        <f>W179</f>
        <v>5</v>
      </c>
      <c r="Q8" s="198">
        <f>N8-O8-P8</f>
        <v>0</v>
      </c>
      <c r="R8" s="203">
        <f t="shared" ref="R8:R10" si="4">O8/N8</f>
        <v>0.87179487179487181</v>
      </c>
      <c r="V8" s="5">
        <f t="shared" si="2"/>
        <v>0</v>
      </c>
      <c r="W8" s="5">
        <f t="shared" si="3"/>
        <v>1</v>
      </c>
    </row>
    <row r="9" spans="1:23" ht="15" thickBot="1" x14ac:dyDescent="0.35">
      <c r="A9" s="6"/>
      <c r="B9" s="17">
        <v>4</v>
      </c>
      <c r="C9" s="85">
        <v>44349</v>
      </c>
      <c r="D9" s="86" t="s">
        <v>18</v>
      </c>
      <c r="E9" s="86" t="s">
        <v>276</v>
      </c>
      <c r="F9" s="86">
        <v>130</v>
      </c>
      <c r="G9" s="86">
        <v>80</v>
      </c>
      <c r="H9" s="87">
        <v>-50</v>
      </c>
      <c r="I9" s="86">
        <v>100</v>
      </c>
      <c r="J9" s="21">
        <f t="shared" si="0"/>
        <v>-5000</v>
      </c>
      <c r="K9" s="7"/>
      <c r="M9" s="206"/>
      <c r="N9" s="184"/>
      <c r="O9" s="172"/>
      <c r="P9" s="172"/>
      <c r="Q9" s="174"/>
      <c r="R9" s="204"/>
      <c r="V9" s="5">
        <f t="shared" si="2"/>
        <v>0</v>
      </c>
      <c r="W9" s="5">
        <f t="shared" si="3"/>
        <v>1</v>
      </c>
    </row>
    <row r="10" spans="1:23" ht="16.5" customHeight="1" x14ac:dyDescent="0.3">
      <c r="A10" s="6"/>
      <c r="B10" s="88">
        <v>5</v>
      </c>
      <c r="C10" s="85">
        <v>44350</v>
      </c>
      <c r="D10" s="86" t="s">
        <v>18</v>
      </c>
      <c r="E10" s="86" t="s">
        <v>370</v>
      </c>
      <c r="F10" s="86">
        <v>90</v>
      </c>
      <c r="G10" s="86">
        <v>168</v>
      </c>
      <c r="H10" s="87">
        <f>168-90</f>
        <v>78</v>
      </c>
      <c r="I10" s="86">
        <v>100</v>
      </c>
      <c r="J10" s="21">
        <f t="shared" si="0"/>
        <v>7800</v>
      </c>
      <c r="K10" s="7"/>
      <c r="M10" s="207" t="s">
        <v>19</v>
      </c>
      <c r="N10" s="149">
        <f>SUM(N4:N9)</f>
        <v>120</v>
      </c>
      <c r="O10" s="209">
        <f>SUM(O4:O9)</f>
        <v>95</v>
      </c>
      <c r="P10" s="209">
        <f>SUM(P4:P9)</f>
        <v>21</v>
      </c>
      <c r="Q10" s="211">
        <f>SUM(Q4:Q9)</f>
        <v>4</v>
      </c>
      <c r="R10" s="199">
        <f t="shared" si="4"/>
        <v>0.79166666666666663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44350</v>
      </c>
      <c r="D11" s="86" t="s">
        <v>18</v>
      </c>
      <c r="E11" s="86" t="s">
        <v>370</v>
      </c>
      <c r="F11" s="86">
        <v>50</v>
      </c>
      <c r="G11" s="86">
        <v>85</v>
      </c>
      <c r="H11" s="87">
        <f>85-50</f>
        <v>35</v>
      </c>
      <c r="I11" s="86">
        <v>100</v>
      </c>
      <c r="J11" s="21">
        <f t="shared" si="0"/>
        <v>3500</v>
      </c>
      <c r="K11" s="7"/>
      <c r="M11" s="208"/>
      <c r="N11" s="150"/>
      <c r="O11" s="210"/>
      <c r="P11" s="210"/>
      <c r="Q11" s="212"/>
      <c r="R11" s="204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44351</v>
      </c>
      <c r="D12" s="86" t="s">
        <v>18</v>
      </c>
      <c r="E12" s="86" t="s">
        <v>275</v>
      </c>
      <c r="F12" s="86">
        <v>140</v>
      </c>
      <c r="G12" s="86">
        <v>155</v>
      </c>
      <c r="H12" s="87">
        <v>15</v>
      </c>
      <c r="I12" s="86">
        <v>100</v>
      </c>
      <c r="J12" s="21">
        <f t="shared" si="0"/>
        <v>1500</v>
      </c>
      <c r="K12" s="7"/>
      <c r="M12" s="126" t="s">
        <v>20</v>
      </c>
      <c r="N12" s="130"/>
      <c r="O12" s="131"/>
      <c r="P12" s="138">
        <f>R10</f>
        <v>0.79166666666666663</v>
      </c>
      <c r="Q12" s="139"/>
      <c r="R12" s="137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44351</v>
      </c>
      <c r="D13" s="86" t="s">
        <v>18</v>
      </c>
      <c r="E13" s="86" t="s">
        <v>284</v>
      </c>
      <c r="F13" s="86">
        <v>140</v>
      </c>
      <c r="G13" s="86">
        <v>201</v>
      </c>
      <c r="H13" s="87">
        <f>201-140</f>
        <v>61</v>
      </c>
      <c r="I13" s="86">
        <v>100</v>
      </c>
      <c r="J13" s="21">
        <f t="shared" si="0"/>
        <v>6100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44354</v>
      </c>
      <c r="D14" s="86" t="s">
        <v>18</v>
      </c>
      <c r="E14" s="86" t="s">
        <v>273</v>
      </c>
      <c r="F14" s="86">
        <v>140</v>
      </c>
      <c r="G14" s="86">
        <v>162</v>
      </c>
      <c r="H14" s="87">
        <v>22</v>
      </c>
      <c r="I14" s="86">
        <v>100</v>
      </c>
      <c r="J14" s="21">
        <f t="shared" si="0"/>
        <v>2200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44354</v>
      </c>
      <c r="D15" s="86" t="s">
        <v>18</v>
      </c>
      <c r="E15" s="86" t="s">
        <v>388</v>
      </c>
      <c r="F15" s="86">
        <v>140</v>
      </c>
      <c r="G15" s="86">
        <v>170</v>
      </c>
      <c r="H15" s="87">
        <v>30</v>
      </c>
      <c r="I15" s="86">
        <v>100</v>
      </c>
      <c r="J15" s="21">
        <f t="shared" si="0"/>
        <v>3000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18">
        <v>44356</v>
      </c>
      <c r="D16" s="19" t="s">
        <v>18</v>
      </c>
      <c r="E16" s="19" t="s">
        <v>391</v>
      </c>
      <c r="F16" s="35">
        <v>100</v>
      </c>
      <c r="G16" s="35">
        <v>115</v>
      </c>
      <c r="H16" s="35">
        <v>15</v>
      </c>
      <c r="I16" s="20">
        <v>100</v>
      </c>
      <c r="J16" s="21">
        <f t="shared" si="0"/>
        <v>1500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18">
        <v>44356</v>
      </c>
      <c r="D17" s="19" t="s">
        <v>18</v>
      </c>
      <c r="E17" s="19" t="s">
        <v>392</v>
      </c>
      <c r="F17" s="35">
        <v>150</v>
      </c>
      <c r="G17" s="35">
        <v>200</v>
      </c>
      <c r="H17" s="35">
        <v>50</v>
      </c>
      <c r="I17" s="20">
        <v>100</v>
      </c>
      <c r="J17" s="21">
        <f t="shared" si="0"/>
        <v>5000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18">
        <v>44357</v>
      </c>
      <c r="D18" s="19" t="s">
        <v>18</v>
      </c>
      <c r="E18" s="19" t="s">
        <v>239</v>
      </c>
      <c r="F18" s="35">
        <v>110</v>
      </c>
      <c r="G18" s="35">
        <v>190</v>
      </c>
      <c r="H18" s="35">
        <v>80</v>
      </c>
      <c r="I18" s="20">
        <v>100</v>
      </c>
      <c r="J18" s="21">
        <f t="shared" si="0"/>
        <v>8000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18">
        <v>44357</v>
      </c>
      <c r="D19" s="19" t="s">
        <v>18</v>
      </c>
      <c r="E19" s="19" t="s">
        <v>369</v>
      </c>
      <c r="F19" s="35">
        <v>100</v>
      </c>
      <c r="G19" s="35">
        <v>200</v>
      </c>
      <c r="H19" s="35">
        <v>100</v>
      </c>
      <c r="I19" s="20">
        <v>100</v>
      </c>
      <c r="J19" s="21">
        <f t="shared" si="0"/>
        <v>10000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18">
        <v>44358</v>
      </c>
      <c r="D20" s="19" t="s">
        <v>18</v>
      </c>
      <c r="E20" s="19" t="s">
        <v>273</v>
      </c>
      <c r="F20" s="35">
        <v>130</v>
      </c>
      <c r="G20" s="35">
        <v>145</v>
      </c>
      <c r="H20" s="78">
        <v>15</v>
      </c>
      <c r="I20" s="20">
        <v>100</v>
      </c>
      <c r="J20" s="21">
        <f t="shared" si="0"/>
        <v>1500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18">
        <v>44358</v>
      </c>
      <c r="D21" s="19" t="s">
        <v>18</v>
      </c>
      <c r="E21" s="19" t="s">
        <v>278</v>
      </c>
      <c r="F21" s="35">
        <v>130</v>
      </c>
      <c r="G21" s="35">
        <v>115</v>
      </c>
      <c r="H21" s="35">
        <v>15</v>
      </c>
      <c r="I21" s="20">
        <v>100</v>
      </c>
      <c r="J21" s="21">
        <f t="shared" si="0"/>
        <v>1500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44361</v>
      </c>
      <c r="D22" s="19" t="s">
        <v>18</v>
      </c>
      <c r="E22" s="19" t="s">
        <v>306</v>
      </c>
      <c r="F22" s="35">
        <v>150</v>
      </c>
      <c r="G22" s="35">
        <v>250</v>
      </c>
      <c r="H22" s="35">
        <v>100</v>
      </c>
      <c r="I22" s="20">
        <v>100</v>
      </c>
      <c r="J22" s="21">
        <f t="shared" si="0"/>
        <v>10000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44361</v>
      </c>
      <c r="D23" s="19" t="s">
        <v>18</v>
      </c>
      <c r="E23" s="19" t="s">
        <v>393</v>
      </c>
      <c r="F23" s="35">
        <v>130</v>
      </c>
      <c r="G23" s="35">
        <v>162</v>
      </c>
      <c r="H23" s="35">
        <v>32</v>
      </c>
      <c r="I23" s="20">
        <v>100</v>
      </c>
      <c r="J23" s="21">
        <f t="shared" si="0"/>
        <v>3200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44362</v>
      </c>
      <c r="D24" s="19" t="s">
        <v>18</v>
      </c>
      <c r="E24" s="19" t="s">
        <v>394</v>
      </c>
      <c r="F24" s="35">
        <v>130</v>
      </c>
      <c r="G24" s="35">
        <v>165</v>
      </c>
      <c r="H24" s="35">
        <v>35</v>
      </c>
      <c r="I24" s="20">
        <v>100</v>
      </c>
      <c r="J24" s="21">
        <f t="shared" si="0"/>
        <v>3500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44362</v>
      </c>
      <c r="D25" s="19" t="s">
        <v>18</v>
      </c>
      <c r="E25" s="19" t="s">
        <v>276</v>
      </c>
      <c r="F25" s="35">
        <v>150</v>
      </c>
      <c r="G25" s="35">
        <v>125</v>
      </c>
      <c r="H25" s="35">
        <v>-25</v>
      </c>
      <c r="I25" s="20">
        <v>100</v>
      </c>
      <c r="J25" s="21">
        <f t="shared" si="0"/>
        <v>-2500</v>
      </c>
      <c r="K25" s="7"/>
      <c r="V25" s="5">
        <f t="shared" si="2"/>
        <v>0</v>
      </c>
      <c r="W25" s="5">
        <f t="shared" si="3"/>
        <v>1</v>
      </c>
    </row>
    <row r="26" spans="1:23" x14ac:dyDescent="0.3">
      <c r="A26" s="6"/>
      <c r="B26" s="88">
        <v>21</v>
      </c>
      <c r="C26" s="18">
        <v>44363</v>
      </c>
      <c r="D26" s="19" t="s">
        <v>18</v>
      </c>
      <c r="E26" s="19" t="s">
        <v>393</v>
      </c>
      <c r="F26" s="35">
        <v>130</v>
      </c>
      <c r="G26" s="35">
        <v>80</v>
      </c>
      <c r="H26" s="35">
        <v>-50</v>
      </c>
      <c r="I26" s="20">
        <v>100</v>
      </c>
      <c r="J26" s="21">
        <f t="shared" si="0"/>
        <v>-5000</v>
      </c>
      <c r="K26" s="7"/>
      <c r="V26" s="5">
        <f t="shared" si="2"/>
        <v>0</v>
      </c>
      <c r="W26" s="5">
        <f t="shared" si="3"/>
        <v>1</v>
      </c>
    </row>
    <row r="27" spans="1:23" x14ac:dyDescent="0.3">
      <c r="A27" s="6"/>
      <c r="B27" s="17">
        <v>22</v>
      </c>
      <c r="C27" s="18">
        <v>44364</v>
      </c>
      <c r="D27" s="19" t="s">
        <v>18</v>
      </c>
      <c r="E27" s="19" t="s">
        <v>395</v>
      </c>
      <c r="F27" s="35">
        <v>130</v>
      </c>
      <c r="G27" s="35">
        <v>164</v>
      </c>
      <c r="H27" s="19">
        <v>34</v>
      </c>
      <c r="I27" s="20">
        <v>100</v>
      </c>
      <c r="J27" s="21">
        <f t="shared" si="0"/>
        <v>3400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44364</v>
      </c>
      <c r="D28" s="19" t="s">
        <v>18</v>
      </c>
      <c r="E28" s="19" t="s">
        <v>383</v>
      </c>
      <c r="F28" s="35">
        <v>130</v>
      </c>
      <c r="G28" s="35">
        <v>160</v>
      </c>
      <c r="H28" s="19">
        <v>30</v>
      </c>
      <c r="I28" s="20">
        <v>100</v>
      </c>
      <c r="J28" s="21">
        <f t="shared" si="0"/>
        <v>3000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44365</v>
      </c>
      <c r="D29" s="19" t="s">
        <v>18</v>
      </c>
      <c r="E29" s="19" t="s">
        <v>293</v>
      </c>
      <c r="F29" s="20">
        <v>150</v>
      </c>
      <c r="G29" s="20">
        <v>250</v>
      </c>
      <c r="H29" s="19">
        <v>100</v>
      </c>
      <c r="I29" s="20">
        <v>100</v>
      </c>
      <c r="J29" s="21">
        <f t="shared" si="0"/>
        <v>10000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44368</v>
      </c>
      <c r="D30" s="25" t="s">
        <v>18</v>
      </c>
      <c r="E30" s="25" t="s">
        <v>395</v>
      </c>
      <c r="F30" s="26">
        <v>140</v>
      </c>
      <c r="G30" s="61">
        <v>240</v>
      </c>
      <c r="H30" s="61">
        <v>100</v>
      </c>
      <c r="I30" s="26">
        <v>100</v>
      </c>
      <c r="J30" s="21">
        <f t="shared" si="0"/>
        <v>10000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44368</v>
      </c>
      <c r="D31" s="25" t="s">
        <v>18</v>
      </c>
      <c r="E31" s="25" t="s">
        <v>239</v>
      </c>
      <c r="F31" s="26">
        <v>140</v>
      </c>
      <c r="G31" s="61">
        <v>181</v>
      </c>
      <c r="H31" s="61">
        <v>41</v>
      </c>
      <c r="I31" s="26">
        <v>100</v>
      </c>
      <c r="J31" s="21">
        <f t="shared" si="0"/>
        <v>4100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44369</v>
      </c>
      <c r="D32" s="25" t="s">
        <v>18</v>
      </c>
      <c r="E32" s="25" t="s">
        <v>396</v>
      </c>
      <c r="F32" s="26">
        <v>150</v>
      </c>
      <c r="G32" s="61">
        <v>185</v>
      </c>
      <c r="H32" s="61">
        <v>35</v>
      </c>
      <c r="I32" s="26">
        <v>100</v>
      </c>
      <c r="J32" s="21">
        <f t="shared" si="0"/>
        <v>3500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44369</v>
      </c>
      <c r="D33" s="25" t="s">
        <v>18</v>
      </c>
      <c r="E33" s="25" t="s">
        <v>393</v>
      </c>
      <c r="F33" s="26">
        <v>140</v>
      </c>
      <c r="G33" s="61">
        <v>90</v>
      </c>
      <c r="H33" s="61">
        <v>-50</v>
      </c>
      <c r="I33" s="26">
        <v>100</v>
      </c>
      <c r="J33" s="21">
        <f t="shared" si="0"/>
        <v>-5000</v>
      </c>
      <c r="K33" s="7"/>
      <c r="V33" s="5">
        <f t="shared" si="2"/>
        <v>0</v>
      </c>
      <c r="W33" s="5">
        <f t="shared" si="3"/>
        <v>1</v>
      </c>
    </row>
    <row r="34" spans="1:23" x14ac:dyDescent="0.3">
      <c r="A34" s="6"/>
      <c r="B34" s="88">
        <v>29</v>
      </c>
      <c r="C34" s="24">
        <v>44370</v>
      </c>
      <c r="D34" s="25" t="s">
        <v>18</v>
      </c>
      <c r="E34" s="25" t="s">
        <v>308</v>
      </c>
      <c r="F34" s="26">
        <v>130</v>
      </c>
      <c r="G34" s="61">
        <v>200</v>
      </c>
      <c r="H34" s="61">
        <v>70</v>
      </c>
      <c r="I34" s="26">
        <v>100</v>
      </c>
      <c r="J34" s="21">
        <f t="shared" si="0"/>
        <v>7000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44370</v>
      </c>
      <c r="D35" s="25" t="s">
        <v>18</v>
      </c>
      <c r="E35" s="25" t="s">
        <v>369</v>
      </c>
      <c r="F35" s="26">
        <v>150</v>
      </c>
      <c r="G35" s="61">
        <v>191</v>
      </c>
      <c r="H35" s="61">
        <v>41</v>
      </c>
      <c r="I35" s="26">
        <v>100</v>
      </c>
      <c r="J35" s="21">
        <f t="shared" si="0"/>
        <v>4100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44371</v>
      </c>
      <c r="D36" s="25" t="s">
        <v>18</v>
      </c>
      <c r="E36" s="25" t="s">
        <v>395</v>
      </c>
      <c r="F36" s="26">
        <v>100</v>
      </c>
      <c r="G36" s="61">
        <v>170</v>
      </c>
      <c r="H36" s="61">
        <v>70</v>
      </c>
      <c r="I36" s="26">
        <v>100</v>
      </c>
      <c r="J36" s="21">
        <f t="shared" si="0"/>
        <v>7000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44371</v>
      </c>
      <c r="D37" s="25" t="s">
        <v>18</v>
      </c>
      <c r="E37" s="25" t="s">
        <v>369</v>
      </c>
      <c r="F37" s="26">
        <v>100</v>
      </c>
      <c r="G37" s="61">
        <v>122</v>
      </c>
      <c r="H37" s="61">
        <v>22</v>
      </c>
      <c r="I37" s="26">
        <v>100</v>
      </c>
      <c r="J37" s="21">
        <f t="shared" si="0"/>
        <v>2200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44372</v>
      </c>
      <c r="D38" s="25" t="s">
        <v>18</v>
      </c>
      <c r="E38" s="25" t="s">
        <v>278</v>
      </c>
      <c r="F38" s="26">
        <v>130</v>
      </c>
      <c r="G38" s="61">
        <v>230</v>
      </c>
      <c r="H38" s="61">
        <v>100</v>
      </c>
      <c r="I38" s="26">
        <v>100</v>
      </c>
      <c r="J38" s="21">
        <f t="shared" si="0"/>
        <v>10000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44372</v>
      </c>
      <c r="D39" s="25" t="s">
        <v>18</v>
      </c>
      <c r="E39" s="25" t="s">
        <v>274</v>
      </c>
      <c r="F39" s="26">
        <v>120</v>
      </c>
      <c r="G39" s="61">
        <v>170</v>
      </c>
      <c r="H39" s="61">
        <v>50</v>
      </c>
      <c r="I39" s="26">
        <v>100</v>
      </c>
      <c r="J39" s="21">
        <f t="shared" si="0"/>
        <v>5000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44375</v>
      </c>
      <c r="D40" s="25" t="s">
        <v>18</v>
      </c>
      <c r="E40" s="25" t="s">
        <v>387</v>
      </c>
      <c r="F40" s="26">
        <v>130</v>
      </c>
      <c r="G40" s="61">
        <v>159</v>
      </c>
      <c r="H40" s="61">
        <v>29</v>
      </c>
      <c r="I40" s="26">
        <v>100</v>
      </c>
      <c r="J40" s="21">
        <f t="shared" si="0"/>
        <v>2900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24">
        <v>44375</v>
      </c>
      <c r="D41" s="25" t="s">
        <v>18</v>
      </c>
      <c r="E41" s="25" t="s">
        <v>383</v>
      </c>
      <c r="F41" s="26">
        <v>100</v>
      </c>
      <c r="G41" s="61">
        <v>125</v>
      </c>
      <c r="H41" s="61">
        <v>25</v>
      </c>
      <c r="I41" s="26">
        <v>100</v>
      </c>
      <c r="J41" s="21">
        <f t="shared" si="0"/>
        <v>2500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24">
        <v>44376</v>
      </c>
      <c r="D42" s="25" t="s">
        <v>18</v>
      </c>
      <c r="E42" s="25" t="s">
        <v>387</v>
      </c>
      <c r="F42" s="26">
        <v>130</v>
      </c>
      <c r="G42" s="61">
        <v>226</v>
      </c>
      <c r="H42" s="61">
        <f>226-130</f>
        <v>96</v>
      </c>
      <c r="I42" s="26">
        <v>100</v>
      </c>
      <c r="J42" s="21">
        <f t="shared" si="0"/>
        <v>9600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17">
        <v>38</v>
      </c>
      <c r="C43" s="24">
        <v>44376</v>
      </c>
      <c r="D43" s="25" t="s">
        <v>18</v>
      </c>
      <c r="E43" s="25" t="s">
        <v>387</v>
      </c>
      <c r="F43" s="26">
        <v>150</v>
      </c>
      <c r="G43" s="61">
        <v>190</v>
      </c>
      <c r="H43" s="61">
        <v>40</v>
      </c>
      <c r="I43" s="26">
        <v>100</v>
      </c>
      <c r="J43" s="21">
        <f t="shared" si="0"/>
        <v>4000</v>
      </c>
      <c r="K43" s="7"/>
      <c r="V43" s="5">
        <f t="shared" si="2"/>
        <v>1</v>
      </c>
      <c r="W43" s="5">
        <f t="shared" si="3"/>
        <v>0</v>
      </c>
    </row>
    <row r="44" spans="1:23" x14ac:dyDescent="0.3">
      <c r="A44" s="6"/>
      <c r="B44" s="17">
        <v>39</v>
      </c>
      <c r="C44" s="24">
        <v>44377</v>
      </c>
      <c r="D44" s="25" t="s">
        <v>18</v>
      </c>
      <c r="E44" s="25" t="s">
        <v>393</v>
      </c>
      <c r="F44" s="26">
        <v>100</v>
      </c>
      <c r="G44" s="61">
        <v>147</v>
      </c>
      <c r="H44" s="61">
        <v>47</v>
      </c>
      <c r="I44" s="26">
        <v>100</v>
      </c>
      <c r="J44" s="21">
        <f t="shared" si="0"/>
        <v>4700</v>
      </c>
      <c r="K44" s="7"/>
      <c r="V44" s="5">
        <f t="shared" si="2"/>
        <v>1</v>
      </c>
      <c r="W44" s="5">
        <f t="shared" si="3"/>
        <v>0</v>
      </c>
    </row>
    <row r="45" spans="1:23" x14ac:dyDescent="0.3">
      <c r="A45" s="6"/>
      <c r="B45" s="17">
        <v>40</v>
      </c>
      <c r="C45" s="24">
        <v>44377</v>
      </c>
      <c r="D45" s="25" t="s">
        <v>18</v>
      </c>
      <c r="E45" s="25" t="s">
        <v>393</v>
      </c>
      <c r="F45" s="26">
        <v>120</v>
      </c>
      <c r="G45" s="61">
        <v>70</v>
      </c>
      <c r="H45" s="61">
        <v>-50</v>
      </c>
      <c r="I45" s="26">
        <v>100</v>
      </c>
      <c r="J45" s="21">
        <f t="shared" si="0"/>
        <v>-5000</v>
      </c>
      <c r="K45" s="7"/>
      <c r="V45" s="5">
        <f t="shared" si="2"/>
        <v>0</v>
      </c>
      <c r="W45" s="5">
        <f t="shared" si="3"/>
        <v>1</v>
      </c>
    </row>
    <row r="46" spans="1:23" ht="15" thickBot="1" x14ac:dyDescent="0.35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ht="15" hidden="1" thickBot="1" x14ac:dyDescent="0.35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ht="15" hidden="1" thickBot="1" x14ac:dyDescent="0.35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ht="15" hidden="1" thickBot="1" x14ac:dyDescent="0.35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ht="15" hidden="1" thickBot="1" x14ac:dyDescent="0.35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t="15" hidden="1" thickBot="1" x14ac:dyDescent="0.35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t="15" hidden="1" thickBot="1" x14ac:dyDescent="0.35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t="15" hidden="1" thickBot="1" x14ac:dyDescent="0.35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t="15" hidden="1" thickBot="1" x14ac:dyDescent="0.35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t="15" hidden="1" thickBot="1" x14ac:dyDescent="0.35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t="15" hidden="1" thickBot="1" x14ac:dyDescent="0.35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t="15" hidden="1" thickBot="1" x14ac:dyDescent="0.35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hidden="1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131800</v>
      </c>
      <c r="K59" s="7"/>
      <c r="V59" s="5">
        <f>SUM(V6:V58)</f>
        <v>33</v>
      </c>
      <c r="W59" s="5">
        <f>SUM(W6:W58)</f>
        <v>7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381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44348</v>
      </c>
      <c r="D67" s="67" t="s">
        <v>18</v>
      </c>
      <c r="E67" s="67" t="s">
        <v>181</v>
      </c>
      <c r="F67" s="68">
        <v>1760</v>
      </c>
      <c r="G67" s="68">
        <v>1775</v>
      </c>
      <c r="H67" s="97">
        <v>15</v>
      </c>
      <c r="I67" s="68">
        <v>500</v>
      </c>
      <c r="J67" s="92">
        <f>H67*I67</f>
        <v>7500</v>
      </c>
      <c r="K67" s="7"/>
      <c r="V67" s="5">
        <f t="shared" ref="V67:V124" si="5">IF($J67&gt;0,1,0)</f>
        <v>1</v>
      </c>
      <c r="W67" s="5">
        <f t="shared" ref="W67:W124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44348</v>
      </c>
      <c r="D68" s="67" t="s">
        <v>18</v>
      </c>
      <c r="E68" s="67" t="s">
        <v>75</v>
      </c>
      <c r="F68" s="68">
        <v>659</v>
      </c>
      <c r="G68" s="97">
        <v>653.5</v>
      </c>
      <c r="H68" s="97">
        <f>659-653.5</f>
        <v>5.5</v>
      </c>
      <c r="I68" s="20">
        <v>1375</v>
      </c>
      <c r="J68" s="21">
        <f>H68*I68</f>
        <v>7562.5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4" si="7">B68+1</f>
        <v>3</v>
      </c>
      <c r="C69" s="18">
        <v>44349</v>
      </c>
      <c r="D69" s="19" t="s">
        <v>69</v>
      </c>
      <c r="E69" s="19" t="s">
        <v>181</v>
      </c>
      <c r="F69" s="35">
        <v>1755</v>
      </c>
      <c r="G69" s="97">
        <v>1747</v>
      </c>
      <c r="H69" s="35">
        <f>1755-1747</f>
        <v>8</v>
      </c>
      <c r="I69" s="20">
        <v>500</v>
      </c>
      <c r="J69" s="21">
        <f>H69*I69</f>
        <v>4000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44349</v>
      </c>
      <c r="D70" s="19" t="s">
        <v>18</v>
      </c>
      <c r="E70" s="19" t="s">
        <v>86</v>
      </c>
      <c r="F70" s="35">
        <v>5840</v>
      </c>
      <c r="G70" s="97">
        <v>5852</v>
      </c>
      <c r="H70" s="35">
        <v>12</v>
      </c>
      <c r="I70" s="20">
        <v>125</v>
      </c>
      <c r="J70" s="21">
        <f>H70*I70</f>
        <v>1500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44350</v>
      </c>
      <c r="D71" s="19" t="s">
        <v>69</v>
      </c>
      <c r="E71" s="19" t="s">
        <v>119</v>
      </c>
      <c r="F71" s="35">
        <v>1096</v>
      </c>
      <c r="G71" s="97">
        <v>1106</v>
      </c>
      <c r="H71" s="35">
        <v>-10</v>
      </c>
      <c r="I71" s="20">
        <v>850</v>
      </c>
      <c r="J71" s="21">
        <f>H71*I71</f>
        <v>-8500</v>
      </c>
      <c r="K71" s="7"/>
      <c r="V71" s="5">
        <f t="shared" si="5"/>
        <v>0</v>
      </c>
      <c r="W71" s="5">
        <f t="shared" si="6"/>
        <v>1</v>
      </c>
    </row>
    <row r="72" spans="1:23" s="36" customFormat="1" x14ac:dyDescent="0.3">
      <c r="A72" s="6"/>
      <c r="B72" s="17">
        <f t="shared" si="7"/>
        <v>6</v>
      </c>
      <c r="C72" s="18">
        <v>44350</v>
      </c>
      <c r="D72" s="19" t="s">
        <v>18</v>
      </c>
      <c r="E72" s="19" t="s">
        <v>181</v>
      </c>
      <c r="F72" s="20">
        <v>1773</v>
      </c>
      <c r="G72" s="97">
        <v>1782</v>
      </c>
      <c r="H72" s="35">
        <f>1782-1773</f>
        <v>9</v>
      </c>
      <c r="I72" s="20">
        <v>500</v>
      </c>
      <c r="J72" s="21">
        <f t="shared" ref="J72:J124" si="8">I72*H72</f>
        <v>4500</v>
      </c>
      <c r="K72" s="7"/>
      <c r="V72" s="5">
        <f t="shared" si="5"/>
        <v>1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>
        <v>44351</v>
      </c>
      <c r="D73" s="19" t="s">
        <v>18</v>
      </c>
      <c r="E73" s="19" t="s">
        <v>86</v>
      </c>
      <c r="F73" s="35">
        <v>5940</v>
      </c>
      <c r="G73" s="97">
        <v>6000</v>
      </c>
      <c r="H73" s="35">
        <f>6000-5940</f>
        <v>60</v>
      </c>
      <c r="I73" s="20">
        <v>125</v>
      </c>
      <c r="J73" s="21">
        <f t="shared" si="8"/>
        <v>7500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44351</v>
      </c>
      <c r="D74" s="19" t="s">
        <v>69</v>
      </c>
      <c r="E74" s="19" t="s">
        <v>119</v>
      </c>
      <c r="F74" s="35">
        <v>1087</v>
      </c>
      <c r="G74" s="97">
        <v>1097</v>
      </c>
      <c r="H74" s="35">
        <v>-10</v>
      </c>
      <c r="I74" s="20">
        <v>850</v>
      </c>
      <c r="J74" s="21">
        <f t="shared" si="8"/>
        <v>-8500</v>
      </c>
      <c r="K74" s="7"/>
      <c r="V74" s="5">
        <f t="shared" si="5"/>
        <v>0</v>
      </c>
      <c r="W74" s="5">
        <f t="shared" si="6"/>
        <v>1</v>
      </c>
    </row>
    <row r="75" spans="1:23" s="36" customFormat="1" x14ac:dyDescent="0.3">
      <c r="A75" s="6"/>
      <c r="B75" s="17">
        <f t="shared" si="7"/>
        <v>9</v>
      </c>
      <c r="C75" s="18">
        <v>44354</v>
      </c>
      <c r="D75" s="19" t="s">
        <v>69</v>
      </c>
      <c r="E75" s="19" t="s">
        <v>390</v>
      </c>
      <c r="F75" s="35">
        <v>3345</v>
      </c>
      <c r="G75" s="97">
        <v>3316</v>
      </c>
      <c r="H75" s="35">
        <f>3345-3316</f>
        <v>29</v>
      </c>
      <c r="I75" s="20">
        <v>250</v>
      </c>
      <c r="J75" s="21">
        <f t="shared" si="8"/>
        <v>7250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44356</v>
      </c>
      <c r="D76" s="19" t="s">
        <v>69</v>
      </c>
      <c r="E76" s="19" t="s">
        <v>86</v>
      </c>
      <c r="F76" s="35">
        <v>5785</v>
      </c>
      <c r="G76" s="97">
        <v>5725</v>
      </c>
      <c r="H76" s="35">
        <f>5785-5725</f>
        <v>60</v>
      </c>
      <c r="I76" s="20">
        <v>125</v>
      </c>
      <c r="J76" s="21">
        <f t="shared" si="8"/>
        <v>7500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>
        <v>44356</v>
      </c>
      <c r="D77" s="19" t="s">
        <v>69</v>
      </c>
      <c r="E77" s="19" t="s">
        <v>71</v>
      </c>
      <c r="F77" s="19">
        <v>2205</v>
      </c>
      <c r="G77" s="97">
        <v>2175</v>
      </c>
      <c r="H77" s="35">
        <f>2205-2175</f>
        <v>30</v>
      </c>
      <c r="I77" s="20">
        <v>250</v>
      </c>
      <c r="J77" s="21">
        <f t="shared" si="8"/>
        <v>7500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>
        <v>44357</v>
      </c>
      <c r="D78" s="19" t="s">
        <v>18</v>
      </c>
      <c r="E78" s="19" t="s">
        <v>201</v>
      </c>
      <c r="F78" s="35">
        <v>970</v>
      </c>
      <c r="G78" s="97">
        <v>980</v>
      </c>
      <c r="H78" s="35">
        <v>10</v>
      </c>
      <c r="I78" s="20">
        <v>650</v>
      </c>
      <c r="J78" s="21">
        <f t="shared" si="8"/>
        <v>6500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44357</v>
      </c>
      <c r="D79" s="19" t="s">
        <v>18</v>
      </c>
      <c r="E79" s="19" t="s">
        <v>86</v>
      </c>
      <c r="F79" s="35">
        <v>5760</v>
      </c>
      <c r="G79" s="97">
        <v>5820</v>
      </c>
      <c r="H79" s="35">
        <f>5820-5760</f>
        <v>60</v>
      </c>
      <c r="I79" s="20">
        <v>125</v>
      </c>
      <c r="J79" s="21">
        <f t="shared" si="8"/>
        <v>7500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44358</v>
      </c>
      <c r="D80" s="19" t="s">
        <v>18</v>
      </c>
      <c r="E80" s="19" t="s">
        <v>89</v>
      </c>
      <c r="F80" s="77">
        <v>2320</v>
      </c>
      <c r="G80" s="97">
        <v>2300</v>
      </c>
      <c r="H80" s="78">
        <v>-20</v>
      </c>
      <c r="I80" s="20">
        <v>275</v>
      </c>
      <c r="J80" s="21">
        <f t="shared" si="8"/>
        <v>-5500</v>
      </c>
      <c r="K80" s="7"/>
      <c r="V80" s="5">
        <f t="shared" si="5"/>
        <v>0</v>
      </c>
      <c r="W80" s="5">
        <f t="shared" si="6"/>
        <v>1</v>
      </c>
    </row>
    <row r="81" spans="1:23" s="36" customFormat="1" x14ac:dyDescent="0.3">
      <c r="A81" s="6"/>
      <c r="B81" s="17">
        <f t="shared" si="7"/>
        <v>15</v>
      </c>
      <c r="C81" s="18">
        <v>44358</v>
      </c>
      <c r="D81" s="19" t="s">
        <v>18</v>
      </c>
      <c r="E81" s="19" t="s">
        <v>181</v>
      </c>
      <c r="F81" s="35">
        <v>1800</v>
      </c>
      <c r="G81" s="97">
        <v>1815</v>
      </c>
      <c r="H81" s="78">
        <v>15</v>
      </c>
      <c r="I81" s="20">
        <v>550</v>
      </c>
      <c r="J81" s="21">
        <f t="shared" si="8"/>
        <v>8250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>
        <v>44361</v>
      </c>
      <c r="D82" s="19" t="s">
        <v>18</v>
      </c>
      <c r="E82" s="19" t="s">
        <v>86</v>
      </c>
      <c r="F82" s="35">
        <v>6100</v>
      </c>
      <c r="G82" s="97">
        <v>6160</v>
      </c>
      <c r="H82" s="78">
        <v>125</v>
      </c>
      <c r="I82" s="20">
        <v>60</v>
      </c>
      <c r="J82" s="21">
        <f t="shared" si="8"/>
        <v>7500</v>
      </c>
      <c r="K82" s="7"/>
      <c r="V82" s="5">
        <f t="shared" si="5"/>
        <v>1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>
        <v>44361</v>
      </c>
      <c r="D83" s="19" t="s">
        <v>69</v>
      </c>
      <c r="E83" s="19" t="s">
        <v>75</v>
      </c>
      <c r="F83" s="35">
        <v>630</v>
      </c>
      <c r="G83" s="97">
        <v>635</v>
      </c>
      <c r="H83" s="35">
        <v>-5</v>
      </c>
      <c r="I83" s="20">
        <v>1375</v>
      </c>
      <c r="J83" s="21">
        <f t="shared" si="8"/>
        <v>-6875</v>
      </c>
      <c r="K83" s="7"/>
      <c r="V83" s="5">
        <f t="shared" si="5"/>
        <v>0</v>
      </c>
      <c r="W83" s="5">
        <f t="shared" si="6"/>
        <v>1</v>
      </c>
    </row>
    <row r="84" spans="1:23" s="36" customFormat="1" x14ac:dyDescent="0.3">
      <c r="A84" s="6"/>
      <c r="B84" s="17">
        <f t="shared" si="7"/>
        <v>18</v>
      </c>
      <c r="C84" s="18">
        <v>44362</v>
      </c>
      <c r="D84" s="19" t="s">
        <v>69</v>
      </c>
      <c r="E84" s="19" t="s">
        <v>80</v>
      </c>
      <c r="F84" s="35">
        <v>1518</v>
      </c>
      <c r="G84" s="97">
        <v>1513.55</v>
      </c>
      <c r="H84" s="35">
        <f>1518-1513.55</f>
        <v>4.4500000000000455</v>
      </c>
      <c r="I84" s="20">
        <v>550</v>
      </c>
      <c r="J84" s="21">
        <f t="shared" si="8"/>
        <v>2447.500000000025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>
        <v>44362</v>
      </c>
      <c r="D85" s="19" t="s">
        <v>18</v>
      </c>
      <c r="E85" s="19" t="s">
        <v>181</v>
      </c>
      <c r="F85" s="35">
        <v>1800</v>
      </c>
      <c r="G85" s="97">
        <v>1805</v>
      </c>
      <c r="H85" s="35">
        <v>5</v>
      </c>
      <c r="I85" s="20">
        <v>500</v>
      </c>
      <c r="J85" s="21">
        <f t="shared" si="8"/>
        <v>2500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>
        <v>44363</v>
      </c>
      <c r="D86" s="19" t="s">
        <v>69</v>
      </c>
      <c r="E86" s="19" t="s">
        <v>397</v>
      </c>
      <c r="F86" s="35">
        <v>408</v>
      </c>
      <c r="G86" s="97">
        <v>405.2</v>
      </c>
      <c r="H86" s="35">
        <f>408-405.2</f>
        <v>2.8000000000000114</v>
      </c>
      <c r="I86" s="20">
        <v>2500</v>
      </c>
      <c r="J86" s="21">
        <f t="shared" si="8"/>
        <v>7000.0000000000282</v>
      </c>
      <c r="K86" s="7"/>
      <c r="V86" s="5">
        <f t="shared" si="5"/>
        <v>1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>
        <v>44363</v>
      </c>
      <c r="D87" s="19" t="s">
        <v>69</v>
      </c>
      <c r="E87" s="19" t="s">
        <v>86</v>
      </c>
      <c r="F87" s="35">
        <v>6100</v>
      </c>
      <c r="G87" s="97">
        <v>6130</v>
      </c>
      <c r="H87" s="35">
        <v>-30</v>
      </c>
      <c r="I87" s="20">
        <v>125</v>
      </c>
      <c r="J87" s="21">
        <f t="shared" si="8"/>
        <v>-3750</v>
      </c>
      <c r="K87" s="7"/>
      <c r="V87" s="5">
        <f t="shared" si="5"/>
        <v>0</v>
      </c>
      <c r="W87" s="5">
        <f t="shared" si="6"/>
        <v>1</v>
      </c>
    </row>
    <row r="88" spans="1:23" s="36" customFormat="1" x14ac:dyDescent="0.3">
      <c r="A88" s="6"/>
      <c r="B88" s="17">
        <f t="shared" si="7"/>
        <v>22</v>
      </c>
      <c r="C88" s="18">
        <v>44364</v>
      </c>
      <c r="D88" s="19" t="s">
        <v>18</v>
      </c>
      <c r="E88" s="19" t="s">
        <v>312</v>
      </c>
      <c r="F88" s="35">
        <v>1482</v>
      </c>
      <c r="G88" s="97">
        <v>1506</v>
      </c>
      <c r="H88" s="35">
        <f>1506-1482</f>
        <v>24</v>
      </c>
      <c r="I88" s="20">
        <v>600</v>
      </c>
      <c r="J88" s="21">
        <f t="shared" si="8"/>
        <v>14400</v>
      </c>
      <c r="K88" s="7"/>
      <c r="V88" s="5">
        <f t="shared" si="5"/>
        <v>1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>
        <v>44364</v>
      </c>
      <c r="D89" s="19" t="s">
        <v>18</v>
      </c>
      <c r="E89" s="19" t="s">
        <v>181</v>
      </c>
      <c r="F89" s="35">
        <v>1740</v>
      </c>
      <c r="G89" s="97">
        <v>1725</v>
      </c>
      <c r="H89" s="35">
        <f>1740-1725</f>
        <v>15</v>
      </c>
      <c r="I89" s="20">
        <v>500</v>
      </c>
      <c r="J89" s="21">
        <f t="shared" si="8"/>
        <v>7500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>
        <v>44365</v>
      </c>
      <c r="D90" s="19" t="s">
        <v>69</v>
      </c>
      <c r="E90" s="19" t="s">
        <v>71</v>
      </c>
      <c r="F90" s="35">
        <v>2205</v>
      </c>
      <c r="G90" s="97">
        <v>2187.8000000000002</v>
      </c>
      <c r="H90" s="35">
        <f>2205-2187.8</f>
        <v>17.199999999999818</v>
      </c>
      <c r="I90" s="20">
        <v>250</v>
      </c>
      <c r="J90" s="21">
        <f t="shared" si="8"/>
        <v>4299.9999999999545</v>
      </c>
      <c r="K90" s="7"/>
      <c r="V90" s="5">
        <f t="shared" si="5"/>
        <v>1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>
        <v>44365</v>
      </c>
      <c r="D91" s="19" t="s">
        <v>69</v>
      </c>
      <c r="E91" s="19" t="s">
        <v>86</v>
      </c>
      <c r="F91" s="35">
        <v>6020</v>
      </c>
      <c r="G91" s="97">
        <v>5977</v>
      </c>
      <c r="H91" s="35">
        <f>6020-5977</f>
        <v>43</v>
      </c>
      <c r="I91" s="20">
        <v>125</v>
      </c>
      <c r="J91" s="21">
        <f t="shared" si="8"/>
        <v>5375</v>
      </c>
      <c r="K91" s="7"/>
      <c r="V91" s="5">
        <f t="shared" si="5"/>
        <v>1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>
        <v>44368</v>
      </c>
      <c r="D92" s="19" t="s">
        <v>18</v>
      </c>
      <c r="E92" s="19" t="s">
        <v>70</v>
      </c>
      <c r="F92" s="35">
        <v>730</v>
      </c>
      <c r="G92" s="97">
        <v>736</v>
      </c>
      <c r="H92" s="35">
        <v>6</v>
      </c>
      <c r="I92" s="20">
        <v>1200</v>
      </c>
      <c r="J92" s="21">
        <f t="shared" si="8"/>
        <v>7200</v>
      </c>
      <c r="K92" s="7"/>
      <c r="V92" s="5">
        <f t="shared" si="5"/>
        <v>1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>
        <v>44368</v>
      </c>
      <c r="D93" s="19" t="s">
        <v>18</v>
      </c>
      <c r="E93" s="19" t="s">
        <v>398</v>
      </c>
      <c r="F93" s="35">
        <v>1410</v>
      </c>
      <c r="G93" s="97">
        <v>1430</v>
      </c>
      <c r="H93" s="35">
        <v>20</v>
      </c>
      <c r="I93" s="20">
        <v>700</v>
      </c>
      <c r="J93" s="21">
        <f t="shared" si="8"/>
        <v>14000</v>
      </c>
      <c r="K93" s="7"/>
      <c r="V93" s="5">
        <f t="shared" si="5"/>
        <v>1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>
        <v>44369</v>
      </c>
      <c r="D94" s="19" t="s">
        <v>18</v>
      </c>
      <c r="E94" s="19" t="s">
        <v>80</v>
      </c>
      <c r="F94" s="35">
        <v>1490</v>
      </c>
      <c r="G94" s="97">
        <v>1502.5</v>
      </c>
      <c r="H94" s="35">
        <f>1502.5-1490</f>
        <v>12.5</v>
      </c>
      <c r="I94" s="20">
        <v>550</v>
      </c>
      <c r="J94" s="21">
        <f t="shared" si="8"/>
        <v>6875</v>
      </c>
      <c r="K94" s="7"/>
      <c r="V94" s="5">
        <f t="shared" si="5"/>
        <v>1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>
        <v>44369</v>
      </c>
      <c r="D95" s="19" t="s">
        <v>18</v>
      </c>
      <c r="E95" s="19" t="s">
        <v>75</v>
      </c>
      <c r="F95" s="35">
        <v>643</v>
      </c>
      <c r="G95" s="97">
        <v>637</v>
      </c>
      <c r="H95" s="35">
        <v>-6</v>
      </c>
      <c r="I95" s="20">
        <v>1375</v>
      </c>
      <c r="J95" s="21">
        <f t="shared" si="8"/>
        <v>-8250</v>
      </c>
      <c r="K95" s="7"/>
      <c r="V95" s="5">
        <f t="shared" si="5"/>
        <v>0</v>
      </c>
      <c r="W95" s="5">
        <f t="shared" si="6"/>
        <v>1</v>
      </c>
    </row>
    <row r="96" spans="1:23" s="36" customFormat="1" x14ac:dyDescent="0.3">
      <c r="A96" s="6"/>
      <c r="B96" s="17">
        <f t="shared" si="7"/>
        <v>30</v>
      </c>
      <c r="C96" s="18">
        <v>44370</v>
      </c>
      <c r="D96" s="19" t="s">
        <v>18</v>
      </c>
      <c r="E96" s="19" t="s">
        <v>86</v>
      </c>
      <c r="F96" s="35">
        <v>6060</v>
      </c>
      <c r="G96" s="97">
        <v>6120</v>
      </c>
      <c r="H96" s="35">
        <v>60</v>
      </c>
      <c r="I96" s="20">
        <v>125</v>
      </c>
      <c r="J96" s="21">
        <f t="shared" si="8"/>
        <v>7500</v>
      </c>
      <c r="K96" s="7"/>
      <c r="V96" s="5">
        <f t="shared" si="5"/>
        <v>1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>
        <v>44370</v>
      </c>
      <c r="D97" s="19" t="s">
        <v>18</v>
      </c>
      <c r="E97" s="19" t="s">
        <v>111</v>
      </c>
      <c r="F97" s="35">
        <v>421</v>
      </c>
      <c r="G97" s="97">
        <v>424.9</v>
      </c>
      <c r="H97" s="35">
        <v>3.9</v>
      </c>
      <c r="I97" s="20">
        <v>3000</v>
      </c>
      <c r="J97" s="21">
        <f t="shared" si="8"/>
        <v>11700</v>
      </c>
      <c r="K97" s="7"/>
      <c r="V97" s="5">
        <f t="shared" si="5"/>
        <v>1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>
        <v>44371</v>
      </c>
      <c r="D98" s="19" t="s">
        <v>18</v>
      </c>
      <c r="E98" s="19" t="s">
        <v>93</v>
      </c>
      <c r="F98" s="35">
        <v>1495</v>
      </c>
      <c r="G98" s="97">
        <v>1510</v>
      </c>
      <c r="H98" s="35">
        <f>1510-1495</f>
        <v>15</v>
      </c>
      <c r="I98" s="20">
        <v>550</v>
      </c>
      <c r="J98" s="21">
        <f t="shared" si="8"/>
        <v>8250</v>
      </c>
      <c r="K98" s="7"/>
      <c r="V98" s="5">
        <f t="shared" si="5"/>
        <v>1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>
        <v>44371</v>
      </c>
      <c r="D99" s="19" t="s">
        <v>18</v>
      </c>
      <c r="E99" s="19" t="s">
        <v>181</v>
      </c>
      <c r="F99" s="35">
        <v>1720</v>
      </c>
      <c r="G99" s="97">
        <v>1705</v>
      </c>
      <c r="H99" s="35">
        <v>-15</v>
      </c>
      <c r="I99" s="20">
        <v>500</v>
      </c>
      <c r="J99" s="21">
        <f t="shared" si="8"/>
        <v>-7500</v>
      </c>
      <c r="K99" s="7"/>
      <c r="V99" s="5">
        <f t="shared" si="5"/>
        <v>0</v>
      </c>
      <c r="W99" s="5">
        <f t="shared" si="6"/>
        <v>1</v>
      </c>
    </row>
    <row r="100" spans="1:23" s="36" customFormat="1" x14ac:dyDescent="0.3">
      <c r="A100" s="6"/>
      <c r="B100" s="17">
        <f t="shared" si="7"/>
        <v>34</v>
      </c>
      <c r="C100" s="18">
        <v>44372</v>
      </c>
      <c r="D100" s="19" t="s">
        <v>18</v>
      </c>
      <c r="E100" s="19" t="s">
        <v>181</v>
      </c>
      <c r="F100" s="35">
        <v>1725</v>
      </c>
      <c r="G100" s="97">
        <v>1740</v>
      </c>
      <c r="H100" s="35">
        <f>1740-1725</f>
        <v>15</v>
      </c>
      <c r="I100" s="20">
        <v>500</v>
      </c>
      <c r="J100" s="21">
        <f t="shared" si="8"/>
        <v>7500</v>
      </c>
      <c r="K100" s="7"/>
      <c r="V100" s="5">
        <f t="shared" si="5"/>
        <v>1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>
        <v>44372</v>
      </c>
      <c r="D101" s="19" t="s">
        <v>18</v>
      </c>
      <c r="E101" s="19" t="s">
        <v>70</v>
      </c>
      <c r="F101" s="35">
        <v>755</v>
      </c>
      <c r="G101" s="97">
        <v>768</v>
      </c>
      <c r="H101" s="35">
        <v>-13</v>
      </c>
      <c r="I101" s="20">
        <v>1200</v>
      </c>
      <c r="J101" s="21">
        <f t="shared" si="8"/>
        <v>-15600</v>
      </c>
      <c r="K101" s="7"/>
      <c r="V101" s="5">
        <f t="shared" si="5"/>
        <v>0</v>
      </c>
      <c r="W101" s="5">
        <f t="shared" si="6"/>
        <v>1</v>
      </c>
    </row>
    <row r="102" spans="1:23" s="36" customFormat="1" x14ac:dyDescent="0.3">
      <c r="A102" s="6"/>
      <c r="B102" s="17">
        <v>36</v>
      </c>
      <c r="C102" s="18">
        <v>44375</v>
      </c>
      <c r="D102" s="19" t="s">
        <v>69</v>
      </c>
      <c r="E102" s="19" t="s">
        <v>75</v>
      </c>
      <c r="F102" s="35">
        <v>650</v>
      </c>
      <c r="G102" s="97">
        <v>647.9</v>
      </c>
      <c r="H102" s="35">
        <f>650-647.9</f>
        <v>2.1000000000000227</v>
      </c>
      <c r="I102" s="20">
        <v>1375</v>
      </c>
      <c r="J102" s="21">
        <f t="shared" si="8"/>
        <v>2887.5000000000314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>
        <v>44375</v>
      </c>
      <c r="D103" s="19" t="s">
        <v>69</v>
      </c>
      <c r="E103" s="19" t="s">
        <v>111</v>
      </c>
      <c r="F103" s="35">
        <v>429</v>
      </c>
      <c r="G103" s="97">
        <v>426.6</v>
      </c>
      <c r="H103" s="35">
        <f>429-426.6</f>
        <v>2.3999999999999773</v>
      </c>
      <c r="I103" s="20">
        <v>3000</v>
      </c>
      <c r="J103" s="21">
        <f t="shared" si="8"/>
        <v>7199.9999999999318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>
        <v>44376</v>
      </c>
      <c r="D104" s="19" t="s">
        <v>18</v>
      </c>
      <c r="E104" s="19" t="s">
        <v>398</v>
      </c>
      <c r="F104" s="35">
        <v>1440</v>
      </c>
      <c r="G104" s="97">
        <v>1455</v>
      </c>
      <c r="H104" s="35">
        <f>1455-1440</f>
        <v>15</v>
      </c>
      <c r="I104" s="20">
        <v>700</v>
      </c>
      <c r="J104" s="21">
        <f t="shared" si="8"/>
        <v>10500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>
        <v>44376</v>
      </c>
      <c r="D105" s="19" t="s">
        <v>18</v>
      </c>
      <c r="E105" s="19" t="s">
        <v>181</v>
      </c>
      <c r="F105" s="35">
        <v>1750</v>
      </c>
      <c r="G105" s="97">
        <v>1735</v>
      </c>
      <c r="H105" s="35">
        <f>1750-1735</f>
        <v>15</v>
      </c>
      <c r="I105" s="20">
        <v>500</v>
      </c>
      <c r="J105" s="21">
        <f t="shared" si="8"/>
        <v>7500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>
        <v>44377</v>
      </c>
      <c r="D106" s="19" t="s">
        <v>18</v>
      </c>
      <c r="E106" s="19" t="s">
        <v>70</v>
      </c>
      <c r="F106" s="35">
        <v>759</v>
      </c>
      <c r="G106" s="97">
        <v>763</v>
      </c>
      <c r="H106" s="35">
        <f>763-759</f>
        <v>4</v>
      </c>
      <c r="I106" s="20">
        <v>1200</v>
      </c>
      <c r="J106" s="21">
        <f t="shared" si="8"/>
        <v>4800</v>
      </c>
      <c r="K106" s="7"/>
      <c r="V106" s="5">
        <f t="shared" si="5"/>
        <v>1</v>
      </c>
      <c r="W106" s="5">
        <f t="shared" si="6"/>
        <v>0</v>
      </c>
    </row>
    <row r="107" spans="1:23" s="36" customFormat="1" x14ac:dyDescent="0.3">
      <c r="A107" s="6"/>
      <c r="B107" s="17">
        <v>41</v>
      </c>
      <c r="C107" s="18">
        <v>44377</v>
      </c>
      <c r="D107" s="19" t="s">
        <v>18</v>
      </c>
      <c r="E107" s="19" t="s">
        <v>119</v>
      </c>
      <c r="F107" s="35">
        <v>1195</v>
      </c>
      <c r="G107" s="97">
        <v>1185</v>
      </c>
      <c r="H107" s="35">
        <v>-10</v>
      </c>
      <c r="I107" s="20">
        <v>850</v>
      </c>
      <c r="J107" s="21">
        <f t="shared" si="8"/>
        <v>-8500</v>
      </c>
      <c r="K107" s="7"/>
      <c r="V107" s="5">
        <f t="shared" si="5"/>
        <v>0</v>
      </c>
      <c r="W107" s="5">
        <f t="shared" si="6"/>
        <v>1</v>
      </c>
    </row>
    <row r="108" spans="1:23" s="36" customFormat="1" ht="15" thickBot="1" x14ac:dyDescent="0.35">
      <c r="A108" s="6"/>
      <c r="B108" s="17">
        <f t="shared" si="7"/>
        <v>42</v>
      </c>
      <c r="C108" s="18"/>
      <c r="D108" s="19"/>
      <c r="E108" s="19"/>
      <c r="F108" s="35"/>
      <c r="G108" s="35"/>
      <c r="H108" s="35"/>
      <c r="I108" s="20"/>
      <c r="J108" s="21">
        <f t="shared" si="8"/>
        <v>0</v>
      </c>
      <c r="K108" s="7"/>
      <c r="V108" s="5">
        <f t="shared" si="5"/>
        <v>0</v>
      </c>
      <c r="W108" s="5">
        <f t="shared" si="6"/>
        <v>0</v>
      </c>
    </row>
    <row r="109" spans="1:23" s="36" customFormat="1" ht="15" hidden="1" thickBot="1" x14ac:dyDescent="0.35">
      <c r="A109" s="6"/>
      <c r="B109" s="17">
        <f t="shared" si="7"/>
        <v>43</v>
      </c>
      <c r="C109" s="18"/>
      <c r="D109" s="19"/>
      <c r="E109" s="19"/>
      <c r="F109" s="35"/>
      <c r="G109" s="35"/>
      <c r="H109" s="35"/>
      <c r="I109" s="20"/>
      <c r="J109" s="21">
        <f t="shared" si="8"/>
        <v>0</v>
      </c>
      <c r="K109" s="7"/>
      <c r="V109" s="5">
        <f t="shared" si="5"/>
        <v>0</v>
      </c>
      <c r="W109" s="5">
        <f t="shared" si="6"/>
        <v>0</v>
      </c>
    </row>
    <row r="110" spans="1:23" s="36" customFormat="1" ht="15" hidden="1" thickBot="1" x14ac:dyDescent="0.35">
      <c r="A110" s="6"/>
      <c r="B110" s="17">
        <f t="shared" si="7"/>
        <v>44</v>
      </c>
      <c r="C110" s="18"/>
      <c r="D110" s="19"/>
      <c r="E110" s="19"/>
      <c r="F110" s="35"/>
      <c r="G110" s="35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t="15" hidden="1" thickBot="1" x14ac:dyDescent="0.35">
      <c r="A111" s="6"/>
      <c r="B111" s="17">
        <f t="shared" si="7"/>
        <v>45</v>
      </c>
      <c r="C111" s="18"/>
      <c r="D111" s="19"/>
      <c r="E111" s="19"/>
      <c r="F111" s="35"/>
      <c r="G111" s="35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t="15" hidden="1" thickBot="1" x14ac:dyDescent="0.35">
      <c r="A112" s="6"/>
      <c r="B112" s="17">
        <f t="shared" si="7"/>
        <v>46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t="15" hidden="1" thickBot="1" x14ac:dyDescent="0.35">
      <c r="A113" s="6"/>
      <c r="B113" s="17">
        <f t="shared" si="7"/>
        <v>47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t="15" hidden="1" thickBot="1" x14ac:dyDescent="0.35">
      <c r="A114" s="6"/>
      <c r="B114" s="17">
        <f t="shared" si="7"/>
        <v>48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t="15" hidden="1" thickBot="1" x14ac:dyDescent="0.35">
      <c r="A115" s="6"/>
      <c r="B115" s="17">
        <f t="shared" si="7"/>
        <v>49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t="15" hidden="1" thickBot="1" x14ac:dyDescent="0.35">
      <c r="A116" s="6"/>
      <c r="B116" s="17">
        <f t="shared" si="7"/>
        <v>50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t="15" hidden="1" thickBot="1" x14ac:dyDescent="0.35">
      <c r="A117" s="6"/>
      <c r="B117" s="17">
        <f t="shared" si="7"/>
        <v>51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t="15" hidden="1" thickBot="1" x14ac:dyDescent="0.35">
      <c r="A118" s="6"/>
      <c r="B118" s="17">
        <f t="shared" si="7"/>
        <v>52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t="15" hidden="1" thickBot="1" x14ac:dyDescent="0.35">
      <c r="A119" s="6"/>
      <c r="B119" s="17">
        <f t="shared" si="7"/>
        <v>53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hidden="1" thickBot="1" x14ac:dyDescent="0.35">
      <c r="A120" s="6"/>
      <c r="B120" s="17">
        <f t="shared" si="7"/>
        <v>54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15" hidden="1" thickBot="1" x14ac:dyDescent="0.35">
      <c r="A121" s="6"/>
      <c r="B121" s="17">
        <f t="shared" si="7"/>
        <v>55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56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15" hidden="1" thickBot="1" x14ac:dyDescent="0.35">
      <c r="A123" s="6"/>
      <c r="B123" s="17">
        <f t="shared" si="7"/>
        <v>57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hidden="1" thickBot="1" x14ac:dyDescent="0.35">
      <c r="A124" s="6"/>
      <c r="B124" s="17">
        <f t="shared" si="7"/>
        <v>58</v>
      </c>
      <c r="C124" s="79"/>
      <c r="D124" s="80"/>
      <c r="E124" s="80"/>
      <c r="F124" s="81"/>
      <c r="G124" s="81"/>
      <c r="H124" s="80"/>
      <c r="I124" s="81"/>
      <c r="J124" s="82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24" thickBot="1" x14ac:dyDescent="0.5">
      <c r="A125" s="6"/>
      <c r="B125" s="144" t="s">
        <v>22</v>
      </c>
      <c r="C125" s="145"/>
      <c r="D125" s="145"/>
      <c r="E125" s="145"/>
      <c r="F125" s="145"/>
      <c r="G125" s="145"/>
      <c r="H125" s="146"/>
      <c r="I125" s="83" t="s">
        <v>23</v>
      </c>
      <c r="J125" s="84">
        <f>SUM(J67:J124)</f>
        <v>151022.49999999997</v>
      </c>
      <c r="K125" s="7"/>
      <c r="L125" s="5"/>
      <c r="M125" s="5"/>
      <c r="N125" s="5"/>
      <c r="O125" s="5"/>
      <c r="P125" s="5"/>
      <c r="Q125" s="5"/>
      <c r="R125" s="5"/>
      <c r="V125" s="36">
        <f>SUM(V67:V124)</f>
        <v>28</v>
      </c>
      <c r="W125" s="36">
        <f>SUM(W67:W124)</f>
        <v>9</v>
      </c>
    </row>
    <row r="126" spans="1:23" s="36" customFormat="1" ht="30" customHeight="1" thickBot="1" x14ac:dyDescent="0.35">
      <c r="A126" s="30"/>
      <c r="B126" s="31"/>
      <c r="C126" s="31"/>
      <c r="D126" s="31"/>
      <c r="E126" s="31"/>
      <c r="F126" s="31"/>
      <c r="G126" s="31"/>
      <c r="H126" s="32"/>
      <c r="I126" s="31"/>
      <c r="J126" s="32"/>
      <c r="K126" s="33"/>
      <c r="L126" s="5"/>
      <c r="M126" s="5"/>
      <c r="N126" s="5"/>
      <c r="O126" s="5"/>
      <c r="P126" s="5"/>
      <c r="Q126" s="5"/>
      <c r="R126" s="5"/>
    </row>
    <row r="127" spans="1:23" ht="15" thickBot="1" x14ac:dyDescent="0.35"/>
    <row r="128" spans="1:23" s="36" customFormat="1" ht="30" customHeight="1" thickBot="1" x14ac:dyDescent="0.35">
      <c r="A128" s="1"/>
      <c r="B128" s="2"/>
      <c r="C128" s="2"/>
      <c r="D128" s="2"/>
      <c r="E128" s="2"/>
      <c r="F128" s="2"/>
      <c r="G128" s="2"/>
      <c r="H128" s="3"/>
      <c r="I128" s="2"/>
      <c r="J128" s="3"/>
      <c r="K128" s="4"/>
    </row>
    <row r="129" spans="1:23" s="36" customFormat="1" ht="25.2" thickBot="1" x14ac:dyDescent="0.35">
      <c r="A129" s="6" t="s">
        <v>1</v>
      </c>
      <c r="B129" s="119" t="s">
        <v>2</v>
      </c>
      <c r="C129" s="120"/>
      <c r="D129" s="120"/>
      <c r="E129" s="120"/>
      <c r="F129" s="120"/>
      <c r="G129" s="120"/>
      <c r="H129" s="120"/>
      <c r="I129" s="120"/>
      <c r="J129" s="121"/>
      <c r="K129" s="7"/>
    </row>
    <row r="130" spans="1:23" s="36" customFormat="1" ht="16.2" thickBot="1" x14ac:dyDescent="0.35">
      <c r="A130" s="6"/>
      <c r="B130" s="168" t="s">
        <v>382</v>
      </c>
      <c r="C130" s="169"/>
      <c r="D130" s="169"/>
      <c r="E130" s="169"/>
      <c r="F130" s="169"/>
      <c r="G130" s="169"/>
      <c r="H130" s="169"/>
      <c r="I130" s="169"/>
      <c r="J130" s="170"/>
      <c r="K130" s="7"/>
      <c r="L130" s="22"/>
    </row>
    <row r="131" spans="1:23" s="36" customFormat="1" ht="16.2" thickBot="1" x14ac:dyDescent="0.35">
      <c r="A131" s="6"/>
      <c r="B131" s="106" t="s">
        <v>215</v>
      </c>
      <c r="C131" s="107"/>
      <c r="D131" s="107"/>
      <c r="E131" s="107"/>
      <c r="F131" s="107"/>
      <c r="G131" s="107"/>
      <c r="H131" s="107"/>
      <c r="I131" s="107"/>
      <c r="J131" s="108"/>
      <c r="K131" s="7"/>
    </row>
    <row r="132" spans="1:23" s="22" customFormat="1" ht="15" thickBot="1" x14ac:dyDescent="0.35">
      <c r="A132" s="69"/>
      <c r="B132" s="70" t="s">
        <v>9</v>
      </c>
      <c r="C132" s="71" t="s">
        <v>10</v>
      </c>
      <c r="D132" s="72" t="s">
        <v>11</v>
      </c>
      <c r="E132" s="72" t="s">
        <v>12</v>
      </c>
      <c r="F132" s="73" t="s">
        <v>65</v>
      </c>
      <c r="G132" s="73" t="s">
        <v>66</v>
      </c>
      <c r="H132" s="74" t="s">
        <v>67</v>
      </c>
      <c r="I132" s="73" t="s">
        <v>68</v>
      </c>
      <c r="J132" s="75" t="s">
        <v>17</v>
      </c>
      <c r="K132" s="76"/>
      <c r="L132" s="36"/>
      <c r="M132" s="36"/>
      <c r="N132" s="36"/>
      <c r="O132" s="36" t="s">
        <v>21</v>
      </c>
      <c r="P132" s="36"/>
      <c r="Q132" s="36"/>
      <c r="R132" s="36"/>
      <c r="V132" s="5" t="s">
        <v>5</v>
      </c>
      <c r="W132" s="5" t="s">
        <v>6</v>
      </c>
    </row>
    <row r="133" spans="1:23" s="36" customFormat="1" x14ac:dyDescent="0.3">
      <c r="A133" s="6"/>
      <c r="B133" s="14">
        <v>1</v>
      </c>
      <c r="C133" s="93">
        <v>44348</v>
      </c>
      <c r="D133" s="94" t="s">
        <v>18</v>
      </c>
      <c r="E133" s="94" t="s">
        <v>385</v>
      </c>
      <c r="F133" s="60">
        <v>80</v>
      </c>
      <c r="G133" s="60">
        <v>95</v>
      </c>
      <c r="H133" s="60">
        <v>15</v>
      </c>
      <c r="I133" s="15">
        <v>300</v>
      </c>
      <c r="J133" s="16">
        <f t="shared" ref="J133:J178" si="9">I133*H133</f>
        <v>4500</v>
      </c>
      <c r="K133" s="7"/>
      <c r="V133" s="5">
        <f t="shared" ref="V133:V178" si="10">IF($J133&gt;0,1,0)</f>
        <v>1</v>
      </c>
      <c r="W133" s="5">
        <f t="shared" ref="W133:W178" si="11">IF($J133&lt;0,1,0)</f>
        <v>0</v>
      </c>
    </row>
    <row r="134" spans="1:23" s="36" customFormat="1" x14ac:dyDescent="0.3">
      <c r="A134" s="6"/>
      <c r="B134" s="17">
        <f>B133+1</f>
        <v>2</v>
      </c>
      <c r="C134" s="18">
        <v>44348</v>
      </c>
      <c r="D134" s="19" t="s">
        <v>18</v>
      </c>
      <c r="E134" s="19" t="s">
        <v>386</v>
      </c>
      <c r="F134" s="35">
        <v>65</v>
      </c>
      <c r="G134" s="35">
        <v>85</v>
      </c>
      <c r="H134" s="35">
        <v>20</v>
      </c>
      <c r="I134" s="20">
        <v>300</v>
      </c>
      <c r="J134" s="21">
        <f t="shared" si="9"/>
        <v>6000</v>
      </c>
      <c r="K134" s="7"/>
      <c r="L134" s="36" t="s">
        <v>21</v>
      </c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ref="B135:B155" si="12">B134+1</f>
        <v>3</v>
      </c>
      <c r="C135" s="18">
        <v>44349</v>
      </c>
      <c r="D135" s="19" t="s">
        <v>18</v>
      </c>
      <c r="E135" s="19" t="s">
        <v>385</v>
      </c>
      <c r="F135" s="35">
        <v>90</v>
      </c>
      <c r="G135" s="35">
        <v>100</v>
      </c>
      <c r="H135" s="35">
        <v>10</v>
      </c>
      <c r="I135" s="20">
        <v>300</v>
      </c>
      <c r="J135" s="21">
        <f t="shared" si="9"/>
        <v>3000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4</v>
      </c>
      <c r="C136" s="18">
        <v>44349</v>
      </c>
      <c r="D136" s="19" t="s">
        <v>18</v>
      </c>
      <c r="E136" s="19" t="s">
        <v>385</v>
      </c>
      <c r="F136" s="35">
        <v>95</v>
      </c>
      <c r="G136" s="35">
        <v>109</v>
      </c>
      <c r="H136" s="35">
        <v>14</v>
      </c>
      <c r="I136" s="20">
        <v>300</v>
      </c>
      <c r="J136" s="21">
        <f t="shared" si="9"/>
        <v>4200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5</v>
      </c>
      <c r="C137" s="18">
        <v>44350</v>
      </c>
      <c r="D137" s="19" t="s">
        <v>18</v>
      </c>
      <c r="E137" s="19" t="s">
        <v>386</v>
      </c>
      <c r="F137" s="35">
        <v>65</v>
      </c>
      <c r="G137" s="35">
        <v>50</v>
      </c>
      <c r="H137" s="35">
        <v>-15</v>
      </c>
      <c r="I137" s="20">
        <v>300</v>
      </c>
      <c r="J137" s="21">
        <f t="shared" si="9"/>
        <v>-4500</v>
      </c>
      <c r="K137" s="7"/>
      <c r="V137" s="5">
        <f t="shared" si="10"/>
        <v>0</v>
      </c>
      <c r="W137" s="5">
        <f t="shared" si="11"/>
        <v>1</v>
      </c>
    </row>
    <row r="138" spans="1:23" s="36" customFormat="1" x14ac:dyDescent="0.3">
      <c r="A138" s="6"/>
      <c r="B138" s="17">
        <f t="shared" si="12"/>
        <v>6</v>
      </c>
      <c r="C138" s="18">
        <v>44351</v>
      </c>
      <c r="D138" s="19" t="s">
        <v>18</v>
      </c>
      <c r="E138" s="19" t="s">
        <v>389</v>
      </c>
      <c r="F138" s="20">
        <v>90</v>
      </c>
      <c r="G138" s="35">
        <v>96</v>
      </c>
      <c r="H138" s="35">
        <v>6</v>
      </c>
      <c r="I138" s="20">
        <v>300</v>
      </c>
      <c r="J138" s="21">
        <f t="shared" si="9"/>
        <v>1800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7</v>
      </c>
      <c r="C139" s="18">
        <v>44351</v>
      </c>
      <c r="D139" s="19" t="s">
        <v>18</v>
      </c>
      <c r="E139" s="19" t="s">
        <v>399</v>
      </c>
      <c r="F139" s="35">
        <v>95</v>
      </c>
      <c r="G139" s="35">
        <v>105</v>
      </c>
      <c r="H139" s="35">
        <v>15</v>
      </c>
      <c r="I139" s="20">
        <v>300</v>
      </c>
      <c r="J139" s="21">
        <f t="shared" si="9"/>
        <v>4500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8</v>
      </c>
      <c r="C140" s="18">
        <v>44354</v>
      </c>
      <c r="D140" s="19" t="s">
        <v>18</v>
      </c>
      <c r="E140" s="19" t="s">
        <v>399</v>
      </c>
      <c r="F140" s="35">
        <v>95</v>
      </c>
      <c r="G140" s="35">
        <v>104</v>
      </c>
      <c r="H140" s="35">
        <f>104-95</f>
        <v>9</v>
      </c>
      <c r="I140" s="20">
        <v>300</v>
      </c>
      <c r="J140" s="21">
        <f t="shared" si="9"/>
        <v>2700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9</v>
      </c>
      <c r="C141" s="18">
        <v>44354</v>
      </c>
      <c r="D141" s="19" t="s">
        <v>18</v>
      </c>
      <c r="E141" s="19" t="s">
        <v>399</v>
      </c>
      <c r="F141" s="35">
        <v>95</v>
      </c>
      <c r="G141" s="35">
        <v>125</v>
      </c>
      <c r="H141" s="35">
        <v>30</v>
      </c>
      <c r="I141" s="20">
        <v>300</v>
      </c>
      <c r="J141" s="21">
        <f t="shared" si="9"/>
        <v>9000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10</v>
      </c>
      <c r="C142" s="18">
        <v>44355</v>
      </c>
      <c r="D142" s="19" t="s">
        <v>18</v>
      </c>
      <c r="E142" s="19" t="s">
        <v>402</v>
      </c>
      <c r="F142" s="35">
        <v>80</v>
      </c>
      <c r="G142" s="35">
        <v>86</v>
      </c>
      <c r="H142" s="35">
        <v>6</v>
      </c>
      <c r="I142" s="20">
        <v>300</v>
      </c>
      <c r="J142" s="21">
        <f t="shared" si="9"/>
        <v>1800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11</v>
      </c>
      <c r="C143" s="18">
        <v>44355</v>
      </c>
      <c r="D143" s="19" t="s">
        <v>18</v>
      </c>
      <c r="E143" s="19" t="s">
        <v>403</v>
      </c>
      <c r="F143" s="19">
        <v>80</v>
      </c>
      <c r="G143" s="35">
        <v>65</v>
      </c>
      <c r="H143" s="35">
        <v>-15</v>
      </c>
      <c r="I143" s="20">
        <v>300</v>
      </c>
      <c r="J143" s="21">
        <f t="shared" si="9"/>
        <v>-4500</v>
      </c>
      <c r="K143" s="7"/>
      <c r="V143" s="5">
        <f t="shared" si="10"/>
        <v>0</v>
      </c>
      <c r="W143" s="5">
        <f t="shared" si="11"/>
        <v>1</v>
      </c>
    </row>
    <row r="144" spans="1:23" s="36" customFormat="1" x14ac:dyDescent="0.3">
      <c r="A144" s="6"/>
      <c r="B144" s="17">
        <f t="shared" si="12"/>
        <v>12</v>
      </c>
      <c r="C144" s="18">
        <v>44356</v>
      </c>
      <c r="D144" s="19" t="s">
        <v>18</v>
      </c>
      <c r="E144" s="19" t="s">
        <v>389</v>
      </c>
      <c r="F144" s="35">
        <v>60</v>
      </c>
      <c r="G144" s="35">
        <v>75</v>
      </c>
      <c r="H144" s="35">
        <v>15</v>
      </c>
      <c r="I144" s="20">
        <v>300</v>
      </c>
      <c r="J144" s="21">
        <f t="shared" si="9"/>
        <v>4500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13</v>
      </c>
      <c r="C145" s="18">
        <v>44357</v>
      </c>
      <c r="D145" s="19" t="s">
        <v>18</v>
      </c>
      <c r="E145" s="19" t="s">
        <v>404</v>
      </c>
      <c r="F145" s="35">
        <v>60</v>
      </c>
      <c r="G145" s="35">
        <v>90</v>
      </c>
      <c r="H145" s="35">
        <v>30</v>
      </c>
      <c r="I145" s="20">
        <v>300</v>
      </c>
      <c r="J145" s="21">
        <f t="shared" si="9"/>
        <v>9000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14</v>
      </c>
      <c r="C146" s="18">
        <v>44357</v>
      </c>
      <c r="D146" s="19" t="s">
        <v>18</v>
      </c>
      <c r="E146" s="19" t="s">
        <v>404</v>
      </c>
      <c r="F146" s="77">
        <v>80</v>
      </c>
      <c r="G146" s="35">
        <v>105</v>
      </c>
      <c r="H146" s="78">
        <f>105-80</f>
        <v>25</v>
      </c>
      <c r="I146" s="20">
        <v>300</v>
      </c>
      <c r="J146" s="21">
        <f t="shared" si="9"/>
        <v>7500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15</v>
      </c>
      <c r="C147" s="18">
        <v>44358</v>
      </c>
      <c r="D147" s="19" t="s">
        <v>18</v>
      </c>
      <c r="E147" s="19" t="s">
        <v>405</v>
      </c>
      <c r="F147" s="35">
        <v>80</v>
      </c>
      <c r="G147" s="35">
        <v>88</v>
      </c>
      <c r="H147" s="78">
        <v>8</v>
      </c>
      <c r="I147" s="20">
        <v>300</v>
      </c>
      <c r="J147" s="21">
        <f t="shared" si="9"/>
        <v>2400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16</v>
      </c>
      <c r="C148" s="18">
        <v>44358</v>
      </c>
      <c r="D148" s="19" t="s">
        <v>18</v>
      </c>
      <c r="E148" s="19" t="s">
        <v>400</v>
      </c>
      <c r="F148" s="35">
        <v>95</v>
      </c>
      <c r="G148" s="35">
        <v>93</v>
      </c>
      <c r="H148" s="78">
        <v>-2</v>
      </c>
      <c r="I148" s="20">
        <v>300</v>
      </c>
      <c r="J148" s="21">
        <f t="shared" si="9"/>
        <v>-600</v>
      </c>
      <c r="K148" s="7"/>
      <c r="V148" s="5">
        <f t="shared" si="10"/>
        <v>0</v>
      </c>
      <c r="W148" s="5">
        <f t="shared" si="11"/>
        <v>1</v>
      </c>
    </row>
    <row r="149" spans="1:23" s="36" customFormat="1" x14ac:dyDescent="0.3">
      <c r="A149" s="6"/>
      <c r="B149" s="17">
        <f t="shared" si="12"/>
        <v>17</v>
      </c>
      <c r="C149" s="18">
        <v>44361</v>
      </c>
      <c r="D149" s="19" t="s">
        <v>18</v>
      </c>
      <c r="E149" s="19" t="s">
        <v>399</v>
      </c>
      <c r="F149" s="35">
        <v>80</v>
      </c>
      <c r="G149" s="35">
        <v>95</v>
      </c>
      <c r="H149" s="78">
        <v>15</v>
      </c>
      <c r="I149" s="20">
        <v>300</v>
      </c>
      <c r="J149" s="21">
        <f t="shared" si="9"/>
        <v>4500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18</v>
      </c>
      <c r="C150" s="18">
        <v>44361</v>
      </c>
      <c r="D150" s="19" t="s">
        <v>18</v>
      </c>
      <c r="E150" s="19" t="s">
        <v>389</v>
      </c>
      <c r="F150" s="35">
        <v>75</v>
      </c>
      <c r="G150" s="35">
        <v>105</v>
      </c>
      <c r="H150" s="78">
        <v>60</v>
      </c>
      <c r="I150" s="20">
        <v>300</v>
      </c>
      <c r="J150" s="21">
        <f t="shared" si="9"/>
        <v>18000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19</v>
      </c>
      <c r="C151" s="18">
        <v>44362</v>
      </c>
      <c r="D151" s="19" t="s">
        <v>18</v>
      </c>
      <c r="E151" s="19" t="s">
        <v>405</v>
      </c>
      <c r="F151" s="35">
        <v>75</v>
      </c>
      <c r="G151" s="35">
        <v>90</v>
      </c>
      <c r="H151" s="78">
        <v>15</v>
      </c>
      <c r="I151" s="20">
        <v>300</v>
      </c>
      <c r="J151" s="21">
        <f t="shared" si="9"/>
        <v>4500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20</v>
      </c>
      <c r="C152" s="18">
        <v>44362</v>
      </c>
      <c r="D152" s="19" t="s">
        <v>18</v>
      </c>
      <c r="E152" s="19" t="s">
        <v>405</v>
      </c>
      <c r="F152" s="35">
        <v>85</v>
      </c>
      <c r="G152" s="35">
        <v>70</v>
      </c>
      <c r="H152" s="35">
        <v>-15</v>
      </c>
      <c r="I152" s="20">
        <v>300</v>
      </c>
      <c r="J152" s="21">
        <f t="shared" si="9"/>
        <v>-4500</v>
      </c>
      <c r="K152" s="7"/>
      <c r="V152" s="5">
        <f t="shared" si="10"/>
        <v>0</v>
      </c>
      <c r="W152" s="5">
        <f t="shared" si="11"/>
        <v>1</v>
      </c>
    </row>
    <row r="153" spans="1:23" s="36" customFormat="1" x14ac:dyDescent="0.3">
      <c r="A153" s="6"/>
      <c r="B153" s="17">
        <f t="shared" si="12"/>
        <v>21</v>
      </c>
      <c r="C153" s="18">
        <v>44364</v>
      </c>
      <c r="D153" s="19" t="s">
        <v>18</v>
      </c>
      <c r="E153" s="19" t="s">
        <v>399</v>
      </c>
      <c r="F153" s="35">
        <v>50</v>
      </c>
      <c r="G153" s="35">
        <v>77</v>
      </c>
      <c r="H153" s="35">
        <v>27</v>
      </c>
      <c r="I153" s="20">
        <v>300</v>
      </c>
      <c r="J153" s="21">
        <f t="shared" si="9"/>
        <v>8100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2"/>
        <v>22</v>
      </c>
      <c r="C154" s="18">
        <v>44365</v>
      </c>
      <c r="D154" s="19" t="s">
        <v>18</v>
      </c>
      <c r="E154" s="19" t="s">
        <v>385</v>
      </c>
      <c r="F154" s="35">
        <v>105</v>
      </c>
      <c r="G154" s="35">
        <v>120</v>
      </c>
      <c r="H154" s="35">
        <f>120-105</f>
        <v>15</v>
      </c>
      <c r="I154" s="20">
        <v>300</v>
      </c>
      <c r="J154" s="21">
        <f t="shared" si="9"/>
        <v>4500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2"/>
        <v>23</v>
      </c>
      <c r="C155" s="18">
        <v>44365</v>
      </c>
      <c r="D155" s="19" t="s">
        <v>18</v>
      </c>
      <c r="E155" s="19" t="s">
        <v>406</v>
      </c>
      <c r="F155" s="35">
        <v>95</v>
      </c>
      <c r="G155" s="35">
        <v>125</v>
      </c>
      <c r="H155" s="35">
        <v>60</v>
      </c>
      <c r="I155" s="20">
        <v>300</v>
      </c>
      <c r="J155" s="21">
        <f t="shared" si="9"/>
        <v>18000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>B155+1</f>
        <v>24</v>
      </c>
      <c r="C156" s="18">
        <v>44368</v>
      </c>
      <c r="D156" s="19" t="s">
        <v>18</v>
      </c>
      <c r="E156" s="19" t="s">
        <v>404</v>
      </c>
      <c r="F156" s="35">
        <v>75</v>
      </c>
      <c r="G156" s="35">
        <v>100</v>
      </c>
      <c r="H156" s="35">
        <f>100-75</f>
        <v>25</v>
      </c>
      <c r="I156" s="20">
        <v>300</v>
      </c>
      <c r="J156" s="21">
        <f t="shared" si="9"/>
        <v>7500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ref="B157:B178" si="13">B156+1</f>
        <v>25</v>
      </c>
      <c r="C157" s="18">
        <v>44368</v>
      </c>
      <c r="D157" s="19" t="s">
        <v>18</v>
      </c>
      <c r="E157" s="19" t="s">
        <v>407</v>
      </c>
      <c r="F157" s="35">
        <v>85</v>
      </c>
      <c r="G157" s="35">
        <v>115</v>
      </c>
      <c r="H157" s="35">
        <v>60</v>
      </c>
      <c r="I157" s="20">
        <v>300</v>
      </c>
      <c r="J157" s="21">
        <f t="shared" si="9"/>
        <v>18000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3"/>
        <v>26</v>
      </c>
      <c r="C158" s="18">
        <v>44369</v>
      </c>
      <c r="D158" s="19" t="s">
        <v>18</v>
      </c>
      <c r="E158" s="19" t="s">
        <v>405</v>
      </c>
      <c r="F158" s="35">
        <v>70</v>
      </c>
      <c r="G158" s="35">
        <v>85</v>
      </c>
      <c r="H158" s="35">
        <v>15</v>
      </c>
      <c r="I158" s="20">
        <v>300</v>
      </c>
      <c r="J158" s="21">
        <f t="shared" si="9"/>
        <v>4500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3"/>
        <v>27</v>
      </c>
      <c r="C159" s="18">
        <v>44369</v>
      </c>
      <c r="D159" s="19" t="s">
        <v>18</v>
      </c>
      <c r="E159" s="19" t="s">
        <v>400</v>
      </c>
      <c r="F159" s="35">
        <v>100</v>
      </c>
      <c r="G159" s="35">
        <v>89</v>
      </c>
      <c r="H159" s="35">
        <v>-11</v>
      </c>
      <c r="I159" s="20">
        <v>300</v>
      </c>
      <c r="J159" s="21">
        <f t="shared" si="9"/>
        <v>-3300</v>
      </c>
      <c r="K159" s="7"/>
      <c r="V159" s="5">
        <f t="shared" si="10"/>
        <v>0</v>
      </c>
      <c r="W159" s="5">
        <f t="shared" si="11"/>
        <v>1</v>
      </c>
    </row>
    <row r="160" spans="1:23" s="36" customFormat="1" x14ac:dyDescent="0.3">
      <c r="A160" s="6"/>
      <c r="B160" s="17">
        <f t="shared" si="13"/>
        <v>28</v>
      </c>
      <c r="C160" s="18">
        <v>44370</v>
      </c>
      <c r="D160" s="19" t="s">
        <v>18</v>
      </c>
      <c r="E160" s="19" t="s">
        <v>408</v>
      </c>
      <c r="F160" s="35">
        <v>75</v>
      </c>
      <c r="G160" s="35">
        <v>90</v>
      </c>
      <c r="H160" s="35">
        <v>15</v>
      </c>
      <c r="I160" s="20">
        <v>300</v>
      </c>
      <c r="J160" s="21">
        <f t="shared" si="9"/>
        <v>4500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si="13"/>
        <v>29</v>
      </c>
      <c r="C161" s="18">
        <v>44370</v>
      </c>
      <c r="D161" s="19" t="s">
        <v>18</v>
      </c>
      <c r="E161" s="19" t="s">
        <v>389</v>
      </c>
      <c r="F161" s="35">
        <v>75</v>
      </c>
      <c r="G161" s="35">
        <v>82.9</v>
      </c>
      <c r="H161" s="35">
        <f>82.9-75</f>
        <v>7.9000000000000057</v>
      </c>
      <c r="I161" s="20">
        <v>300</v>
      </c>
      <c r="J161" s="21">
        <f t="shared" si="9"/>
        <v>2370.0000000000018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30</v>
      </c>
      <c r="C162" s="18">
        <v>44371</v>
      </c>
      <c r="D162" s="19" t="s">
        <v>18</v>
      </c>
      <c r="E162" s="19" t="s">
        <v>399</v>
      </c>
      <c r="F162" s="35">
        <v>60</v>
      </c>
      <c r="G162" s="35">
        <v>90</v>
      </c>
      <c r="H162" s="35">
        <v>30</v>
      </c>
      <c r="I162" s="20">
        <v>300</v>
      </c>
      <c r="J162" s="21">
        <f t="shared" si="9"/>
        <v>9000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31</v>
      </c>
      <c r="C163" s="18">
        <v>44371</v>
      </c>
      <c r="D163" s="19" t="s">
        <v>18</v>
      </c>
      <c r="E163" s="19" t="s">
        <v>399</v>
      </c>
      <c r="F163" s="35">
        <v>85</v>
      </c>
      <c r="G163" s="35">
        <v>115</v>
      </c>
      <c r="H163" s="35">
        <v>60</v>
      </c>
      <c r="I163" s="20">
        <v>300</v>
      </c>
      <c r="J163" s="21">
        <f t="shared" si="9"/>
        <v>18000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32</v>
      </c>
      <c r="C164" s="18">
        <v>44372</v>
      </c>
      <c r="D164" s="19" t="s">
        <v>18</v>
      </c>
      <c r="E164" s="19" t="s">
        <v>405</v>
      </c>
      <c r="F164" s="35">
        <v>85</v>
      </c>
      <c r="G164" s="35">
        <v>100</v>
      </c>
      <c r="H164" s="35">
        <v>15</v>
      </c>
      <c r="I164" s="20">
        <v>300</v>
      </c>
      <c r="J164" s="21">
        <f t="shared" si="9"/>
        <v>4500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3"/>
        <v>33</v>
      </c>
      <c r="C165" s="18">
        <v>44372</v>
      </c>
      <c r="D165" s="19" t="s">
        <v>18</v>
      </c>
      <c r="E165" s="19" t="s">
        <v>401</v>
      </c>
      <c r="F165" s="35">
        <v>65</v>
      </c>
      <c r="G165" s="35">
        <v>75</v>
      </c>
      <c r="H165" s="35">
        <v>10</v>
      </c>
      <c r="I165" s="20">
        <v>300</v>
      </c>
      <c r="J165" s="21">
        <f t="shared" si="9"/>
        <v>3000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3"/>
        <v>34</v>
      </c>
      <c r="C166" s="18">
        <v>44375</v>
      </c>
      <c r="D166" s="19" t="s">
        <v>18</v>
      </c>
      <c r="E166" s="19" t="s">
        <v>409</v>
      </c>
      <c r="F166" s="35">
        <v>80</v>
      </c>
      <c r="G166" s="35">
        <v>110</v>
      </c>
      <c r="H166" s="35">
        <v>60</v>
      </c>
      <c r="I166" s="20">
        <v>300</v>
      </c>
      <c r="J166" s="21">
        <f t="shared" si="9"/>
        <v>18000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3"/>
        <v>35</v>
      </c>
      <c r="C167" s="18">
        <v>44375</v>
      </c>
      <c r="D167" s="19" t="s">
        <v>18</v>
      </c>
      <c r="E167" s="19" t="s">
        <v>408</v>
      </c>
      <c r="F167" s="35">
        <v>75</v>
      </c>
      <c r="G167" s="35">
        <v>88</v>
      </c>
      <c r="H167" s="35">
        <f>88-75</f>
        <v>13</v>
      </c>
      <c r="I167" s="20">
        <v>300</v>
      </c>
      <c r="J167" s="21">
        <f t="shared" si="9"/>
        <v>3900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3"/>
        <v>36</v>
      </c>
      <c r="C168" s="18">
        <v>44376</v>
      </c>
      <c r="D168" s="19" t="s">
        <v>18</v>
      </c>
      <c r="E168" s="19" t="s">
        <v>408</v>
      </c>
      <c r="F168" s="35">
        <v>95</v>
      </c>
      <c r="G168" s="35">
        <v>109</v>
      </c>
      <c r="H168" s="35">
        <f>109-95</f>
        <v>14</v>
      </c>
      <c r="I168" s="20">
        <v>300</v>
      </c>
      <c r="J168" s="21">
        <f t="shared" si="9"/>
        <v>4200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3"/>
        <v>37</v>
      </c>
      <c r="C169" s="18">
        <v>44376</v>
      </c>
      <c r="D169" s="19" t="s">
        <v>18</v>
      </c>
      <c r="E169" s="19" t="s">
        <v>408</v>
      </c>
      <c r="F169" s="35">
        <v>65</v>
      </c>
      <c r="G169" s="35">
        <v>95</v>
      </c>
      <c r="H169" s="35">
        <v>30</v>
      </c>
      <c r="I169" s="20">
        <v>300</v>
      </c>
      <c r="J169" s="21">
        <f t="shared" si="9"/>
        <v>9000</v>
      </c>
      <c r="K169" s="7"/>
      <c r="V169" s="5">
        <f t="shared" si="10"/>
        <v>1</v>
      </c>
      <c r="W169" s="5">
        <f t="shared" si="11"/>
        <v>0</v>
      </c>
    </row>
    <row r="170" spans="1:23" s="36" customFormat="1" x14ac:dyDescent="0.3">
      <c r="A170" s="6"/>
      <c r="B170" s="17">
        <f t="shared" si="13"/>
        <v>38</v>
      </c>
      <c r="C170" s="18">
        <v>44377</v>
      </c>
      <c r="D170" s="19" t="s">
        <v>18</v>
      </c>
      <c r="E170" s="19" t="s">
        <v>400</v>
      </c>
      <c r="F170" s="35">
        <v>60</v>
      </c>
      <c r="G170" s="35">
        <v>74</v>
      </c>
      <c r="H170" s="35">
        <f>74-60</f>
        <v>14</v>
      </c>
      <c r="I170" s="20">
        <v>300</v>
      </c>
      <c r="J170" s="21">
        <f t="shared" si="9"/>
        <v>4200</v>
      </c>
      <c r="K170" s="7"/>
      <c r="V170" s="5">
        <f t="shared" si="10"/>
        <v>1</v>
      </c>
      <c r="W170" s="5">
        <f t="shared" si="11"/>
        <v>0</v>
      </c>
    </row>
    <row r="171" spans="1:23" s="36" customFormat="1" x14ac:dyDescent="0.3">
      <c r="A171" s="6"/>
      <c r="B171" s="17">
        <f t="shared" si="13"/>
        <v>39</v>
      </c>
      <c r="C171" s="18">
        <v>44377</v>
      </c>
      <c r="D171" s="19" t="s">
        <v>18</v>
      </c>
      <c r="E171" s="19" t="s">
        <v>410</v>
      </c>
      <c r="F171" s="35">
        <v>60</v>
      </c>
      <c r="G171" s="35">
        <v>68</v>
      </c>
      <c r="H171" s="35">
        <v>8</v>
      </c>
      <c r="I171" s="20">
        <v>300</v>
      </c>
      <c r="J171" s="21">
        <f t="shared" si="9"/>
        <v>2400</v>
      </c>
      <c r="K171" s="7"/>
      <c r="V171" s="5">
        <f t="shared" si="10"/>
        <v>1</v>
      </c>
      <c r="W171" s="5">
        <f t="shared" si="11"/>
        <v>0</v>
      </c>
    </row>
    <row r="172" spans="1:23" s="36" customFormat="1" x14ac:dyDescent="0.3">
      <c r="A172" s="6"/>
      <c r="B172" s="17">
        <f t="shared" si="13"/>
        <v>40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x14ac:dyDescent="0.3">
      <c r="A173" s="6"/>
      <c r="B173" s="17">
        <f t="shared" si="13"/>
        <v>41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x14ac:dyDescent="0.3">
      <c r="A174" s="6"/>
      <c r="B174" s="17">
        <f t="shared" si="13"/>
        <v>42</v>
      </c>
      <c r="C174" s="18"/>
      <c r="D174" s="19"/>
      <c r="E174" s="19"/>
      <c r="F174" s="35"/>
      <c r="G174" s="35"/>
      <c r="H174" s="35"/>
      <c r="I174" s="20"/>
      <c r="J174" s="21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x14ac:dyDescent="0.3">
      <c r="A175" s="6"/>
      <c r="B175" s="17">
        <f t="shared" si="13"/>
        <v>43</v>
      </c>
      <c r="C175" s="18"/>
      <c r="D175" s="19"/>
      <c r="E175" s="19"/>
      <c r="F175" s="35"/>
      <c r="G175" s="35"/>
      <c r="H175" s="35"/>
      <c r="I175" s="20"/>
      <c r="J175" s="21">
        <f t="shared" si="9"/>
        <v>0</v>
      </c>
      <c r="K175" s="7"/>
      <c r="V175" s="5">
        <f t="shared" si="10"/>
        <v>0</v>
      </c>
      <c r="W175" s="5">
        <f t="shared" si="11"/>
        <v>0</v>
      </c>
    </row>
    <row r="176" spans="1:23" s="36" customFormat="1" x14ac:dyDescent="0.3">
      <c r="A176" s="6"/>
      <c r="B176" s="17">
        <f t="shared" si="13"/>
        <v>44</v>
      </c>
      <c r="C176" s="18"/>
      <c r="D176" s="19"/>
      <c r="E176" s="19"/>
      <c r="F176" s="35"/>
      <c r="G176" s="35"/>
      <c r="H176" s="35"/>
      <c r="I176" s="20"/>
      <c r="J176" s="21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x14ac:dyDescent="0.3">
      <c r="A177" s="6"/>
      <c r="B177" s="17">
        <f t="shared" si="13"/>
        <v>45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ht="15" thickBot="1" x14ac:dyDescent="0.35">
      <c r="A178" s="6"/>
      <c r="B178" s="95">
        <f t="shared" si="13"/>
        <v>46</v>
      </c>
      <c r="C178" s="79"/>
      <c r="D178" s="80"/>
      <c r="E178" s="80"/>
      <c r="F178" s="96"/>
      <c r="G178" s="96"/>
      <c r="H178" s="96"/>
      <c r="I178" s="81"/>
      <c r="J178" s="82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ht="24" thickBot="1" x14ac:dyDescent="0.5">
      <c r="A179" s="6"/>
      <c r="B179" s="165" t="s">
        <v>22</v>
      </c>
      <c r="C179" s="166"/>
      <c r="D179" s="166"/>
      <c r="E179" s="166"/>
      <c r="F179" s="166"/>
      <c r="G179" s="166"/>
      <c r="H179" s="167"/>
      <c r="I179" s="83" t="s">
        <v>23</v>
      </c>
      <c r="J179" s="84">
        <f>SUM(J133:J178)</f>
        <v>214170</v>
      </c>
      <c r="K179" s="7"/>
      <c r="L179" s="5"/>
      <c r="M179" s="5"/>
      <c r="N179" s="5"/>
      <c r="O179" s="5"/>
      <c r="P179" s="5"/>
      <c r="Q179" s="5"/>
      <c r="R179" s="5"/>
      <c r="V179" s="36">
        <f>SUM(V133:V178)</f>
        <v>34</v>
      </c>
      <c r="W179" s="36">
        <f>SUM(W133:W178)</f>
        <v>5</v>
      </c>
    </row>
    <row r="180" spans="1:23" s="36" customFormat="1" ht="30" customHeight="1" thickBot="1" x14ac:dyDescent="0.35">
      <c r="A180" s="30"/>
      <c r="B180" s="31"/>
      <c r="C180" s="31"/>
      <c r="D180" s="31"/>
      <c r="E180" s="31"/>
      <c r="F180" s="31"/>
      <c r="G180" s="31"/>
      <c r="H180" s="32"/>
      <c r="I180" s="31"/>
      <c r="J180" s="32"/>
      <c r="K180" s="33"/>
      <c r="L180" s="5"/>
      <c r="M180" s="5"/>
      <c r="N180" s="5"/>
      <c r="O180" s="5"/>
      <c r="P180" s="5"/>
      <c r="Q180" s="5"/>
      <c r="R180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B125:H125"/>
    <mergeCell ref="B129:J129"/>
    <mergeCell ref="B130:J130"/>
    <mergeCell ref="B131:J131"/>
    <mergeCell ref="B179:H179"/>
  </mergeCells>
  <hyperlinks>
    <hyperlink ref="B59" r:id="rId1" xr:uid="{00000000-0004-0000-0B00-000000000000}"/>
    <hyperlink ref="B125" r:id="rId2" xr:uid="{00000000-0004-0000-0B00-000001000000}"/>
    <hyperlink ref="B179" r:id="rId3" xr:uid="{00000000-0004-0000-0B00-000002000000}"/>
    <hyperlink ref="M1" location="MASTER!A1" display="Back" xr:uid="{00000000-0004-0000-0B00-000003000000}"/>
    <hyperlink ref="M6:M7" location="'JUNE 2021'!A1" display="EXTRA STOCK FUTURE" xr:uid="{00000000-0004-0000-0B00-000004000000}"/>
  </hyperlinks>
  <pageMargins left="0" right="0" top="0" bottom="0" header="0" footer="0"/>
  <pageSetup paperSize="9" orientation="portrait" r:id="rId4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80"/>
  <sheetViews>
    <sheetView zoomScaleNormal="100" workbookViewId="0">
      <selection activeCell="M18" sqref="M18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44378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95" t="s">
        <v>107</v>
      </c>
      <c r="N4" s="111">
        <f>COUNT(C6:C58)</f>
        <v>35</v>
      </c>
      <c r="O4" s="113">
        <f>V59</f>
        <v>25</v>
      </c>
      <c r="P4" s="113">
        <f>W59</f>
        <v>9</v>
      </c>
      <c r="Q4" s="197">
        <f>N4-O4-P4</f>
        <v>1</v>
      </c>
      <c r="R4" s="199">
        <f>O4/N4</f>
        <v>0.7142857142857143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96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44378</v>
      </c>
      <c r="D6" s="90" t="s">
        <v>18</v>
      </c>
      <c r="E6" s="90" t="s">
        <v>369</v>
      </c>
      <c r="F6" s="90">
        <v>70</v>
      </c>
      <c r="G6" s="90">
        <v>40</v>
      </c>
      <c r="H6" s="91">
        <v>-30</v>
      </c>
      <c r="I6" s="90">
        <v>100</v>
      </c>
      <c r="J6" s="92">
        <f t="shared" ref="J6:J58" si="0">H6*I6</f>
        <v>-3000</v>
      </c>
      <c r="K6" s="7"/>
      <c r="M6" s="213" t="s">
        <v>108</v>
      </c>
      <c r="N6" s="112">
        <f>COUNT(C67:C124)</f>
        <v>39</v>
      </c>
      <c r="O6" s="114">
        <f>V125</f>
        <v>29</v>
      </c>
      <c r="P6" s="114">
        <f>W125</f>
        <v>6</v>
      </c>
      <c r="Q6" s="198">
        <f>N6-O6-P6</f>
        <v>4</v>
      </c>
      <c r="R6" s="203">
        <f t="shared" ref="R6" si="1">O6/N6</f>
        <v>0.74358974358974361</v>
      </c>
      <c r="V6" s="5">
        <f t="shared" ref="V6:V58" si="2">IF($J6&gt;0,1,0)</f>
        <v>0</v>
      </c>
      <c r="W6" s="5">
        <f t="shared" ref="W6:W58" si="3">IF($J6&lt;0,1,0)</f>
        <v>1</v>
      </c>
    </row>
    <row r="7" spans="1:23" x14ac:dyDescent="0.3">
      <c r="A7" s="6"/>
      <c r="B7" s="17">
        <v>2</v>
      </c>
      <c r="C7" s="85">
        <v>44382</v>
      </c>
      <c r="D7" s="86" t="s">
        <v>18</v>
      </c>
      <c r="E7" s="86" t="s">
        <v>392</v>
      </c>
      <c r="F7" s="86">
        <v>120</v>
      </c>
      <c r="G7" s="86">
        <v>120</v>
      </c>
      <c r="H7" s="87">
        <v>0</v>
      </c>
      <c r="I7" s="86">
        <v>100</v>
      </c>
      <c r="J7" s="21">
        <f t="shared" si="0"/>
        <v>0</v>
      </c>
      <c r="K7" s="7"/>
      <c r="M7" s="213"/>
      <c r="N7" s="112"/>
      <c r="O7" s="114"/>
      <c r="P7" s="114"/>
      <c r="Q7" s="198"/>
      <c r="R7" s="200"/>
      <c r="V7" s="5">
        <f t="shared" si="2"/>
        <v>0</v>
      </c>
      <c r="W7" s="5">
        <f t="shared" si="3"/>
        <v>0</v>
      </c>
    </row>
    <row r="8" spans="1:23" x14ac:dyDescent="0.3">
      <c r="A8" s="6"/>
      <c r="B8" s="88">
        <v>3</v>
      </c>
      <c r="C8" s="85">
        <v>44383</v>
      </c>
      <c r="D8" s="86" t="s">
        <v>18</v>
      </c>
      <c r="E8" s="86" t="s">
        <v>394</v>
      </c>
      <c r="F8" s="86">
        <v>150</v>
      </c>
      <c r="G8" s="86">
        <v>250</v>
      </c>
      <c r="H8" s="87">
        <v>100</v>
      </c>
      <c r="I8" s="86">
        <v>100</v>
      </c>
      <c r="J8" s="21">
        <f t="shared" si="0"/>
        <v>10000</v>
      </c>
      <c r="K8" s="7"/>
      <c r="M8" s="205" t="s">
        <v>194</v>
      </c>
      <c r="N8" s="112">
        <f>COUNT(C133:C178)</f>
        <v>37</v>
      </c>
      <c r="O8" s="114">
        <f>V179</f>
        <v>32</v>
      </c>
      <c r="P8" s="114">
        <f>W179</f>
        <v>5</v>
      </c>
      <c r="Q8" s="198">
        <f>N8-O8-P8</f>
        <v>0</v>
      </c>
      <c r="R8" s="203">
        <f t="shared" ref="R8:R10" si="4">O8/N8</f>
        <v>0.86486486486486491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44383</v>
      </c>
      <c r="D9" s="86" t="s">
        <v>18</v>
      </c>
      <c r="E9" s="86" t="s">
        <v>278</v>
      </c>
      <c r="F9" s="86">
        <v>130</v>
      </c>
      <c r="G9" s="86">
        <v>200</v>
      </c>
      <c r="H9" s="87">
        <f>200-130</f>
        <v>70</v>
      </c>
      <c r="I9" s="86">
        <v>100</v>
      </c>
      <c r="J9" s="21">
        <f t="shared" si="0"/>
        <v>7000</v>
      </c>
      <c r="K9" s="7"/>
      <c r="M9" s="206"/>
      <c r="N9" s="184"/>
      <c r="O9" s="172"/>
      <c r="P9" s="172"/>
      <c r="Q9" s="174"/>
      <c r="R9" s="204"/>
      <c r="V9" s="5">
        <f t="shared" si="2"/>
        <v>1</v>
      </c>
      <c r="W9" s="5">
        <f t="shared" si="3"/>
        <v>0</v>
      </c>
    </row>
    <row r="10" spans="1:23" ht="16.5" customHeight="1" x14ac:dyDescent="0.3">
      <c r="A10" s="6"/>
      <c r="B10" s="88">
        <v>5</v>
      </c>
      <c r="C10" s="85">
        <v>44384</v>
      </c>
      <c r="D10" s="86" t="s">
        <v>18</v>
      </c>
      <c r="E10" s="86" t="s">
        <v>300</v>
      </c>
      <c r="F10" s="86">
        <v>140</v>
      </c>
      <c r="G10" s="86">
        <v>105</v>
      </c>
      <c r="H10" s="87">
        <v>-35</v>
      </c>
      <c r="I10" s="86">
        <v>100</v>
      </c>
      <c r="J10" s="21">
        <f t="shared" si="0"/>
        <v>-3500</v>
      </c>
      <c r="K10" s="7"/>
      <c r="M10" s="207" t="s">
        <v>19</v>
      </c>
      <c r="N10" s="149">
        <f>SUM(N4:N9)</f>
        <v>111</v>
      </c>
      <c r="O10" s="209">
        <f>SUM(O4:O9)</f>
        <v>86</v>
      </c>
      <c r="P10" s="209">
        <f>SUM(P4:P9)</f>
        <v>20</v>
      </c>
      <c r="Q10" s="211">
        <f>SUM(Q4:Q9)</f>
        <v>5</v>
      </c>
      <c r="R10" s="199">
        <f t="shared" si="4"/>
        <v>0.77477477477477474</v>
      </c>
      <c r="V10" s="5">
        <f t="shared" si="2"/>
        <v>0</v>
      </c>
      <c r="W10" s="5">
        <f t="shared" si="3"/>
        <v>1</v>
      </c>
    </row>
    <row r="11" spans="1:23" ht="15.75" customHeight="1" thickBot="1" x14ac:dyDescent="0.35">
      <c r="A11" s="6"/>
      <c r="B11" s="17">
        <v>6</v>
      </c>
      <c r="C11" s="85">
        <v>44384</v>
      </c>
      <c r="D11" s="86" t="s">
        <v>18</v>
      </c>
      <c r="E11" s="86" t="s">
        <v>274</v>
      </c>
      <c r="F11" s="86">
        <v>120</v>
      </c>
      <c r="G11" s="86">
        <v>167</v>
      </c>
      <c r="H11" s="87">
        <f>167-120</f>
        <v>47</v>
      </c>
      <c r="I11" s="86">
        <v>100</v>
      </c>
      <c r="J11" s="21">
        <f t="shared" si="0"/>
        <v>4700</v>
      </c>
      <c r="K11" s="7"/>
      <c r="M11" s="208"/>
      <c r="N11" s="150"/>
      <c r="O11" s="210"/>
      <c r="P11" s="210"/>
      <c r="Q11" s="212"/>
      <c r="R11" s="204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44385</v>
      </c>
      <c r="D12" s="86" t="s">
        <v>18</v>
      </c>
      <c r="E12" s="86" t="s">
        <v>384</v>
      </c>
      <c r="F12" s="86">
        <v>140</v>
      </c>
      <c r="G12" s="86">
        <v>240</v>
      </c>
      <c r="H12" s="87">
        <v>100</v>
      </c>
      <c r="I12" s="86">
        <v>100</v>
      </c>
      <c r="J12" s="21">
        <f t="shared" si="0"/>
        <v>10000</v>
      </c>
      <c r="K12" s="7"/>
      <c r="M12" s="126" t="s">
        <v>20</v>
      </c>
      <c r="N12" s="130"/>
      <c r="O12" s="131"/>
      <c r="P12" s="138">
        <f>R10</f>
        <v>0.77477477477477474</v>
      </c>
      <c r="Q12" s="139"/>
      <c r="R12" s="137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44385</v>
      </c>
      <c r="D13" s="86" t="s">
        <v>18</v>
      </c>
      <c r="E13" s="86" t="s">
        <v>259</v>
      </c>
      <c r="F13" s="86">
        <v>110</v>
      </c>
      <c r="G13" s="86">
        <v>185</v>
      </c>
      <c r="H13" s="87">
        <f>185-110</f>
        <v>75</v>
      </c>
      <c r="I13" s="86">
        <v>100</v>
      </c>
      <c r="J13" s="21">
        <f t="shared" si="0"/>
        <v>7500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44386</v>
      </c>
      <c r="D14" s="86" t="s">
        <v>18</v>
      </c>
      <c r="E14" s="86" t="s">
        <v>371</v>
      </c>
      <c r="F14" s="86">
        <v>140</v>
      </c>
      <c r="G14" s="86">
        <v>90</v>
      </c>
      <c r="H14" s="87">
        <v>-50</v>
      </c>
      <c r="I14" s="86">
        <v>100</v>
      </c>
      <c r="J14" s="21">
        <f t="shared" si="0"/>
        <v>-5000</v>
      </c>
      <c r="K14" s="7"/>
      <c r="M14" s="132"/>
      <c r="N14" s="133"/>
      <c r="O14" s="134"/>
      <c r="P14" s="141"/>
      <c r="Q14" s="142"/>
      <c r="R14" s="143"/>
      <c r="V14" s="5">
        <f t="shared" si="2"/>
        <v>0</v>
      </c>
      <c r="W14" s="5">
        <f t="shared" si="3"/>
        <v>1</v>
      </c>
    </row>
    <row r="15" spans="1:23" x14ac:dyDescent="0.3">
      <c r="A15" s="6"/>
      <c r="B15" s="17">
        <v>10</v>
      </c>
      <c r="C15" s="85">
        <v>44389</v>
      </c>
      <c r="D15" s="86" t="s">
        <v>18</v>
      </c>
      <c r="E15" s="86" t="s">
        <v>274</v>
      </c>
      <c r="F15" s="86">
        <v>120</v>
      </c>
      <c r="G15" s="86">
        <v>70</v>
      </c>
      <c r="H15" s="87">
        <v>-50</v>
      </c>
      <c r="I15" s="86">
        <v>100</v>
      </c>
      <c r="J15" s="21">
        <f t="shared" si="0"/>
        <v>-5000</v>
      </c>
      <c r="K15" s="7"/>
      <c r="V15" s="5">
        <f t="shared" si="2"/>
        <v>0</v>
      </c>
      <c r="W15" s="5">
        <f t="shared" si="3"/>
        <v>1</v>
      </c>
    </row>
    <row r="16" spans="1:23" x14ac:dyDescent="0.3">
      <c r="A16" s="6"/>
      <c r="B16" s="88">
        <v>11</v>
      </c>
      <c r="C16" s="18">
        <v>44389</v>
      </c>
      <c r="D16" s="19" t="s">
        <v>18</v>
      </c>
      <c r="E16" s="19" t="s">
        <v>387</v>
      </c>
      <c r="F16" s="35">
        <v>140</v>
      </c>
      <c r="G16" s="35">
        <v>165</v>
      </c>
      <c r="H16" s="35">
        <v>25</v>
      </c>
      <c r="I16" s="20">
        <v>100</v>
      </c>
      <c r="J16" s="21">
        <f t="shared" si="0"/>
        <v>2500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18">
        <v>44390</v>
      </c>
      <c r="D17" s="19" t="s">
        <v>18</v>
      </c>
      <c r="E17" s="19" t="s">
        <v>394</v>
      </c>
      <c r="F17" s="35">
        <v>150</v>
      </c>
      <c r="G17" s="35">
        <v>250</v>
      </c>
      <c r="H17" s="35">
        <v>100</v>
      </c>
      <c r="I17" s="20">
        <v>100</v>
      </c>
      <c r="J17" s="21">
        <f t="shared" si="0"/>
        <v>10000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18">
        <v>44390</v>
      </c>
      <c r="D18" s="19" t="s">
        <v>18</v>
      </c>
      <c r="E18" s="19" t="s">
        <v>274</v>
      </c>
      <c r="F18" s="35">
        <v>150</v>
      </c>
      <c r="G18" s="35">
        <v>200</v>
      </c>
      <c r="H18" s="35">
        <v>50</v>
      </c>
      <c r="I18" s="20">
        <v>100</v>
      </c>
      <c r="J18" s="21">
        <f t="shared" si="0"/>
        <v>5000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18">
        <v>44391</v>
      </c>
      <c r="D19" s="19" t="s">
        <v>18</v>
      </c>
      <c r="E19" s="19" t="s">
        <v>370</v>
      </c>
      <c r="F19" s="35">
        <v>120</v>
      </c>
      <c r="G19" s="35">
        <v>220</v>
      </c>
      <c r="H19" s="35">
        <v>100</v>
      </c>
      <c r="I19" s="20">
        <v>100</v>
      </c>
      <c r="J19" s="21">
        <f t="shared" si="0"/>
        <v>10000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18">
        <v>44391</v>
      </c>
      <c r="D20" s="19" t="s">
        <v>18</v>
      </c>
      <c r="E20" s="19" t="s">
        <v>274</v>
      </c>
      <c r="F20" s="35">
        <v>140</v>
      </c>
      <c r="G20" s="35">
        <v>209</v>
      </c>
      <c r="H20" s="78">
        <f>209-140</f>
        <v>69</v>
      </c>
      <c r="I20" s="20">
        <v>100</v>
      </c>
      <c r="J20" s="21">
        <f t="shared" si="0"/>
        <v>6900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18">
        <v>44392</v>
      </c>
      <c r="D21" s="19" t="s">
        <v>18</v>
      </c>
      <c r="E21" s="19" t="s">
        <v>278</v>
      </c>
      <c r="F21" s="35">
        <v>80</v>
      </c>
      <c r="G21" s="35">
        <v>180</v>
      </c>
      <c r="H21" s="35">
        <v>100</v>
      </c>
      <c r="I21" s="20">
        <v>100</v>
      </c>
      <c r="J21" s="21">
        <f t="shared" si="0"/>
        <v>10000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44392</v>
      </c>
      <c r="D22" s="19" t="s">
        <v>18</v>
      </c>
      <c r="E22" s="19" t="s">
        <v>388</v>
      </c>
      <c r="F22" s="35">
        <v>110</v>
      </c>
      <c r="G22" s="35">
        <v>130</v>
      </c>
      <c r="H22" s="35">
        <v>20</v>
      </c>
      <c r="I22" s="20">
        <v>100</v>
      </c>
      <c r="J22" s="21">
        <f t="shared" si="0"/>
        <v>2000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44393</v>
      </c>
      <c r="D23" s="19" t="s">
        <v>18</v>
      </c>
      <c r="E23" s="19" t="s">
        <v>300</v>
      </c>
      <c r="F23" s="35">
        <v>150</v>
      </c>
      <c r="G23" s="35">
        <v>186</v>
      </c>
      <c r="H23" s="35">
        <v>36</v>
      </c>
      <c r="I23" s="20">
        <v>100</v>
      </c>
      <c r="J23" s="21">
        <f t="shared" si="0"/>
        <v>3600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44393</v>
      </c>
      <c r="D24" s="19" t="s">
        <v>18</v>
      </c>
      <c r="E24" s="19" t="s">
        <v>253</v>
      </c>
      <c r="F24" s="35">
        <v>140</v>
      </c>
      <c r="G24" s="35">
        <v>155</v>
      </c>
      <c r="H24" s="35">
        <v>15</v>
      </c>
      <c r="I24" s="20">
        <v>100</v>
      </c>
      <c r="J24" s="21">
        <f t="shared" si="0"/>
        <v>1500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44396</v>
      </c>
      <c r="D25" s="19" t="s">
        <v>18</v>
      </c>
      <c r="E25" s="19" t="s">
        <v>370</v>
      </c>
      <c r="F25" s="35">
        <v>130</v>
      </c>
      <c r="G25" s="35">
        <v>80</v>
      </c>
      <c r="H25" s="35">
        <v>-50</v>
      </c>
      <c r="I25" s="20">
        <v>100</v>
      </c>
      <c r="J25" s="21">
        <f t="shared" si="0"/>
        <v>-5000</v>
      </c>
      <c r="K25" s="7"/>
      <c r="V25" s="5">
        <f t="shared" si="2"/>
        <v>0</v>
      </c>
      <c r="W25" s="5">
        <f t="shared" si="3"/>
        <v>1</v>
      </c>
    </row>
    <row r="26" spans="1:23" x14ac:dyDescent="0.3">
      <c r="A26" s="6"/>
      <c r="B26" s="88">
        <v>21</v>
      </c>
      <c r="C26" s="18">
        <v>44396</v>
      </c>
      <c r="D26" s="19" t="s">
        <v>18</v>
      </c>
      <c r="E26" s="19" t="s">
        <v>284</v>
      </c>
      <c r="F26" s="35">
        <v>140</v>
      </c>
      <c r="G26" s="35">
        <v>160</v>
      </c>
      <c r="H26" s="35">
        <v>20</v>
      </c>
      <c r="I26" s="20">
        <v>100</v>
      </c>
      <c r="J26" s="21">
        <f t="shared" si="0"/>
        <v>2000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44397</v>
      </c>
      <c r="D27" s="19" t="s">
        <v>18</v>
      </c>
      <c r="E27" s="19" t="s">
        <v>240</v>
      </c>
      <c r="F27" s="35">
        <v>130</v>
      </c>
      <c r="G27" s="35">
        <v>170</v>
      </c>
      <c r="H27" s="19">
        <v>40</v>
      </c>
      <c r="I27" s="20">
        <v>100</v>
      </c>
      <c r="J27" s="21">
        <f t="shared" si="0"/>
        <v>4000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44397</v>
      </c>
      <c r="D28" s="19" t="s">
        <v>18</v>
      </c>
      <c r="E28" s="19" t="s">
        <v>307</v>
      </c>
      <c r="F28" s="35">
        <v>100</v>
      </c>
      <c r="G28" s="35">
        <v>200</v>
      </c>
      <c r="H28" s="19">
        <v>100</v>
      </c>
      <c r="I28" s="20">
        <v>100</v>
      </c>
      <c r="J28" s="21">
        <f t="shared" si="0"/>
        <v>10000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44399</v>
      </c>
      <c r="D29" s="19" t="s">
        <v>18</v>
      </c>
      <c r="E29" s="19" t="s">
        <v>383</v>
      </c>
      <c r="F29" s="20">
        <v>80</v>
      </c>
      <c r="G29" s="20">
        <v>180</v>
      </c>
      <c r="H29" s="19">
        <v>100</v>
      </c>
      <c r="I29" s="20">
        <v>100</v>
      </c>
      <c r="J29" s="21">
        <f t="shared" si="0"/>
        <v>10000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44400</v>
      </c>
      <c r="D30" s="25" t="s">
        <v>18</v>
      </c>
      <c r="E30" s="25" t="s">
        <v>240</v>
      </c>
      <c r="F30" s="26">
        <v>150</v>
      </c>
      <c r="G30" s="61">
        <v>120</v>
      </c>
      <c r="H30" s="61">
        <v>-30</v>
      </c>
      <c r="I30" s="26">
        <v>100</v>
      </c>
      <c r="J30" s="21">
        <f t="shared" si="0"/>
        <v>-3000</v>
      </c>
      <c r="K30" s="7"/>
      <c r="V30" s="5">
        <f t="shared" si="2"/>
        <v>0</v>
      </c>
      <c r="W30" s="5">
        <f t="shared" si="3"/>
        <v>1</v>
      </c>
    </row>
    <row r="31" spans="1:23" x14ac:dyDescent="0.3">
      <c r="A31" s="6"/>
      <c r="B31" s="17">
        <v>26</v>
      </c>
      <c r="C31" s="24">
        <v>44400</v>
      </c>
      <c r="D31" s="25" t="s">
        <v>18</v>
      </c>
      <c r="E31" s="25" t="s">
        <v>393</v>
      </c>
      <c r="F31" s="26">
        <v>130</v>
      </c>
      <c r="G31" s="61">
        <v>200</v>
      </c>
      <c r="H31" s="61">
        <f>200-130</f>
        <v>70</v>
      </c>
      <c r="I31" s="26">
        <v>100</v>
      </c>
      <c r="J31" s="21">
        <f t="shared" si="0"/>
        <v>7000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44403</v>
      </c>
      <c r="D32" s="25" t="s">
        <v>18</v>
      </c>
      <c r="E32" s="25" t="s">
        <v>393</v>
      </c>
      <c r="F32" s="26">
        <v>130</v>
      </c>
      <c r="G32" s="61">
        <v>200</v>
      </c>
      <c r="H32" s="61">
        <f>200-130</f>
        <v>70</v>
      </c>
      <c r="I32" s="26">
        <v>100</v>
      </c>
      <c r="J32" s="21">
        <f t="shared" si="0"/>
        <v>7000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44403</v>
      </c>
      <c r="D33" s="25" t="s">
        <v>18</v>
      </c>
      <c r="E33" s="25" t="s">
        <v>392</v>
      </c>
      <c r="F33" s="26">
        <v>110</v>
      </c>
      <c r="G33" s="61">
        <v>60</v>
      </c>
      <c r="H33" s="61">
        <v>-50</v>
      </c>
      <c r="I33" s="26">
        <v>100</v>
      </c>
      <c r="J33" s="21">
        <f t="shared" si="0"/>
        <v>-5000</v>
      </c>
      <c r="K33" s="7"/>
      <c r="V33" s="5">
        <f t="shared" si="2"/>
        <v>0</v>
      </c>
      <c r="W33" s="5">
        <f t="shared" si="3"/>
        <v>1</v>
      </c>
    </row>
    <row r="34" spans="1:23" x14ac:dyDescent="0.3">
      <c r="A34" s="6"/>
      <c r="B34" s="88">
        <v>29</v>
      </c>
      <c r="C34" s="24">
        <v>44404</v>
      </c>
      <c r="D34" s="25" t="s">
        <v>18</v>
      </c>
      <c r="E34" s="25" t="s">
        <v>392</v>
      </c>
      <c r="F34" s="26">
        <v>110</v>
      </c>
      <c r="G34" s="61">
        <v>125</v>
      </c>
      <c r="H34" s="61">
        <f>125-110</f>
        <v>15</v>
      </c>
      <c r="I34" s="26">
        <v>100</v>
      </c>
      <c r="J34" s="21">
        <f t="shared" si="0"/>
        <v>1500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44404</v>
      </c>
      <c r="D35" s="25" t="s">
        <v>18</v>
      </c>
      <c r="E35" s="25" t="s">
        <v>419</v>
      </c>
      <c r="F35" s="26">
        <v>120</v>
      </c>
      <c r="G35" s="61">
        <v>140</v>
      </c>
      <c r="H35" s="61">
        <v>20</v>
      </c>
      <c r="I35" s="26">
        <v>100</v>
      </c>
      <c r="J35" s="21">
        <f t="shared" si="0"/>
        <v>2000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44405</v>
      </c>
      <c r="D36" s="25" t="s">
        <v>18</v>
      </c>
      <c r="E36" s="25" t="s">
        <v>371</v>
      </c>
      <c r="F36" s="26">
        <v>140</v>
      </c>
      <c r="G36" s="61">
        <v>200</v>
      </c>
      <c r="H36" s="61">
        <v>60</v>
      </c>
      <c r="I36" s="26">
        <v>100</v>
      </c>
      <c r="J36" s="21">
        <f t="shared" si="0"/>
        <v>6000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44405</v>
      </c>
      <c r="D37" s="25" t="s">
        <v>18</v>
      </c>
      <c r="E37" s="25" t="s">
        <v>240</v>
      </c>
      <c r="F37" s="26">
        <v>140</v>
      </c>
      <c r="G37" s="61">
        <v>155</v>
      </c>
      <c r="H37" s="61">
        <v>15</v>
      </c>
      <c r="I37" s="26">
        <v>100</v>
      </c>
      <c r="J37" s="21">
        <f t="shared" si="0"/>
        <v>1500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44406</v>
      </c>
      <c r="D38" s="25" t="s">
        <v>18</v>
      </c>
      <c r="E38" s="25" t="s">
        <v>308</v>
      </c>
      <c r="F38" s="26">
        <v>120</v>
      </c>
      <c r="G38" s="61">
        <v>70</v>
      </c>
      <c r="H38" s="61">
        <v>-50</v>
      </c>
      <c r="I38" s="26">
        <v>100</v>
      </c>
      <c r="J38" s="21">
        <f t="shared" si="0"/>
        <v>-5000</v>
      </c>
      <c r="K38" s="7"/>
      <c r="V38" s="5">
        <f t="shared" si="2"/>
        <v>0</v>
      </c>
      <c r="W38" s="5">
        <f t="shared" si="3"/>
        <v>1</v>
      </c>
    </row>
    <row r="39" spans="1:23" x14ac:dyDescent="0.3">
      <c r="A39" s="6"/>
      <c r="B39" s="17">
        <v>34</v>
      </c>
      <c r="C39" s="24">
        <v>44407</v>
      </c>
      <c r="D39" s="25" t="s">
        <v>18</v>
      </c>
      <c r="E39" s="25" t="s">
        <v>420</v>
      </c>
      <c r="F39" s="26">
        <v>150</v>
      </c>
      <c r="G39" s="61">
        <v>165</v>
      </c>
      <c r="H39" s="61">
        <v>15</v>
      </c>
      <c r="I39" s="26">
        <v>100</v>
      </c>
      <c r="J39" s="21">
        <f t="shared" si="0"/>
        <v>1500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44407</v>
      </c>
      <c r="D40" s="25" t="s">
        <v>18</v>
      </c>
      <c r="E40" s="25" t="s">
        <v>306</v>
      </c>
      <c r="F40" s="26">
        <v>140</v>
      </c>
      <c r="G40" s="61">
        <v>100</v>
      </c>
      <c r="H40" s="61">
        <v>-40</v>
      </c>
      <c r="I40" s="26">
        <v>100</v>
      </c>
      <c r="J40" s="21">
        <f t="shared" si="0"/>
        <v>-4000</v>
      </c>
      <c r="K40" s="7"/>
      <c r="V40" s="5">
        <f t="shared" si="2"/>
        <v>0</v>
      </c>
      <c r="W40" s="5">
        <f t="shared" si="3"/>
        <v>1</v>
      </c>
    </row>
    <row r="41" spans="1:23" x14ac:dyDescent="0.3">
      <c r="A41" s="6"/>
      <c r="B41" s="17">
        <v>36</v>
      </c>
      <c r="C41" s="24"/>
      <c r="D41" s="25"/>
      <c r="E41" s="25"/>
      <c r="F41" s="26"/>
      <c r="G41" s="61"/>
      <c r="H41" s="61"/>
      <c r="I41" s="26"/>
      <c r="J41" s="21">
        <f t="shared" si="0"/>
        <v>0</v>
      </c>
      <c r="K41" s="7"/>
      <c r="V41" s="5">
        <f t="shared" si="2"/>
        <v>0</v>
      </c>
      <c r="W41" s="5">
        <f t="shared" si="3"/>
        <v>0</v>
      </c>
    </row>
    <row r="42" spans="1:23" x14ac:dyDescent="0.3">
      <c r="A42" s="6"/>
      <c r="B42" s="17">
        <v>37</v>
      </c>
      <c r="C42" s="24"/>
      <c r="D42" s="25"/>
      <c r="E42" s="25"/>
      <c r="F42" s="26"/>
      <c r="G42" s="61"/>
      <c r="H42" s="61"/>
      <c r="I42" s="26"/>
      <c r="J42" s="21">
        <f t="shared" si="0"/>
        <v>0</v>
      </c>
      <c r="K42" s="7"/>
      <c r="V42" s="5">
        <f t="shared" si="2"/>
        <v>0</v>
      </c>
      <c r="W42" s="5">
        <f t="shared" si="3"/>
        <v>0</v>
      </c>
    </row>
    <row r="43" spans="1:23" x14ac:dyDescent="0.3">
      <c r="A43" s="6"/>
      <c r="B43" s="17">
        <v>38</v>
      </c>
      <c r="C43" s="24"/>
      <c r="D43" s="25"/>
      <c r="E43" s="25"/>
      <c r="F43" s="26"/>
      <c r="G43" s="61"/>
      <c r="H43" s="61"/>
      <c r="I43" s="26"/>
      <c r="J43" s="21">
        <f t="shared" si="0"/>
        <v>0</v>
      </c>
      <c r="K43" s="7"/>
      <c r="V43" s="5">
        <f t="shared" si="2"/>
        <v>0</v>
      </c>
      <c r="W43" s="5">
        <f t="shared" si="3"/>
        <v>0</v>
      </c>
    </row>
    <row r="44" spans="1:23" x14ac:dyDescent="0.3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ht="15" thickBot="1" x14ac:dyDescent="0.35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ht="15" hidden="1" thickBot="1" x14ac:dyDescent="0.35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ht="15" hidden="1" thickBot="1" x14ac:dyDescent="0.35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ht="15" hidden="1" thickBot="1" x14ac:dyDescent="0.35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ht="15" hidden="1" thickBot="1" x14ac:dyDescent="0.35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t="15" hidden="1" thickBot="1" x14ac:dyDescent="0.35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t="15" hidden="1" thickBot="1" x14ac:dyDescent="0.35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t="15" hidden="1" thickBot="1" x14ac:dyDescent="0.35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t="15" hidden="1" thickBot="1" x14ac:dyDescent="0.35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t="15" hidden="1" thickBot="1" x14ac:dyDescent="0.35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t="15" hidden="1" thickBot="1" x14ac:dyDescent="0.35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t="15" hidden="1" thickBot="1" x14ac:dyDescent="0.35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hidden="1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104700</v>
      </c>
      <c r="K59" s="7"/>
      <c r="V59" s="5">
        <f>SUM(V6:V58)</f>
        <v>25</v>
      </c>
      <c r="W59" s="5">
        <f>SUM(W6:W58)</f>
        <v>9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411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44378</v>
      </c>
      <c r="D67" s="67" t="s">
        <v>18</v>
      </c>
      <c r="E67" s="67" t="s">
        <v>181</v>
      </c>
      <c r="F67" s="68">
        <v>1735</v>
      </c>
      <c r="G67" s="68">
        <v>1750</v>
      </c>
      <c r="H67" s="97">
        <v>15</v>
      </c>
      <c r="I67" s="68">
        <v>500</v>
      </c>
      <c r="J67" s="92">
        <f>H67*I67</f>
        <v>7500</v>
      </c>
      <c r="K67" s="7"/>
      <c r="V67" s="5">
        <f t="shared" ref="V67:V124" si="5">IF($J67&gt;0,1,0)</f>
        <v>1</v>
      </c>
      <c r="W67" s="5">
        <f t="shared" ref="W67:W124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44378</v>
      </c>
      <c r="D68" s="67" t="s">
        <v>18</v>
      </c>
      <c r="E68" s="67" t="s">
        <v>279</v>
      </c>
      <c r="F68" s="68">
        <v>730</v>
      </c>
      <c r="G68" s="97">
        <v>724</v>
      </c>
      <c r="H68" s="97">
        <v>-6</v>
      </c>
      <c r="I68" s="20">
        <v>1000</v>
      </c>
      <c r="J68" s="21">
        <f>H68*I68</f>
        <v>-6000</v>
      </c>
      <c r="K68" s="7"/>
      <c r="L68" s="36" t="s">
        <v>21</v>
      </c>
      <c r="V68" s="5">
        <f t="shared" si="5"/>
        <v>0</v>
      </c>
      <c r="W68" s="5">
        <f t="shared" si="6"/>
        <v>1</v>
      </c>
    </row>
    <row r="69" spans="1:23" s="36" customFormat="1" x14ac:dyDescent="0.3">
      <c r="A69" s="6"/>
      <c r="B69" s="17">
        <f t="shared" ref="B69:B124" si="7">B68+1</f>
        <v>3</v>
      </c>
      <c r="C69" s="18">
        <v>44382</v>
      </c>
      <c r="D69" s="19" t="s">
        <v>18</v>
      </c>
      <c r="E69" s="19" t="s">
        <v>181</v>
      </c>
      <c r="F69" s="35">
        <v>1730</v>
      </c>
      <c r="G69" s="97">
        <v>1760</v>
      </c>
      <c r="H69" s="35">
        <v>30</v>
      </c>
      <c r="I69" s="20">
        <v>500</v>
      </c>
      <c r="J69" s="21">
        <f>H69*I69</f>
        <v>15000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44382</v>
      </c>
      <c r="D70" s="19" t="s">
        <v>18</v>
      </c>
      <c r="E70" s="19" t="s">
        <v>86</v>
      </c>
      <c r="F70" s="35">
        <v>6055</v>
      </c>
      <c r="G70" s="97">
        <v>6115</v>
      </c>
      <c r="H70" s="35">
        <f>6115-6055</f>
        <v>60</v>
      </c>
      <c r="I70" s="20">
        <v>125</v>
      </c>
      <c r="J70" s="21">
        <f>H70*I70</f>
        <v>7500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44383</v>
      </c>
      <c r="D71" s="19" t="s">
        <v>413</v>
      </c>
      <c r="E71" s="19" t="s">
        <v>86</v>
      </c>
      <c r="F71" s="35">
        <v>6125</v>
      </c>
      <c r="G71" s="97">
        <v>6185</v>
      </c>
      <c r="H71" s="35">
        <f>6185-6125</f>
        <v>60</v>
      </c>
      <c r="I71" s="20">
        <v>125</v>
      </c>
      <c r="J71" s="21">
        <f>H71*I71</f>
        <v>7500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44383</v>
      </c>
      <c r="D72" s="19" t="s">
        <v>18</v>
      </c>
      <c r="E72" s="19" t="s">
        <v>181</v>
      </c>
      <c r="F72" s="20">
        <v>1790</v>
      </c>
      <c r="G72" s="97">
        <v>1802</v>
      </c>
      <c r="H72" s="35">
        <f>1802-1790</f>
        <v>12</v>
      </c>
      <c r="I72" s="20">
        <v>500</v>
      </c>
      <c r="J72" s="21">
        <f t="shared" ref="J72:J124" si="8">I72*H72</f>
        <v>6000</v>
      </c>
      <c r="K72" s="7"/>
      <c r="V72" s="5">
        <f t="shared" si="5"/>
        <v>1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>
        <v>44384</v>
      </c>
      <c r="D73" s="19" t="s">
        <v>18</v>
      </c>
      <c r="E73" s="19" t="s">
        <v>93</v>
      </c>
      <c r="F73" s="35">
        <v>1545</v>
      </c>
      <c r="G73" s="97">
        <v>1543</v>
      </c>
      <c r="H73" s="35">
        <v>-2</v>
      </c>
      <c r="I73" s="20">
        <v>550</v>
      </c>
      <c r="J73" s="21">
        <f t="shared" si="8"/>
        <v>-1100</v>
      </c>
      <c r="K73" s="7"/>
      <c r="V73" s="5">
        <f t="shared" si="5"/>
        <v>0</v>
      </c>
      <c r="W73" s="5">
        <f t="shared" si="6"/>
        <v>1</v>
      </c>
    </row>
    <row r="74" spans="1:23" s="36" customFormat="1" x14ac:dyDescent="0.3">
      <c r="A74" s="6"/>
      <c r="B74" s="17">
        <f t="shared" si="7"/>
        <v>8</v>
      </c>
      <c r="C74" s="18">
        <v>44384</v>
      </c>
      <c r="D74" s="19" t="s">
        <v>18</v>
      </c>
      <c r="E74" s="19" t="s">
        <v>86</v>
      </c>
      <c r="F74" s="35">
        <v>6250</v>
      </c>
      <c r="G74" s="97">
        <v>6262</v>
      </c>
      <c r="H74" s="35">
        <f>6262-6250</f>
        <v>12</v>
      </c>
      <c r="I74" s="20">
        <v>125</v>
      </c>
      <c r="J74" s="21">
        <f t="shared" si="8"/>
        <v>1500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44385</v>
      </c>
      <c r="D75" s="19" t="s">
        <v>18</v>
      </c>
      <c r="E75" s="19" t="s">
        <v>86</v>
      </c>
      <c r="F75" s="35">
        <v>6205</v>
      </c>
      <c r="G75" s="97">
        <v>6213.5</v>
      </c>
      <c r="H75" s="35">
        <f>6213.5-6205</f>
        <v>8.5</v>
      </c>
      <c r="I75" s="20">
        <v>125</v>
      </c>
      <c r="J75" s="21">
        <f t="shared" si="8"/>
        <v>1062.5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44385</v>
      </c>
      <c r="D76" s="19" t="s">
        <v>18</v>
      </c>
      <c r="E76" s="19" t="s">
        <v>414</v>
      </c>
      <c r="F76" s="35">
        <v>1020</v>
      </c>
      <c r="G76" s="97">
        <v>1026.3499999999999</v>
      </c>
      <c r="H76" s="35">
        <f>1026.35-1020</f>
        <v>6.3499999999999091</v>
      </c>
      <c r="I76" s="20">
        <v>500</v>
      </c>
      <c r="J76" s="21">
        <f t="shared" si="8"/>
        <v>3174.9999999999545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>
        <v>44386</v>
      </c>
      <c r="D77" s="19" t="s">
        <v>18</v>
      </c>
      <c r="E77" s="19" t="s">
        <v>86</v>
      </c>
      <c r="F77" s="19">
        <v>6160</v>
      </c>
      <c r="G77" s="97">
        <v>6170</v>
      </c>
      <c r="H77" s="35">
        <v>10</v>
      </c>
      <c r="I77" s="20">
        <v>125</v>
      </c>
      <c r="J77" s="21">
        <f t="shared" si="8"/>
        <v>1250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>
        <v>44386</v>
      </c>
      <c r="D78" s="19" t="s">
        <v>69</v>
      </c>
      <c r="E78" s="19" t="s">
        <v>305</v>
      </c>
      <c r="F78" s="35">
        <v>4040</v>
      </c>
      <c r="G78" s="97">
        <v>4010</v>
      </c>
      <c r="H78" s="35">
        <v>30</v>
      </c>
      <c r="I78" s="20">
        <v>250</v>
      </c>
      <c r="J78" s="21">
        <f t="shared" si="8"/>
        <v>7500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44389</v>
      </c>
      <c r="D79" s="19" t="s">
        <v>18</v>
      </c>
      <c r="E79" s="19" t="s">
        <v>71</v>
      </c>
      <c r="F79" s="35">
        <v>2100</v>
      </c>
      <c r="G79" s="97">
        <v>2115</v>
      </c>
      <c r="H79" s="35">
        <v>15</v>
      </c>
      <c r="I79" s="20">
        <v>250</v>
      </c>
      <c r="J79" s="21">
        <f t="shared" si="8"/>
        <v>3750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44389</v>
      </c>
      <c r="D80" s="19" t="s">
        <v>18</v>
      </c>
      <c r="E80" s="19" t="s">
        <v>80</v>
      </c>
      <c r="F80" s="77">
        <v>1498</v>
      </c>
      <c r="G80" s="97">
        <v>1504</v>
      </c>
      <c r="H80" s="78">
        <f>1504-1498</f>
        <v>6</v>
      </c>
      <c r="I80" s="20">
        <v>550</v>
      </c>
      <c r="J80" s="21">
        <f t="shared" si="8"/>
        <v>3300</v>
      </c>
      <c r="K80" s="7"/>
      <c r="V80" s="5">
        <f t="shared" si="5"/>
        <v>1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>
        <v>44390</v>
      </c>
      <c r="D81" s="19" t="s">
        <v>69</v>
      </c>
      <c r="E81" s="19" t="s">
        <v>181</v>
      </c>
      <c r="F81" s="35">
        <v>1820</v>
      </c>
      <c r="G81" s="97">
        <v>1805</v>
      </c>
      <c r="H81" s="78">
        <v>15</v>
      </c>
      <c r="I81" s="20">
        <v>500</v>
      </c>
      <c r="J81" s="21">
        <f t="shared" si="8"/>
        <v>7500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>
        <v>44390</v>
      </c>
      <c r="D82" s="19" t="s">
        <v>69</v>
      </c>
      <c r="E82" s="19" t="s">
        <v>80</v>
      </c>
      <c r="F82" s="35">
        <v>1495</v>
      </c>
      <c r="G82" s="97">
        <v>1491</v>
      </c>
      <c r="H82" s="78">
        <v>4</v>
      </c>
      <c r="I82" s="20">
        <v>500</v>
      </c>
      <c r="J82" s="21">
        <f t="shared" si="8"/>
        <v>2000</v>
      </c>
      <c r="K82" s="7"/>
      <c r="V82" s="5">
        <f t="shared" si="5"/>
        <v>1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>
        <v>44391</v>
      </c>
      <c r="D83" s="19" t="s">
        <v>18</v>
      </c>
      <c r="E83" s="19" t="s">
        <v>93</v>
      </c>
      <c r="F83" s="35">
        <v>1500</v>
      </c>
      <c r="G83" s="97">
        <v>1510.5</v>
      </c>
      <c r="H83" s="35">
        <v>10.5</v>
      </c>
      <c r="I83" s="20">
        <v>550</v>
      </c>
      <c r="J83" s="21">
        <f t="shared" si="8"/>
        <v>5775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>
        <v>44391</v>
      </c>
      <c r="D84" s="19" t="s">
        <v>69</v>
      </c>
      <c r="E84" s="19" t="s">
        <v>181</v>
      </c>
      <c r="F84" s="35">
        <v>1817</v>
      </c>
      <c r="G84" s="97">
        <v>1811.5</v>
      </c>
      <c r="H84" s="35">
        <f>1817-1811.5</f>
        <v>5.5</v>
      </c>
      <c r="I84" s="20">
        <v>500</v>
      </c>
      <c r="J84" s="21">
        <f t="shared" si="8"/>
        <v>2750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>
        <v>44392</v>
      </c>
      <c r="D85" s="19" t="s">
        <v>18</v>
      </c>
      <c r="E85" s="19" t="s">
        <v>86</v>
      </c>
      <c r="F85" s="35">
        <v>6185</v>
      </c>
      <c r="G85" s="97">
        <v>6199</v>
      </c>
      <c r="H85" s="35">
        <f>6199-6185</f>
        <v>14</v>
      </c>
      <c r="I85" s="20">
        <v>125</v>
      </c>
      <c r="J85" s="21">
        <f t="shared" si="8"/>
        <v>1750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>
        <v>44392</v>
      </c>
      <c r="D86" s="19" t="s">
        <v>18</v>
      </c>
      <c r="E86" s="19" t="s">
        <v>93</v>
      </c>
      <c r="F86" s="35">
        <v>1520</v>
      </c>
      <c r="G86" s="97">
        <v>1528</v>
      </c>
      <c r="H86" s="35">
        <v>8</v>
      </c>
      <c r="I86" s="20">
        <v>550</v>
      </c>
      <c r="J86" s="21">
        <f t="shared" si="8"/>
        <v>4400</v>
      </c>
      <c r="K86" s="7"/>
      <c r="V86" s="5">
        <f t="shared" si="5"/>
        <v>1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>
        <v>44393</v>
      </c>
      <c r="D87" s="19" t="s">
        <v>69</v>
      </c>
      <c r="E87" s="19" t="s">
        <v>75</v>
      </c>
      <c r="F87" s="35">
        <v>662</v>
      </c>
      <c r="G87" s="97">
        <v>659</v>
      </c>
      <c r="H87" s="35">
        <v>3</v>
      </c>
      <c r="I87" s="20">
        <v>1375</v>
      </c>
      <c r="J87" s="21">
        <f t="shared" si="8"/>
        <v>4125</v>
      </c>
      <c r="K87" s="7"/>
      <c r="V87" s="5">
        <f t="shared" si="5"/>
        <v>1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>
        <v>44393</v>
      </c>
      <c r="D88" s="19" t="s">
        <v>18</v>
      </c>
      <c r="E88" s="19" t="s">
        <v>71</v>
      </c>
      <c r="F88" s="35">
        <v>2100</v>
      </c>
      <c r="G88" s="97">
        <v>2115</v>
      </c>
      <c r="H88" s="35">
        <v>15</v>
      </c>
      <c r="I88" s="20">
        <v>250</v>
      </c>
      <c r="J88" s="21">
        <f t="shared" si="8"/>
        <v>3750</v>
      </c>
      <c r="K88" s="7"/>
      <c r="V88" s="5">
        <f t="shared" si="5"/>
        <v>1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>
        <v>44396</v>
      </c>
      <c r="D89" s="19" t="s">
        <v>18</v>
      </c>
      <c r="E89" s="19" t="s">
        <v>86</v>
      </c>
      <c r="F89" s="35">
        <v>6110</v>
      </c>
      <c r="G89" s="97">
        <v>6080</v>
      </c>
      <c r="H89" s="35">
        <v>-30</v>
      </c>
      <c r="I89" s="20">
        <v>125</v>
      </c>
      <c r="J89" s="21">
        <f t="shared" si="8"/>
        <v>-3750</v>
      </c>
      <c r="K89" s="7"/>
      <c r="V89" s="5">
        <f t="shared" si="5"/>
        <v>0</v>
      </c>
      <c r="W89" s="5">
        <f t="shared" si="6"/>
        <v>1</v>
      </c>
    </row>
    <row r="90" spans="1:23" s="36" customFormat="1" x14ac:dyDescent="0.3">
      <c r="A90" s="6"/>
      <c r="B90" s="17">
        <f t="shared" si="7"/>
        <v>24</v>
      </c>
      <c r="C90" s="18">
        <v>44396</v>
      </c>
      <c r="D90" s="19" t="s">
        <v>69</v>
      </c>
      <c r="E90" s="19" t="s">
        <v>181</v>
      </c>
      <c r="F90" s="35">
        <v>1787</v>
      </c>
      <c r="G90" s="97">
        <v>1774</v>
      </c>
      <c r="H90" s="35">
        <f>1787-1774</f>
        <v>13</v>
      </c>
      <c r="I90" s="20">
        <v>500</v>
      </c>
      <c r="J90" s="21">
        <f t="shared" si="8"/>
        <v>6500</v>
      </c>
      <c r="K90" s="7"/>
      <c r="V90" s="5">
        <f t="shared" si="5"/>
        <v>1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>
        <v>44397</v>
      </c>
      <c r="D91" s="19" t="s">
        <v>18</v>
      </c>
      <c r="E91" s="19" t="s">
        <v>71</v>
      </c>
      <c r="F91" s="35">
        <v>2105</v>
      </c>
      <c r="G91" s="97">
        <v>2090</v>
      </c>
      <c r="H91" s="35">
        <v>-15</v>
      </c>
      <c r="I91" s="20">
        <v>250</v>
      </c>
      <c r="J91" s="21">
        <f t="shared" si="8"/>
        <v>-3750</v>
      </c>
      <c r="K91" s="7"/>
      <c r="V91" s="5">
        <f t="shared" si="5"/>
        <v>0</v>
      </c>
      <c r="W91" s="5">
        <f t="shared" si="6"/>
        <v>1</v>
      </c>
    </row>
    <row r="92" spans="1:23" s="36" customFormat="1" x14ac:dyDescent="0.3">
      <c r="A92" s="6"/>
      <c r="B92" s="17">
        <f t="shared" si="7"/>
        <v>26</v>
      </c>
      <c r="C92" s="18">
        <v>44397</v>
      </c>
      <c r="D92" s="19" t="s">
        <v>18</v>
      </c>
      <c r="E92" s="19" t="s">
        <v>93</v>
      </c>
      <c r="F92" s="35">
        <v>1447</v>
      </c>
      <c r="G92" s="97">
        <v>1452</v>
      </c>
      <c r="H92" s="35">
        <v>5</v>
      </c>
      <c r="I92" s="20">
        <v>550</v>
      </c>
      <c r="J92" s="21">
        <f t="shared" si="8"/>
        <v>2750</v>
      </c>
      <c r="K92" s="7"/>
      <c r="V92" s="5">
        <f t="shared" si="5"/>
        <v>1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>
        <v>44399</v>
      </c>
      <c r="D93" s="19" t="s">
        <v>18</v>
      </c>
      <c r="E93" s="19" t="s">
        <v>70</v>
      </c>
      <c r="F93" s="35">
        <v>759</v>
      </c>
      <c r="G93" s="97">
        <v>761.6</v>
      </c>
      <c r="H93" s="35">
        <v>2.6</v>
      </c>
      <c r="I93" s="20">
        <v>1200</v>
      </c>
      <c r="J93" s="21">
        <f t="shared" si="8"/>
        <v>3120</v>
      </c>
      <c r="K93" s="7"/>
      <c r="V93" s="5">
        <f t="shared" si="5"/>
        <v>1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>
        <v>44399</v>
      </c>
      <c r="D94" s="19" t="s">
        <v>69</v>
      </c>
      <c r="E94" s="19" t="s">
        <v>71</v>
      </c>
      <c r="F94" s="35">
        <v>2100</v>
      </c>
      <c r="G94" s="97">
        <v>2115</v>
      </c>
      <c r="H94" s="35">
        <v>-15</v>
      </c>
      <c r="I94" s="20">
        <v>250</v>
      </c>
      <c r="J94" s="21">
        <f t="shared" si="8"/>
        <v>-3750</v>
      </c>
      <c r="K94" s="7"/>
      <c r="V94" s="5">
        <f t="shared" si="5"/>
        <v>0</v>
      </c>
      <c r="W94" s="5">
        <f t="shared" si="6"/>
        <v>1</v>
      </c>
    </row>
    <row r="95" spans="1:23" s="36" customFormat="1" x14ac:dyDescent="0.3">
      <c r="A95" s="6"/>
      <c r="B95" s="17">
        <f t="shared" si="7"/>
        <v>29</v>
      </c>
      <c r="C95" s="18">
        <v>44400</v>
      </c>
      <c r="D95" s="19" t="s">
        <v>18</v>
      </c>
      <c r="E95" s="19" t="s">
        <v>70</v>
      </c>
      <c r="F95" s="35">
        <v>753</v>
      </c>
      <c r="G95" s="97">
        <v>764.7</v>
      </c>
      <c r="H95" s="35">
        <f>764.7-753</f>
        <v>11.700000000000045</v>
      </c>
      <c r="I95" s="20">
        <v>1200</v>
      </c>
      <c r="J95" s="21">
        <f t="shared" si="8"/>
        <v>14040.000000000055</v>
      </c>
      <c r="K95" s="7"/>
      <c r="V95" s="5">
        <f t="shared" si="5"/>
        <v>1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>
        <v>44403</v>
      </c>
      <c r="D96" s="19" t="s">
        <v>18</v>
      </c>
      <c r="E96" s="19" t="s">
        <v>86</v>
      </c>
      <c r="F96" s="35">
        <v>6200</v>
      </c>
      <c r="G96" s="97">
        <v>6170</v>
      </c>
      <c r="H96" s="35">
        <v>-30</v>
      </c>
      <c r="I96" s="20">
        <v>125</v>
      </c>
      <c r="J96" s="21">
        <f t="shared" si="8"/>
        <v>-3750</v>
      </c>
      <c r="K96" s="7"/>
      <c r="V96" s="5">
        <f t="shared" si="5"/>
        <v>0</v>
      </c>
      <c r="W96" s="5">
        <f t="shared" si="6"/>
        <v>1</v>
      </c>
    </row>
    <row r="97" spans="1:23" s="36" customFormat="1" x14ac:dyDescent="0.3">
      <c r="A97" s="6"/>
      <c r="B97" s="17">
        <f t="shared" si="7"/>
        <v>31</v>
      </c>
      <c r="C97" s="18">
        <v>44403</v>
      </c>
      <c r="D97" s="19" t="s">
        <v>69</v>
      </c>
      <c r="E97" s="19" t="s">
        <v>71</v>
      </c>
      <c r="F97" s="35">
        <v>2090</v>
      </c>
      <c r="G97" s="97">
        <v>2075</v>
      </c>
      <c r="H97" s="35">
        <f>2090-2075</f>
        <v>15</v>
      </c>
      <c r="I97" s="20">
        <v>250</v>
      </c>
      <c r="J97" s="21">
        <f t="shared" si="8"/>
        <v>3750</v>
      </c>
      <c r="K97" s="7"/>
      <c r="V97" s="5">
        <f t="shared" si="5"/>
        <v>1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>
        <v>44404</v>
      </c>
      <c r="D98" s="19" t="s">
        <v>18</v>
      </c>
      <c r="E98" s="19" t="s">
        <v>71</v>
      </c>
      <c r="F98" s="35">
        <v>2075</v>
      </c>
      <c r="G98" s="97">
        <v>2080</v>
      </c>
      <c r="H98" s="35">
        <v>5</v>
      </c>
      <c r="I98" s="20">
        <v>250</v>
      </c>
      <c r="J98" s="21">
        <f t="shared" si="8"/>
        <v>1250</v>
      </c>
      <c r="K98" s="7"/>
      <c r="V98" s="5">
        <f t="shared" si="5"/>
        <v>1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>
        <v>44404</v>
      </c>
      <c r="D99" s="19" t="s">
        <v>18</v>
      </c>
      <c r="E99" s="19" t="s">
        <v>181</v>
      </c>
      <c r="F99" s="35">
        <v>1730</v>
      </c>
      <c r="G99" s="97">
        <v>1738</v>
      </c>
      <c r="H99" s="35">
        <v>8</v>
      </c>
      <c r="I99" s="20">
        <v>500</v>
      </c>
      <c r="J99" s="21">
        <f t="shared" si="8"/>
        <v>4000</v>
      </c>
      <c r="K99" s="7"/>
      <c r="V99" s="5">
        <f t="shared" si="5"/>
        <v>1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>
        <v>44405</v>
      </c>
      <c r="D100" s="19" t="s">
        <v>69</v>
      </c>
      <c r="E100" s="19" t="s">
        <v>181</v>
      </c>
      <c r="F100" s="35">
        <v>1635</v>
      </c>
      <c r="G100" s="97">
        <v>1625</v>
      </c>
      <c r="H100" s="35">
        <v>10</v>
      </c>
      <c r="I100" s="20">
        <v>500</v>
      </c>
      <c r="J100" s="21">
        <f t="shared" si="8"/>
        <v>5000</v>
      </c>
      <c r="K100" s="7"/>
      <c r="V100" s="5">
        <f t="shared" si="5"/>
        <v>1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>
        <v>44405</v>
      </c>
      <c r="D101" s="19" t="s">
        <v>69</v>
      </c>
      <c r="E101" s="19" t="s">
        <v>71</v>
      </c>
      <c r="F101" s="35">
        <v>2035</v>
      </c>
      <c r="G101" s="97">
        <v>2020</v>
      </c>
      <c r="H101" s="35">
        <v>15</v>
      </c>
      <c r="I101" s="20">
        <v>250</v>
      </c>
      <c r="J101" s="21">
        <f t="shared" si="8"/>
        <v>3750</v>
      </c>
      <c r="K101" s="7"/>
      <c r="V101" s="5">
        <f t="shared" si="5"/>
        <v>1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>
        <v>44406</v>
      </c>
      <c r="D102" s="19" t="s">
        <v>69</v>
      </c>
      <c r="E102" s="19" t="s">
        <v>181</v>
      </c>
      <c r="F102" s="35">
        <v>1645</v>
      </c>
      <c r="G102" s="97">
        <v>1638.5</v>
      </c>
      <c r="H102" s="35">
        <f>1645-1638.5</f>
        <v>6.5</v>
      </c>
      <c r="I102" s="20">
        <v>500</v>
      </c>
      <c r="J102" s="21">
        <f t="shared" si="8"/>
        <v>3250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>
        <v>44406</v>
      </c>
      <c r="D103" s="19" t="s">
        <v>18</v>
      </c>
      <c r="E103" s="19" t="s">
        <v>71</v>
      </c>
      <c r="F103" s="35">
        <v>2050</v>
      </c>
      <c r="G103" s="97">
        <v>2070</v>
      </c>
      <c r="H103" s="35">
        <v>20</v>
      </c>
      <c r="I103" s="20">
        <v>250</v>
      </c>
      <c r="J103" s="21">
        <f t="shared" si="8"/>
        <v>5000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>
        <v>44407</v>
      </c>
      <c r="D104" s="19" t="s">
        <v>18</v>
      </c>
      <c r="E104" s="19" t="s">
        <v>71</v>
      </c>
      <c r="F104" s="35">
        <v>2055</v>
      </c>
      <c r="G104" s="97">
        <v>2066</v>
      </c>
      <c r="H104" s="35">
        <f>2066-2055</f>
        <v>11</v>
      </c>
      <c r="I104" s="20">
        <v>250</v>
      </c>
      <c r="J104" s="21">
        <f t="shared" si="8"/>
        <v>2750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>
        <v>44407</v>
      </c>
      <c r="D105" s="19" t="s">
        <v>69</v>
      </c>
      <c r="E105" s="19" t="s">
        <v>70</v>
      </c>
      <c r="F105" s="35">
        <v>715</v>
      </c>
      <c r="G105" s="97">
        <v>710.3</v>
      </c>
      <c r="H105" s="35">
        <f>715-710.3</f>
        <v>4.7000000000000455</v>
      </c>
      <c r="I105" s="20">
        <v>1200</v>
      </c>
      <c r="J105" s="21">
        <f t="shared" si="8"/>
        <v>5640.0000000000546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>
        <f t="shared" si="5"/>
        <v>0</v>
      </c>
      <c r="W106" s="5">
        <f t="shared" si="6"/>
        <v>0</v>
      </c>
    </row>
    <row r="107" spans="1:23" s="36" customFormat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>
        <f t="shared" si="5"/>
        <v>0</v>
      </c>
      <c r="W107" s="5">
        <f t="shared" si="6"/>
        <v>0</v>
      </c>
    </row>
    <row r="108" spans="1:23" s="36" customFormat="1" ht="15" thickBot="1" x14ac:dyDescent="0.35">
      <c r="A108" s="6"/>
      <c r="B108" s="17">
        <f t="shared" si="7"/>
        <v>42</v>
      </c>
      <c r="C108" s="18"/>
      <c r="D108" s="19"/>
      <c r="E108" s="19"/>
      <c r="F108" s="35"/>
      <c r="G108" s="35"/>
      <c r="H108" s="35"/>
      <c r="I108" s="20"/>
      <c r="J108" s="21">
        <f t="shared" si="8"/>
        <v>0</v>
      </c>
      <c r="K108" s="7"/>
      <c r="V108" s="5">
        <f t="shared" si="5"/>
        <v>0</v>
      </c>
      <c r="W108" s="5">
        <f t="shared" si="6"/>
        <v>0</v>
      </c>
    </row>
    <row r="109" spans="1:23" s="36" customFormat="1" ht="15" hidden="1" thickBot="1" x14ac:dyDescent="0.35">
      <c r="A109" s="6"/>
      <c r="B109" s="17">
        <f t="shared" si="7"/>
        <v>43</v>
      </c>
      <c r="C109" s="18"/>
      <c r="D109" s="19"/>
      <c r="E109" s="19"/>
      <c r="F109" s="35"/>
      <c r="G109" s="35"/>
      <c r="H109" s="35"/>
      <c r="I109" s="20"/>
      <c r="J109" s="21">
        <f t="shared" si="8"/>
        <v>0</v>
      </c>
      <c r="K109" s="7"/>
      <c r="V109" s="5">
        <f t="shared" si="5"/>
        <v>0</v>
      </c>
      <c r="W109" s="5">
        <f t="shared" si="6"/>
        <v>0</v>
      </c>
    </row>
    <row r="110" spans="1:23" s="36" customFormat="1" ht="15" hidden="1" thickBot="1" x14ac:dyDescent="0.35">
      <c r="A110" s="6"/>
      <c r="B110" s="17">
        <f t="shared" si="7"/>
        <v>44</v>
      </c>
      <c r="C110" s="18"/>
      <c r="D110" s="19"/>
      <c r="E110" s="19"/>
      <c r="F110" s="35"/>
      <c r="G110" s="35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t="15" hidden="1" thickBot="1" x14ac:dyDescent="0.35">
      <c r="A111" s="6"/>
      <c r="B111" s="17">
        <f t="shared" si="7"/>
        <v>45</v>
      </c>
      <c r="C111" s="18"/>
      <c r="D111" s="19"/>
      <c r="E111" s="19"/>
      <c r="F111" s="35"/>
      <c r="G111" s="35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t="15" hidden="1" thickBot="1" x14ac:dyDescent="0.35">
      <c r="A112" s="6"/>
      <c r="B112" s="17">
        <f t="shared" si="7"/>
        <v>46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t="15" hidden="1" thickBot="1" x14ac:dyDescent="0.35">
      <c r="A113" s="6"/>
      <c r="B113" s="17">
        <f t="shared" si="7"/>
        <v>47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t="15" hidden="1" thickBot="1" x14ac:dyDescent="0.35">
      <c r="A114" s="6"/>
      <c r="B114" s="17">
        <f t="shared" si="7"/>
        <v>48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t="15" hidden="1" thickBot="1" x14ac:dyDescent="0.35">
      <c r="A115" s="6"/>
      <c r="B115" s="17">
        <f t="shared" si="7"/>
        <v>49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t="15" hidden="1" thickBot="1" x14ac:dyDescent="0.35">
      <c r="A116" s="6"/>
      <c r="B116" s="17">
        <f t="shared" si="7"/>
        <v>50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t="15" hidden="1" thickBot="1" x14ac:dyDescent="0.35">
      <c r="A117" s="6"/>
      <c r="B117" s="17">
        <f t="shared" si="7"/>
        <v>51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t="15" hidden="1" thickBot="1" x14ac:dyDescent="0.35">
      <c r="A118" s="6"/>
      <c r="B118" s="17">
        <f t="shared" si="7"/>
        <v>52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t="15" hidden="1" thickBot="1" x14ac:dyDescent="0.35">
      <c r="A119" s="6"/>
      <c r="B119" s="17">
        <f t="shared" si="7"/>
        <v>53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hidden="1" thickBot="1" x14ac:dyDescent="0.35">
      <c r="A120" s="6"/>
      <c r="B120" s="17">
        <f t="shared" si="7"/>
        <v>54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15" hidden="1" thickBot="1" x14ac:dyDescent="0.35">
      <c r="A121" s="6"/>
      <c r="B121" s="17">
        <f t="shared" si="7"/>
        <v>55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56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15" hidden="1" thickBot="1" x14ac:dyDescent="0.35">
      <c r="A123" s="6"/>
      <c r="B123" s="17">
        <f t="shared" si="7"/>
        <v>57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hidden="1" thickBot="1" x14ac:dyDescent="0.35">
      <c r="A124" s="6"/>
      <c r="B124" s="17">
        <f t="shared" si="7"/>
        <v>58</v>
      </c>
      <c r="C124" s="79"/>
      <c r="D124" s="80"/>
      <c r="E124" s="80"/>
      <c r="F124" s="81"/>
      <c r="G124" s="81"/>
      <c r="H124" s="80"/>
      <c r="I124" s="81"/>
      <c r="J124" s="82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24" thickBot="1" x14ac:dyDescent="0.5">
      <c r="A125" s="6"/>
      <c r="B125" s="144" t="s">
        <v>22</v>
      </c>
      <c r="C125" s="145"/>
      <c r="D125" s="145"/>
      <c r="E125" s="145"/>
      <c r="F125" s="145"/>
      <c r="G125" s="145"/>
      <c r="H125" s="146"/>
      <c r="I125" s="83" t="s">
        <v>23</v>
      </c>
      <c r="J125" s="84">
        <f>SUM(J67:J124)</f>
        <v>135787.50000000006</v>
      </c>
      <c r="K125" s="7"/>
      <c r="L125" s="5"/>
      <c r="M125" s="5"/>
      <c r="N125" s="5"/>
      <c r="O125" s="5"/>
      <c r="P125" s="5"/>
      <c r="Q125" s="5"/>
      <c r="R125" s="5"/>
      <c r="V125" s="36">
        <f>SUM(V67:V124)</f>
        <v>29</v>
      </c>
      <c r="W125" s="36">
        <f>SUM(W67:W124)</f>
        <v>6</v>
      </c>
    </row>
    <row r="126" spans="1:23" s="36" customFormat="1" ht="30" customHeight="1" thickBot="1" x14ac:dyDescent="0.35">
      <c r="A126" s="30"/>
      <c r="B126" s="31"/>
      <c r="C126" s="31"/>
      <c r="D126" s="31"/>
      <c r="E126" s="31"/>
      <c r="F126" s="31"/>
      <c r="G126" s="31"/>
      <c r="H126" s="32"/>
      <c r="I126" s="31"/>
      <c r="J126" s="32"/>
      <c r="K126" s="33"/>
      <c r="L126" s="5"/>
      <c r="M126" s="5"/>
      <c r="N126" s="5"/>
      <c r="O126" s="5"/>
      <c r="P126" s="5"/>
      <c r="Q126" s="5"/>
      <c r="R126" s="5"/>
    </row>
    <row r="127" spans="1:23" ht="15" thickBot="1" x14ac:dyDescent="0.35"/>
    <row r="128" spans="1:23" s="36" customFormat="1" ht="30" customHeight="1" thickBot="1" x14ac:dyDescent="0.35">
      <c r="A128" s="1"/>
      <c r="B128" s="2"/>
      <c r="C128" s="2"/>
      <c r="D128" s="2"/>
      <c r="E128" s="2"/>
      <c r="F128" s="2"/>
      <c r="G128" s="2"/>
      <c r="H128" s="3"/>
      <c r="I128" s="2"/>
      <c r="J128" s="3"/>
      <c r="K128" s="4"/>
    </row>
    <row r="129" spans="1:23" s="36" customFormat="1" ht="25.2" thickBot="1" x14ac:dyDescent="0.35">
      <c r="A129" s="6" t="s">
        <v>1</v>
      </c>
      <c r="B129" s="119" t="s">
        <v>2</v>
      </c>
      <c r="C129" s="120"/>
      <c r="D129" s="120"/>
      <c r="E129" s="120"/>
      <c r="F129" s="120"/>
      <c r="G129" s="120"/>
      <c r="H129" s="120"/>
      <c r="I129" s="120"/>
      <c r="J129" s="121"/>
      <c r="K129" s="7"/>
    </row>
    <row r="130" spans="1:23" s="36" customFormat="1" ht="16.2" thickBot="1" x14ac:dyDescent="0.35">
      <c r="A130" s="6"/>
      <c r="B130" s="168" t="s">
        <v>412</v>
      </c>
      <c r="C130" s="169"/>
      <c r="D130" s="169"/>
      <c r="E130" s="169"/>
      <c r="F130" s="169"/>
      <c r="G130" s="169"/>
      <c r="H130" s="169"/>
      <c r="I130" s="169"/>
      <c r="J130" s="170"/>
      <c r="K130" s="7"/>
      <c r="L130" s="22"/>
    </row>
    <row r="131" spans="1:23" s="36" customFormat="1" ht="16.2" thickBot="1" x14ac:dyDescent="0.35">
      <c r="A131" s="6"/>
      <c r="B131" s="106" t="s">
        <v>215</v>
      </c>
      <c r="C131" s="107"/>
      <c r="D131" s="107"/>
      <c r="E131" s="107"/>
      <c r="F131" s="107"/>
      <c r="G131" s="107"/>
      <c r="H131" s="107"/>
      <c r="I131" s="107"/>
      <c r="J131" s="108"/>
      <c r="K131" s="7"/>
    </row>
    <row r="132" spans="1:23" s="22" customFormat="1" ht="15" thickBot="1" x14ac:dyDescent="0.35">
      <c r="A132" s="69"/>
      <c r="B132" s="70" t="s">
        <v>9</v>
      </c>
      <c r="C132" s="71" t="s">
        <v>10</v>
      </c>
      <c r="D132" s="72" t="s">
        <v>11</v>
      </c>
      <c r="E132" s="72" t="s">
        <v>12</v>
      </c>
      <c r="F132" s="73" t="s">
        <v>65</v>
      </c>
      <c r="G132" s="73" t="s">
        <v>66</v>
      </c>
      <c r="H132" s="74" t="s">
        <v>67</v>
      </c>
      <c r="I132" s="73" t="s">
        <v>68</v>
      </c>
      <c r="J132" s="75" t="s">
        <v>17</v>
      </c>
      <c r="K132" s="76"/>
      <c r="L132" s="36"/>
      <c r="M132" s="36"/>
      <c r="N132" s="36"/>
      <c r="O132" s="36" t="s">
        <v>21</v>
      </c>
      <c r="P132" s="36"/>
      <c r="Q132" s="36"/>
      <c r="R132" s="36"/>
      <c r="V132" s="5" t="s">
        <v>5</v>
      </c>
      <c r="W132" s="5" t="s">
        <v>6</v>
      </c>
    </row>
    <row r="133" spans="1:23" s="36" customFormat="1" x14ac:dyDescent="0.3">
      <c r="A133" s="6"/>
      <c r="B133" s="14">
        <v>1</v>
      </c>
      <c r="C133" s="93">
        <v>44378</v>
      </c>
      <c r="D133" s="94" t="s">
        <v>18</v>
      </c>
      <c r="E133" s="94" t="s">
        <v>389</v>
      </c>
      <c r="F133" s="60">
        <v>65</v>
      </c>
      <c r="G133" s="60">
        <v>76.5</v>
      </c>
      <c r="H133" s="60">
        <f>76.5-65</f>
        <v>11.5</v>
      </c>
      <c r="I133" s="15">
        <v>300</v>
      </c>
      <c r="J133" s="16">
        <f t="shared" ref="J133:J178" si="9">I133*H133</f>
        <v>3450</v>
      </c>
      <c r="K133" s="7"/>
      <c r="V133" s="5">
        <f t="shared" ref="V133:V178" si="10">IF($J133&gt;0,1,0)</f>
        <v>1</v>
      </c>
      <c r="W133" s="5">
        <f t="shared" ref="W133:W178" si="11">IF($J133&lt;0,1,0)</f>
        <v>0</v>
      </c>
    </row>
    <row r="134" spans="1:23" s="36" customFormat="1" x14ac:dyDescent="0.3">
      <c r="A134" s="6"/>
      <c r="B134" s="17">
        <f>B133+1</f>
        <v>2</v>
      </c>
      <c r="C134" s="18">
        <v>44382</v>
      </c>
      <c r="D134" s="19" t="s">
        <v>18</v>
      </c>
      <c r="E134" s="19" t="s">
        <v>400</v>
      </c>
      <c r="F134" s="35">
        <v>75</v>
      </c>
      <c r="G134" s="35">
        <v>80</v>
      </c>
      <c r="H134" s="35">
        <v>5</v>
      </c>
      <c r="I134" s="20">
        <v>300</v>
      </c>
      <c r="J134" s="21">
        <f t="shared" si="9"/>
        <v>1500</v>
      </c>
      <c r="K134" s="7"/>
      <c r="L134" s="36" t="s">
        <v>21</v>
      </c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ref="B135:B155" si="12">B134+1</f>
        <v>3</v>
      </c>
      <c r="C135" s="18">
        <v>44382</v>
      </c>
      <c r="D135" s="19" t="s">
        <v>18</v>
      </c>
      <c r="E135" s="19" t="s">
        <v>400</v>
      </c>
      <c r="F135" s="35">
        <v>75</v>
      </c>
      <c r="G135" s="35">
        <v>83.5</v>
      </c>
      <c r="H135" s="35">
        <f>83.5-75</f>
        <v>8.5</v>
      </c>
      <c r="I135" s="20">
        <v>300</v>
      </c>
      <c r="J135" s="21">
        <f t="shared" si="9"/>
        <v>2550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4</v>
      </c>
      <c r="C136" s="18">
        <v>44383</v>
      </c>
      <c r="D136" s="19" t="s">
        <v>18</v>
      </c>
      <c r="E136" s="19" t="s">
        <v>400</v>
      </c>
      <c r="F136" s="35">
        <v>85</v>
      </c>
      <c r="G136" s="35">
        <v>114.8</v>
      </c>
      <c r="H136" s="35">
        <f>114.8-85</f>
        <v>29.799999999999997</v>
      </c>
      <c r="I136" s="20">
        <v>300</v>
      </c>
      <c r="J136" s="21">
        <f t="shared" si="9"/>
        <v>8940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5</v>
      </c>
      <c r="C137" s="18">
        <v>44383</v>
      </c>
      <c r="D137" s="19" t="s">
        <v>18</v>
      </c>
      <c r="E137" s="19" t="s">
        <v>405</v>
      </c>
      <c r="F137" s="35">
        <v>75</v>
      </c>
      <c r="G137" s="35">
        <v>90</v>
      </c>
      <c r="H137" s="35">
        <f>90-75</f>
        <v>15</v>
      </c>
      <c r="I137" s="20">
        <v>300</v>
      </c>
      <c r="J137" s="21">
        <f t="shared" si="9"/>
        <v>4500</v>
      </c>
      <c r="K137" s="7"/>
      <c r="V137" s="5">
        <f t="shared" si="10"/>
        <v>1</v>
      </c>
      <c r="W137" s="5">
        <f t="shared" si="11"/>
        <v>0</v>
      </c>
    </row>
    <row r="138" spans="1:23" s="36" customFormat="1" x14ac:dyDescent="0.3">
      <c r="A138" s="6"/>
      <c r="B138" s="17">
        <f t="shared" si="12"/>
        <v>6</v>
      </c>
      <c r="C138" s="18">
        <v>44384</v>
      </c>
      <c r="D138" s="19" t="s">
        <v>18</v>
      </c>
      <c r="E138" s="19" t="s">
        <v>400</v>
      </c>
      <c r="F138" s="20">
        <v>55</v>
      </c>
      <c r="G138" s="35">
        <v>85</v>
      </c>
      <c r="H138" s="35">
        <v>30</v>
      </c>
      <c r="I138" s="20">
        <v>300</v>
      </c>
      <c r="J138" s="21">
        <f t="shared" si="9"/>
        <v>9000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7</v>
      </c>
      <c r="C139" s="18">
        <v>44384</v>
      </c>
      <c r="D139" s="19" t="s">
        <v>18</v>
      </c>
      <c r="E139" s="19" t="s">
        <v>400</v>
      </c>
      <c r="F139" s="35">
        <v>60</v>
      </c>
      <c r="G139" s="35">
        <v>72.5</v>
      </c>
      <c r="H139" s="35">
        <v>12.5</v>
      </c>
      <c r="I139" s="20">
        <v>300</v>
      </c>
      <c r="J139" s="21">
        <f t="shared" si="9"/>
        <v>3750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8</v>
      </c>
      <c r="C140" s="18">
        <v>44385</v>
      </c>
      <c r="D140" s="19" t="s">
        <v>18</v>
      </c>
      <c r="E140" s="19" t="s">
        <v>415</v>
      </c>
      <c r="F140" s="35">
        <v>75</v>
      </c>
      <c r="G140" s="35">
        <v>105</v>
      </c>
      <c r="H140" s="35">
        <v>30</v>
      </c>
      <c r="I140" s="20">
        <v>300</v>
      </c>
      <c r="J140" s="21">
        <f t="shared" si="9"/>
        <v>9000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9</v>
      </c>
      <c r="C141" s="18">
        <v>44385</v>
      </c>
      <c r="D141" s="19" t="s">
        <v>18</v>
      </c>
      <c r="E141" s="19" t="s">
        <v>409</v>
      </c>
      <c r="F141" s="35">
        <v>75</v>
      </c>
      <c r="G141" s="35">
        <v>105</v>
      </c>
      <c r="H141" s="35">
        <v>30</v>
      </c>
      <c r="I141" s="20">
        <v>300</v>
      </c>
      <c r="J141" s="21">
        <f t="shared" si="9"/>
        <v>9000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10</v>
      </c>
      <c r="C142" s="18">
        <v>44386</v>
      </c>
      <c r="D142" s="19" t="s">
        <v>18</v>
      </c>
      <c r="E142" s="19" t="s">
        <v>416</v>
      </c>
      <c r="F142" s="35">
        <v>100</v>
      </c>
      <c r="G142" s="35">
        <v>85</v>
      </c>
      <c r="H142" s="35">
        <v>-15</v>
      </c>
      <c r="I142" s="20">
        <v>300</v>
      </c>
      <c r="J142" s="21">
        <f t="shared" si="9"/>
        <v>-4500</v>
      </c>
      <c r="K142" s="7"/>
      <c r="V142" s="5">
        <f t="shared" si="10"/>
        <v>0</v>
      </c>
      <c r="W142" s="5">
        <f t="shared" si="11"/>
        <v>1</v>
      </c>
    </row>
    <row r="143" spans="1:23" s="36" customFormat="1" x14ac:dyDescent="0.3">
      <c r="A143" s="6"/>
      <c r="B143" s="17">
        <f t="shared" si="12"/>
        <v>11</v>
      </c>
      <c r="C143" s="18">
        <v>44386</v>
      </c>
      <c r="D143" s="19" t="s">
        <v>18</v>
      </c>
      <c r="E143" s="19" t="s">
        <v>402</v>
      </c>
      <c r="F143" s="19">
        <v>90</v>
      </c>
      <c r="G143" s="35">
        <v>113</v>
      </c>
      <c r="H143" s="35">
        <v>13</v>
      </c>
      <c r="I143" s="20">
        <v>300</v>
      </c>
      <c r="J143" s="21">
        <f t="shared" si="9"/>
        <v>3900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12</v>
      </c>
      <c r="C144" s="18">
        <v>44389</v>
      </c>
      <c r="D144" s="19" t="s">
        <v>18</v>
      </c>
      <c r="E144" s="19" t="s">
        <v>389</v>
      </c>
      <c r="F144" s="35">
        <v>90</v>
      </c>
      <c r="G144" s="35">
        <v>95</v>
      </c>
      <c r="H144" s="35">
        <v>5</v>
      </c>
      <c r="I144" s="20">
        <v>300</v>
      </c>
      <c r="J144" s="21">
        <f t="shared" si="9"/>
        <v>1500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13</v>
      </c>
      <c r="C145" s="18">
        <v>44389</v>
      </c>
      <c r="D145" s="19" t="s">
        <v>18</v>
      </c>
      <c r="E145" s="19" t="s">
        <v>402</v>
      </c>
      <c r="F145" s="35">
        <v>70</v>
      </c>
      <c r="G145" s="35">
        <v>99</v>
      </c>
      <c r="H145" s="35">
        <f>99-70</f>
        <v>29</v>
      </c>
      <c r="I145" s="20">
        <v>300</v>
      </c>
      <c r="J145" s="21">
        <f t="shared" si="9"/>
        <v>8700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14</v>
      </c>
      <c r="C146" s="18">
        <v>44390</v>
      </c>
      <c r="D146" s="19" t="s">
        <v>18</v>
      </c>
      <c r="E146" s="19" t="s">
        <v>389</v>
      </c>
      <c r="F146" s="77">
        <v>65</v>
      </c>
      <c r="G146" s="35">
        <v>95</v>
      </c>
      <c r="H146" s="78">
        <v>30</v>
      </c>
      <c r="I146" s="20">
        <v>300</v>
      </c>
      <c r="J146" s="21">
        <f t="shared" si="9"/>
        <v>9000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15</v>
      </c>
      <c r="C147" s="18">
        <v>44390</v>
      </c>
      <c r="D147" s="19" t="s">
        <v>18</v>
      </c>
      <c r="E147" s="19" t="s">
        <v>389</v>
      </c>
      <c r="F147" s="35">
        <v>75</v>
      </c>
      <c r="G147" s="35">
        <v>99</v>
      </c>
      <c r="H147" s="78">
        <f>99-75</f>
        <v>24</v>
      </c>
      <c r="I147" s="20">
        <v>300</v>
      </c>
      <c r="J147" s="21">
        <f t="shared" si="9"/>
        <v>7200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16</v>
      </c>
      <c r="C148" s="18">
        <v>44391</v>
      </c>
      <c r="D148" s="19" t="s">
        <v>18</v>
      </c>
      <c r="E148" s="19" t="s">
        <v>389</v>
      </c>
      <c r="F148" s="35">
        <v>65</v>
      </c>
      <c r="G148" s="35">
        <v>95</v>
      </c>
      <c r="H148" s="78">
        <v>30</v>
      </c>
      <c r="I148" s="20">
        <v>300</v>
      </c>
      <c r="J148" s="21">
        <f t="shared" si="9"/>
        <v>9000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17</v>
      </c>
      <c r="C149" s="18">
        <v>44391</v>
      </c>
      <c r="D149" s="19" t="s">
        <v>18</v>
      </c>
      <c r="E149" s="19" t="s">
        <v>400</v>
      </c>
      <c r="F149" s="35">
        <v>70</v>
      </c>
      <c r="G149" s="35">
        <v>97</v>
      </c>
      <c r="H149" s="78">
        <f>97-70</f>
        <v>27</v>
      </c>
      <c r="I149" s="20">
        <v>300</v>
      </c>
      <c r="J149" s="21">
        <f t="shared" si="9"/>
        <v>8100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18</v>
      </c>
      <c r="C150" s="18">
        <v>44392</v>
      </c>
      <c r="D150" s="19" t="s">
        <v>18</v>
      </c>
      <c r="E150" s="19" t="s">
        <v>405</v>
      </c>
      <c r="F150" s="35">
        <v>50</v>
      </c>
      <c r="G150" s="35">
        <v>80</v>
      </c>
      <c r="H150" s="78">
        <v>30</v>
      </c>
      <c r="I150" s="20">
        <v>300</v>
      </c>
      <c r="J150" s="21">
        <f t="shared" si="9"/>
        <v>9000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19</v>
      </c>
      <c r="C151" s="18">
        <v>44392</v>
      </c>
      <c r="D151" s="19" t="s">
        <v>18</v>
      </c>
      <c r="E151" s="19" t="s">
        <v>405</v>
      </c>
      <c r="F151" s="35">
        <v>85</v>
      </c>
      <c r="G151" s="35">
        <v>95</v>
      </c>
      <c r="H151" s="78">
        <v>10</v>
      </c>
      <c r="I151" s="20">
        <v>300</v>
      </c>
      <c r="J151" s="21">
        <f t="shared" si="9"/>
        <v>3000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20</v>
      </c>
      <c r="C152" s="18">
        <v>44393</v>
      </c>
      <c r="D152" s="19" t="s">
        <v>18</v>
      </c>
      <c r="E152" s="19" t="s">
        <v>417</v>
      </c>
      <c r="F152" s="35">
        <v>85</v>
      </c>
      <c r="G152" s="35">
        <v>115</v>
      </c>
      <c r="H152" s="35">
        <f>115-85</f>
        <v>30</v>
      </c>
      <c r="I152" s="20">
        <v>300</v>
      </c>
      <c r="J152" s="21">
        <f t="shared" si="9"/>
        <v>9000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21</v>
      </c>
      <c r="C153" s="18">
        <v>44393</v>
      </c>
      <c r="D153" s="19" t="s">
        <v>18</v>
      </c>
      <c r="E153" s="19" t="s">
        <v>415</v>
      </c>
      <c r="F153" s="35">
        <v>80</v>
      </c>
      <c r="G153" s="35">
        <v>87</v>
      </c>
      <c r="H153" s="35">
        <v>7</v>
      </c>
      <c r="I153" s="20">
        <v>300</v>
      </c>
      <c r="J153" s="21">
        <f t="shared" si="9"/>
        <v>2100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2"/>
        <v>22</v>
      </c>
      <c r="C154" s="18">
        <v>44396</v>
      </c>
      <c r="D154" s="19" t="s">
        <v>18</v>
      </c>
      <c r="E154" s="19" t="s">
        <v>400</v>
      </c>
      <c r="F154" s="35">
        <v>80</v>
      </c>
      <c r="G154" s="35">
        <v>86</v>
      </c>
      <c r="H154" s="35">
        <v>6</v>
      </c>
      <c r="I154" s="20">
        <v>300</v>
      </c>
      <c r="J154" s="21">
        <f t="shared" si="9"/>
        <v>1800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2"/>
        <v>23</v>
      </c>
      <c r="C155" s="18">
        <v>44396</v>
      </c>
      <c r="D155" s="19" t="s">
        <v>18</v>
      </c>
      <c r="E155" s="19" t="s">
        <v>403</v>
      </c>
      <c r="F155" s="35">
        <v>85</v>
      </c>
      <c r="G155" s="35">
        <v>91</v>
      </c>
      <c r="H155" s="35">
        <f>91-85</f>
        <v>6</v>
      </c>
      <c r="I155" s="20">
        <v>300</v>
      </c>
      <c r="J155" s="21">
        <f t="shared" si="9"/>
        <v>1800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>B155+1</f>
        <v>24</v>
      </c>
      <c r="C156" s="18">
        <v>44397</v>
      </c>
      <c r="D156" s="19" t="s">
        <v>18</v>
      </c>
      <c r="E156" s="19" t="s">
        <v>418</v>
      </c>
      <c r="F156" s="35">
        <v>65</v>
      </c>
      <c r="G156" s="35">
        <v>73</v>
      </c>
      <c r="H156" s="35">
        <f>73-65</f>
        <v>8</v>
      </c>
      <c r="I156" s="20">
        <v>300</v>
      </c>
      <c r="J156" s="21">
        <f t="shared" si="9"/>
        <v>2400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ref="B157:B178" si="13">B156+1</f>
        <v>25</v>
      </c>
      <c r="C157" s="18">
        <v>44397</v>
      </c>
      <c r="D157" s="19" t="s">
        <v>18</v>
      </c>
      <c r="E157" s="19" t="s">
        <v>402</v>
      </c>
      <c r="F157" s="35">
        <v>70</v>
      </c>
      <c r="G157" s="35">
        <v>100</v>
      </c>
      <c r="H157" s="35">
        <v>30</v>
      </c>
      <c r="I157" s="20">
        <v>300</v>
      </c>
      <c r="J157" s="21">
        <f t="shared" si="9"/>
        <v>9000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3"/>
        <v>26</v>
      </c>
      <c r="C158" s="18">
        <v>44399</v>
      </c>
      <c r="D158" s="19" t="s">
        <v>18</v>
      </c>
      <c r="E158" s="19" t="s">
        <v>399</v>
      </c>
      <c r="F158" s="35">
        <v>80</v>
      </c>
      <c r="G158" s="35">
        <v>110</v>
      </c>
      <c r="H158" s="35">
        <v>30</v>
      </c>
      <c r="I158" s="20">
        <v>300</v>
      </c>
      <c r="J158" s="21">
        <f t="shared" si="9"/>
        <v>9000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3"/>
        <v>27</v>
      </c>
      <c r="C159" s="18">
        <v>44400</v>
      </c>
      <c r="D159" s="19" t="s">
        <v>18</v>
      </c>
      <c r="E159" s="19" t="s">
        <v>408</v>
      </c>
      <c r="F159" s="35">
        <v>80</v>
      </c>
      <c r="G159" s="35">
        <v>65</v>
      </c>
      <c r="H159" s="35">
        <v>-15</v>
      </c>
      <c r="I159" s="20">
        <v>300</v>
      </c>
      <c r="J159" s="21">
        <f t="shared" si="9"/>
        <v>-4500</v>
      </c>
      <c r="K159" s="7"/>
      <c r="V159" s="5">
        <f t="shared" si="10"/>
        <v>0</v>
      </c>
      <c r="W159" s="5">
        <f t="shared" si="11"/>
        <v>1</v>
      </c>
    </row>
    <row r="160" spans="1:23" s="36" customFormat="1" x14ac:dyDescent="0.3">
      <c r="A160" s="6"/>
      <c r="B160" s="17">
        <f t="shared" si="13"/>
        <v>28</v>
      </c>
      <c r="C160" s="18">
        <v>44400</v>
      </c>
      <c r="D160" s="19" t="s">
        <v>18</v>
      </c>
      <c r="E160" s="19" t="s">
        <v>405</v>
      </c>
      <c r="F160" s="35">
        <v>85</v>
      </c>
      <c r="G160" s="35">
        <v>105</v>
      </c>
      <c r="H160" s="35">
        <f>105-85</f>
        <v>20</v>
      </c>
      <c r="I160" s="20">
        <v>300</v>
      </c>
      <c r="J160" s="21">
        <f t="shared" si="9"/>
        <v>6000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si="13"/>
        <v>29</v>
      </c>
      <c r="C161" s="18">
        <v>44403</v>
      </c>
      <c r="D161" s="19" t="s">
        <v>18</v>
      </c>
      <c r="E161" s="19" t="s">
        <v>405</v>
      </c>
      <c r="F161" s="35">
        <v>80</v>
      </c>
      <c r="G161" s="35">
        <v>87</v>
      </c>
      <c r="H161" s="35">
        <v>7</v>
      </c>
      <c r="I161" s="20">
        <v>300</v>
      </c>
      <c r="J161" s="21">
        <f t="shared" si="9"/>
        <v>2100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30</v>
      </c>
      <c r="C162" s="18">
        <v>44403</v>
      </c>
      <c r="D162" s="19" t="s">
        <v>18</v>
      </c>
      <c r="E162" s="19" t="s">
        <v>405</v>
      </c>
      <c r="F162" s="35">
        <v>70</v>
      </c>
      <c r="G162" s="35">
        <v>75</v>
      </c>
      <c r="H162" s="35">
        <v>5</v>
      </c>
      <c r="I162" s="20">
        <v>300</v>
      </c>
      <c r="J162" s="21">
        <f t="shared" si="9"/>
        <v>1500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31</v>
      </c>
      <c r="C163" s="18">
        <v>44404</v>
      </c>
      <c r="D163" s="19" t="s">
        <v>18</v>
      </c>
      <c r="E163" s="19" t="s">
        <v>405</v>
      </c>
      <c r="F163" s="35">
        <v>65</v>
      </c>
      <c r="G163" s="35">
        <v>70</v>
      </c>
      <c r="H163" s="35">
        <v>5</v>
      </c>
      <c r="I163" s="20">
        <v>300</v>
      </c>
      <c r="J163" s="21">
        <f t="shared" si="9"/>
        <v>1500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32</v>
      </c>
      <c r="C164" s="18">
        <v>44404</v>
      </c>
      <c r="D164" s="19" t="s">
        <v>18</v>
      </c>
      <c r="E164" s="19" t="s">
        <v>403</v>
      </c>
      <c r="F164" s="35">
        <v>70</v>
      </c>
      <c r="G164" s="35">
        <v>90</v>
      </c>
      <c r="H164" s="35">
        <v>20</v>
      </c>
      <c r="I164" s="20">
        <v>300</v>
      </c>
      <c r="J164" s="21">
        <f t="shared" si="9"/>
        <v>6000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3"/>
        <v>33</v>
      </c>
      <c r="C165" s="18">
        <v>44405</v>
      </c>
      <c r="D165" s="19" t="s">
        <v>18</v>
      </c>
      <c r="E165" s="19" t="s">
        <v>416</v>
      </c>
      <c r="F165" s="35">
        <v>65</v>
      </c>
      <c r="G165" s="35">
        <v>95</v>
      </c>
      <c r="H165" s="35">
        <v>30</v>
      </c>
      <c r="I165" s="20">
        <v>300</v>
      </c>
      <c r="J165" s="21">
        <f t="shared" si="9"/>
        <v>9000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3"/>
        <v>34</v>
      </c>
      <c r="C166" s="18">
        <v>44405</v>
      </c>
      <c r="D166" s="19" t="s">
        <v>18</v>
      </c>
      <c r="E166" s="19" t="s">
        <v>416</v>
      </c>
      <c r="F166" s="35">
        <v>70</v>
      </c>
      <c r="G166" s="35">
        <v>55</v>
      </c>
      <c r="H166" s="35">
        <v>-15</v>
      </c>
      <c r="I166" s="20">
        <v>300</v>
      </c>
      <c r="J166" s="21">
        <f t="shared" si="9"/>
        <v>-4500</v>
      </c>
      <c r="K166" s="7"/>
      <c r="V166" s="5">
        <f t="shared" si="10"/>
        <v>0</v>
      </c>
      <c r="W166" s="5">
        <f t="shared" si="11"/>
        <v>1</v>
      </c>
    </row>
    <row r="167" spans="1:23" s="36" customFormat="1" x14ac:dyDescent="0.3">
      <c r="A167" s="6"/>
      <c r="B167" s="17">
        <f t="shared" si="13"/>
        <v>35</v>
      </c>
      <c r="C167" s="18">
        <v>44406</v>
      </c>
      <c r="D167" s="19" t="s">
        <v>18</v>
      </c>
      <c r="E167" s="19" t="s">
        <v>408</v>
      </c>
      <c r="F167" s="35">
        <v>50</v>
      </c>
      <c r="G167" s="35">
        <v>35</v>
      </c>
      <c r="H167" s="35">
        <v>-15</v>
      </c>
      <c r="I167" s="20">
        <v>300</v>
      </c>
      <c r="J167" s="21">
        <f t="shared" si="9"/>
        <v>-4500</v>
      </c>
      <c r="K167" s="7"/>
      <c r="V167" s="5">
        <f t="shared" si="10"/>
        <v>0</v>
      </c>
      <c r="W167" s="5">
        <f t="shared" si="11"/>
        <v>1</v>
      </c>
    </row>
    <row r="168" spans="1:23" s="36" customFormat="1" x14ac:dyDescent="0.3">
      <c r="A168" s="6"/>
      <c r="B168" s="17">
        <f t="shared" si="13"/>
        <v>36</v>
      </c>
      <c r="C168" s="18">
        <v>44407</v>
      </c>
      <c r="D168" s="19" t="s">
        <v>18</v>
      </c>
      <c r="E168" s="19" t="s">
        <v>408</v>
      </c>
      <c r="F168" s="35">
        <v>90</v>
      </c>
      <c r="G168" s="35">
        <v>99</v>
      </c>
      <c r="H168" s="35">
        <v>9</v>
      </c>
      <c r="I168" s="20">
        <v>300</v>
      </c>
      <c r="J168" s="21">
        <f t="shared" si="9"/>
        <v>2700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3"/>
        <v>37</v>
      </c>
      <c r="C169" s="18">
        <v>44407</v>
      </c>
      <c r="D169" s="19" t="s">
        <v>18</v>
      </c>
      <c r="E169" s="19" t="s">
        <v>405</v>
      </c>
      <c r="F169" s="35">
        <v>80</v>
      </c>
      <c r="G169" s="35">
        <v>65</v>
      </c>
      <c r="H169" s="35">
        <v>-15</v>
      </c>
      <c r="I169" s="20">
        <v>300</v>
      </c>
      <c r="J169" s="21">
        <f t="shared" si="9"/>
        <v>-4500</v>
      </c>
      <c r="K169" s="7"/>
      <c r="V169" s="5">
        <f t="shared" si="10"/>
        <v>0</v>
      </c>
      <c r="W169" s="5">
        <f t="shared" si="11"/>
        <v>1</v>
      </c>
    </row>
    <row r="170" spans="1:23" s="36" customFormat="1" x14ac:dyDescent="0.3">
      <c r="A170" s="6"/>
      <c r="B170" s="17">
        <f t="shared" si="13"/>
        <v>38</v>
      </c>
      <c r="C170" s="18"/>
      <c r="D170" s="19"/>
      <c r="E170" s="19"/>
      <c r="F170" s="35"/>
      <c r="G170" s="35"/>
      <c r="H170" s="35"/>
      <c r="I170" s="20"/>
      <c r="J170" s="21">
        <f t="shared" si="9"/>
        <v>0</v>
      </c>
      <c r="K170" s="7"/>
      <c r="V170" s="5">
        <f t="shared" si="10"/>
        <v>0</v>
      </c>
      <c r="W170" s="5">
        <f t="shared" si="11"/>
        <v>0</v>
      </c>
    </row>
    <row r="171" spans="1:23" s="36" customFormat="1" x14ac:dyDescent="0.3">
      <c r="A171" s="6"/>
      <c r="B171" s="17">
        <f t="shared" si="13"/>
        <v>39</v>
      </c>
      <c r="C171" s="18"/>
      <c r="D171" s="19"/>
      <c r="E171" s="19"/>
      <c r="F171" s="35"/>
      <c r="G171" s="35"/>
      <c r="H171" s="35"/>
      <c r="I171" s="20"/>
      <c r="J171" s="21">
        <f t="shared" si="9"/>
        <v>0</v>
      </c>
      <c r="K171" s="7"/>
      <c r="V171" s="5">
        <f t="shared" si="10"/>
        <v>0</v>
      </c>
      <c r="W171" s="5">
        <f t="shared" si="11"/>
        <v>0</v>
      </c>
    </row>
    <row r="172" spans="1:23" s="36" customFormat="1" x14ac:dyDescent="0.3">
      <c r="A172" s="6"/>
      <c r="B172" s="17">
        <f t="shared" si="13"/>
        <v>40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x14ac:dyDescent="0.3">
      <c r="A173" s="6"/>
      <c r="B173" s="17">
        <f t="shared" si="13"/>
        <v>41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x14ac:dyDescent="0.3">
      <c r="A174" s="6"/>
      <c r="B174" s="17">
        <f t="shared" si="13"/>
        <v>42</v>
      </c>
      <c r="C174" s="18"/>
      <c r="D174" s="19"/>
      <c r="E174" s="19"/>
      <c r="F174" s="35"/>
      <c r="G174" s="35"/>
      <c r="H174" s="35"/>
      <c r="I174" s="20"/>
      <c r="J174" s="21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x14ac:dyDescent="0.3">
      <c r="A175" s="6"/>
      <c r="B175" s="17">
        <f t="shared" si="13"/>
        <v>43</v>
      </c>
      <c r="C175" s="18"/>
      <c r="D175" s="19"/>
      <c r="E175" s="19"/>
      <c r="F175" s="35"/>
      <c r="G175" s="35"/>
      <c r="H175" s="35"/>
      <c r="I175" s="20"/>
      <c r="J175" s="21">
        <f t="shared" si="9"/>
        <v>0</v>
      </c>
      <c r="K175" s="7"/>
      <c r="V175" s="5">
        <f t="shared" si="10"/>
        <v>0</v>
      </c>
      <c r="W175" s="5">
        <f t="shared" si="11"/>
        <v>0</v>
      </c>
    </row>
    <row r="176" spans="1:23" s="36" customFormat="1" x14ac:dyDescent="0.3">
      <c r="A176" s="6"/>
      <c r="B176" s="17">
        <f t="shared" si="13"/>
        <v>44</v>
      </c>
      <c r="C176" s="18"/>
      <c r="D176" s="19"/>
      <c r="E176" s="19"/>
      <c r="F176" s="35"/>
      <c r="G176" s="35"/>
      <c r="H176" s="35"/>
      <c r="I176" s="20"/>
      <c r="J176" s="21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x14ac:dyDescent="0.3">
      <c r="A177" s="6"/>
      <c r="B177" s="17">
        <f t="shared" si="13"/>
        <v>45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ht="15" thickBot="1" x14ac:dyDescent="0.35">
      <c r="A178" s="6"/>
      <c r="B178" s="95">
        <f t="shared" si="13"/>
        <v>46</v>
      </c>
      <c r="C178" s="79"/>
      <c r="D178" s="80"/>
      <c r="E178" s="80"/>
      <c r="F178" s="96"/>
      <c r="G178" s="96"/>
      <c r="H178" s="96"/>
      <c r="I178" s="81"/>
      <c r="J178" s="82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ht="24" thickBot="1" x14ac:dyDescent="0.5">
      <c r="A179" s="6"/>
      <c r="B179" s="165" t="s">
        <v>22</v>
      </c>
      <c r="C179" s="166"/>
      <c r="D179" s="166"/>
      <c r="E179" s="166"/>
      <c r="F179" s="166"/>
      <c r="G179" s="166"/>
      <c r="H179" s="167"/>
      <c r="I179" s="83" t="s">
        <v>23</v>
      </c>
      <c r="J179" s="84">
        <f>SUM(J133:J178)</f>
        <v>152490</v>
      </c>
      <c r="K179" s="7"/>
      <c r="L179" s="5"/>
      <c r="M179" s="5"/>
      <c r="N179" s="5"/>
      <c r="O179" s="5"/>
      <c r="P179" s="5"/>
      <c r="Q179" s="5"/>
      <c r="R179" s="5"/>
      <c r="V179" s="36">
        <f>SUM(V133:V178)</f>
        <v>32</v>
      </c>
      <c r="W179" s="36">
        <f>SUM(W133:W178)</f>
        <v>5</v>
      </c>
    </row>
    <row r="180" spans="1:23" s="36" customFormat="1" ht="30" customHeight="1" thickBot="1" x14ac:dyDescent="0.35">
      <c r="A180" s="30"/>
      <c r="B180" s="31"/>
      <c r="C180" s="31"/>
      <c r="D180" s="31"/>
      <c r="E180" s="31"/>
      <c r="F180" s="31"/>
      <c r="G180" s="31"/>
      <c r="H180" s="32"/>
      <c r="I180" s="31"/>
      <c r="J180" s="32"/>
      <c r="K180" s="33"/>
      <c r="L180" s="5"/>
      <c r="M180" s="5"/>
      <c r="N180" s="5"/>
      <c r="O180" s="5"/>
      <c r="P180" s="5"/>
      <c r="Q180" s="5"/>
      <c r="R180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B125:H125"/>
    <mergeCell ref="B129:J129"/>
    <mergeCell ref="B130:J130"/>
    <mergeCell ref="B131:J131"/>
    <mergeCell ref="B179:H179"/>
  </mergeCells>
  <hyperlinks>
    <hyperlink ref="B59" r:id="rId1" xr:uid="{00000000-0004-0000-0C00-000000000000}"/>
    <hyperlink ref="B125" r:id="rId2" xr:uid="{00000000-0004-0000-0C00-000001000000}"/>
    <hyperlink ref="B179" r:id="rId3" xr:uid="{00000000-0004-0000-0C00-000002000000}"/>
    <hyperlink ref="M1" location="MASTER!A1" display="Back" xr:uid="{00000000-0004-0000-0C00-000003000000}"/>
    <hyperlink ref="M6:M7" location="'JUNE 2021'!A1" display="EXTRA STOCK FUTURE" xr:uid="{00000000-0004-0000-0C00-000004000000}"/>
  </hyperlinks>
  <pageMargins left="0" right="0" top="0" bottom="0" header="0" footer="0"/>
  <pageSetup paperSize="9" orientation="portrait" r:id="rId4"/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180"/>
  <sheetViews>
    <sheetView topLeftCell="A107" zoomScaleNormal="100" workbookViewId="0"/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44409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95" t="s">
        <v>107</v>
      </c>
      <c r="N4" s="111">
        <f>COUNT(C6:C58)</f>
        <v>35</v>
      </c>
      <c r="O4" s="113">
        <f>V59</f>
        <v>30</v>
      </c>
      <c r="P4" s="113">
        <f>W59</f>
        <v>5</v>
      </c>
      <c r="Q4" s="197">
        <f>N4-O4-P4</f>
        <v>0</v>
      </c>
      <c r="R4" s="199">
        <f>O4/N4</f>
        <v>0.8571428571428571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96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44410</v>
      </c>
      <c r="D6" s="90" t="s">
        <v>18</v>
      </c>
      <c r="E6" s="90" t="s">
        <v>306</v>
      </c>
      <c r="F6" s="90">
        <v>120</v>
      </c>
      <c r="G6" s="90">
        <v>140</v>
      </c>
      <c r="H6" s="91">
        <v>20</v>
      </c>
      <c r="I6" s="90">
        <v>100</v>
      </c>
      <c r="J6" s="92">
        <f t="shared" ref="J6:J58" si="0">H6*I6</f>
        <v>2000</v>
      </c>
      <c r="K6" s="7"/>
      <c r="M6" s="213" t="s">
        <v>108</v>
      </c>
      <c r="N6" s="112">
        <f>COUNT(C67:C124)</f>
        <v>40</v>
      </c>
      <c r="O6" s="114">
        <f>V125</f>
        <v>31</v>
      </c>
      <c r="P6" s="114">
        <f>W125</f>
        <v>5</v>
      </c>
      <c r="Q6" s="198">
        <f>N6-O6-P6</f>
        <v>4</v>
      </c>
      <c r="R6" s="203">
        <f t="shared" ref="R6" si="1">O6/N6</f>
        <v>0.77500000000000002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x14ac:dyDescent="0.3">
      <c r="A7" s="6"/>
      <c r="B7" s="17">
        <v>2</v>
      </c>
      <c r="C7" s="85">
        <v>44411</v>
      </c>
      <c r="D7" s="86" t="s">
        <v>18</v>
      </c>
      <c r="E7" s="86" t="s">
        <v>239</v>
      </c>
      <c r="F7" s="86">
        <v>120</v>
      </c>
      <c r="G7" s="86">
        <v>220</v>
      </c>
      <c r="H7" s="87">
        <v>100</v>
      </c>
      <c r="I7" s="86">
        <v>100</v>
      </c>
      <c r="J7" s="21">
        <f t="shared" si="0"/>
        <v>10000</v>
      </c>
      <c r="K7" s="7"/>
      <c r="M7" s="213"/>
      <c r="N7" s="112"/>
      <c r="O7" s="114"/>
      <c r="P7" s="114"/>
      <c r="Q7" s="198"/>
      <c r="R7" s="200"/>
      <c r="V7" s="5">
        <f t="shared" si="2"/>
        <v>1</v>
      </c>
      <c r="W7" s="5">
        <f t="shared" si="3"/>
        <v>0</v>
      </c>
    </row>
    <row r="8" spans="1:23" x14ac:dyDescent="0.3">
      <c r="A8" s="6"/>
      <c r="B8" s="88">
        <v>3</v>
      </c>
      <c r="C8" s="85">
        <v>44411</v>
      </c>
      <c r="D8" s="86" t="s">
        <v>18</v>
      </c>
      <c r="E8" s="86" t="s">
        <v>239</v>
      </c>
      <c r="F8" s="86">
        <v>150</v>
      </c>
      <c r="G8" s="86">
        <v>250</v>
      </c>
      <c r="H8" s="87">
        <v>100</v>
      </c>
      <c r="I8" s="86">
        <v>100</v>
      </c>
      <c r="J8" s="21">
        <f t="shared" si="0"/>
        <v>10000</v>
      </c>
      <c r="K8" s="7"/>
      <c r="M8" s="205" t="s">
        <v>194</v>
      </c>
      <c r="N8" s="112">
        <f>COUNT(C133:C178)</f>
        <v>38</v>
      </c>
      <c r="O8" s="114">
        <f>V179</f>
        <v>34</v>
      </c>
      <c r="P8" s="114">
        <f>W179</f>
        <v>4</v>
      </c>
      <c r="Q8" s="198">
        <f>N8-O8-P8</f>
        <v>0</v>
      </c>
      <c r="R8" s="203">
        <f t="shared" ref="R8:R10" si="4">O8/N8</f>
        <v>0.89473684210526316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44412</v>
      </c>
      <c r="D9" s="86" t="s">
        <v>18</v>
      </c>
      <c r="E9" s="86" t="s">
        <v>278</v>
      </c>
      <c r="F9" s="86">
        <v>110</v>
      </c>
      <c r="G9" s="86">
        <v>210</v>
      </c>
      <c r="H9" s="87">
        <v>100</v>
      </c>
      <c r="I9" s="86">
        <v>100</v>
      </c>
      <c r="J9" s="21">
        <f t="shared" si="0"/>
        <v>10000</v>
      </c>
      <c r="K9" s="7"/>
      <c r="M9" s="206"/>
      <c r="N9" s="184"/>
      <c r="O9" s="172"/>
      <c r="P9" s="172"/>
      <c r="Q9" s="174"/>
      <c r="R9" s="204"/>
      <c r="V9" s="5">
        <f t="shared" si="2"/>
        <v>1</v>
      </c>
      <c r="W9" s="5">
        <f t="shared" si="3"/>
        <v>0</v>
      </c>
    </row>
    <row r="10" spans="1:23" ht="16.5" customHeight="1" x14ac:dyDescent="0.3">
      <c r="A10" s="6"/>
      <c r="B10" s="88">
        <v>5</v>
      </c>
      <c r="C10" s="85">
        <v>44412</v>
      </c>
      <c r="D10" s="86" t="s">
        <v>18</v>
      </c>
      <c r="E10" s="86" t="s">
        <v>388</v>
      </c>
      <c r="F10" s="86">
        <v>150</v>
      </c>
      <c r="G10" s="86">
        <v>250</v>
      </c>
      <c r="H10" s="87">
        <v>100</v>
      </c>
      <c r="I10" s="86">
        <v>100</v>
      </c>
      <c r="J10" s="21">
        <f t="shared" si="0"/>
        <v>10000</v>
      </c>
      <c r="K10" s="7"/>
      <c r="M10" s="207" t="s">
        <v>19</v>
      </c>
      <c r="N10" s="149">
        <f>SUM(N4:N9)</f>
        <v>113</v>
      </c>
      <c r="O10" s="209">
        <f>SUM(O4:O9)</f>
        <v>95</v>
      </c>
      <c r="P10" s="209">
        <f>SUM(P4:P9)</f>
        <v>14</v>
      </c>
      <c r="Q10" s="211">
        <f>SUM(Q4:Q9)</f>
        <v>4</v>
      </c>
      <c r="R10" s="199">
        <f t="shared" si="4"/>
        <v>0.84070796460176989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44413</v>
      </c>
      <c r="D11" s="86" t="s">
        <v>18</v>
      </c>
      <c r="E11" s="86" t="s">
        <v>384</v>
      </c>
      <c r="F11" s="86">
        <v>130</v>
      </c>
      <c r="G11" s="86">
        <v>180</v>
      </c>
      <c r="H11" s="87">
        <v>50</v>
      </c>
      <c r="I11" s="86">
        <v>100</v>
      </c>
      <c r="J11" s="21">
        <f t="shared" si="0"/>
        <v>5000</v>
      </c>
      <c r="K11" s="7"/>
      <c r="M11" s="208"/>
      <c r="N11" s="150"/>
      <c r="O11" s="210"/>
      <c r="P11" s="210"/>
      <c r="Q11" s="212"/>
      <c r="R11" s="204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44413</v>
      </c>
      <c r="D12" s="86" t="s">
        <v>18</v>
      </c>
      <c r="E12" s="86" t="s">
        <v>384</v>
      </c>
      <c r="F12" s="86">
        <v>70</v>
      </c>
      <c r="G12" s="86">
        <v>108</v>
      </c>
      <c r="H12" s="87">
        <f>108-70</f>
        <v>38</v>
      </c>
      <c r="I12" s="86">
        <v>100</v>
      </c>
      <c r="J12" s="21">
        <f t="shared" si="0"/>
        <v>3800</v>
      </c>
      <c r="K12" s="7"/>
      <c r="M12" s="126" t="s">
        <v>20</v>
      </c>
      <c r="N12" s="130"/>
      <c r="O12" s="131"/>
      <c r="P12" s="138">
        <f>R10</f>
        <v>0.84070796460176989</v>
      </c>
      <c r="Q12" s="139"/>
      <c r="R12" s="137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44414</v>
      </c>
      <c r="D13" s="86" t="s">
        <v>18</v>
      </c>
      <c r="E13" s="86" t="s">
        <v>423</v>
      </c>
      <c r="F13" s="86">
        <v>150</v>
      </c>
      <c r="G13" s="86">
        <v>165</v>
      </c>
      <c r="H13" s="87">
        <v>15</v>
      </c>
      <c r="I13" s="86">
        <v>100</v>
      </c>
      <c r="J13" s="21">
        <f t="shared" si="0"/>
        <v>1500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44417</v>
      </c>
      <c r="D14" s="86" t="s">
        <v>18</v>
      </c>
      <c r="E14" s="86" t="s">
        <v>424</v>
      </c>
      <c r="F14" s="86">
        <v>130</v>
      </c>
      <c r="G14" s="86">
        <v>80</v>
      </c>
      <c r="H14" s="87">
        <v>-50</v>
      </c>
      <c r="I14" s="86">
        <v>100</v>
      </c>
      <c r="J14" s="21">
        <f t="shared" si="0"/>
        <v>-5000</v>
      </c>
      <c r="K14" s="7"/>
      <c r="M14" s="132"/>
      <c r="N14" s="133"/>
      <c r="O14" s="134"/>
      <c r="P14" s="141"/>
      <c r="Q14" s="142"/>
      <c r="R14" s="143"/>
      <c r="V14" s="5">
        <f t="shared" si="2"/>
        <v>0</v>
      </c>
      <c r="W14" s="5">
        <f t="shared" si="3"/>
        <v>1</v>
      </c>
    </row>
    <row r="15" spans="1:23" x14ac:dyDescent="0.3">
      <c r="A15" s="6"/>
      <c r="B15" s="17">
        <v>10</v>
      </c>
      <c r="C15" s="85">
        <v>44418</v>
      </c>
      <c r="D15" s="86" t="s">
        <v>18</v>
      </c>
      <c r="E15" s="86" t="s">
        <v>252</v>
      </c>
      <c r="F15" s="86">
        <v>120</v>
      </c>
      <c r="G15" s="86">
        <v>160</v>
      </c>
      <c r="H15" s="87">
        <v>40</v>
      </c>
      <c r="I15" s="86">
        <v>100</v>
      </c>
      <c r="J15" s="21">
        <f t="shared" si="0"/>
        <v>4000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18">
        <v>44418</v>
      </c>
      <c r="D16" s="19" t="s">
        <v>18</v>
      </c>
      <c r="E16" s="19" t="s">
        <v>424</v>
      </c>
      <c r="F16" s="35">
        <v>130</v>
      </c>
      <c r="G16" s="35">
        <v>80</v>
      </c>
      <c r="H16" s="35">
        <v>-50</v>
      </c>
      <c r="I16" s="20">
        <v>100</v>
      </c>
      <c r="J16" s="21">
        <f t="shared" si="0"/>
        <v>-5000</v>
      </c>
      <c r="K16" s="7"/>
      <c r="V16" s="5">
        <f t="shared" si="2"/>
        <v>0</v>
      </c>
      <c r="W16" s="5">
        <f t="shared" si="3"/>
        <v>1</v>
      </c>
    </row>
    <row r="17" spans="1:23" x14ac:dyDescent="0.3">
      <c r="A17" s="6"/>
      <c r="B17" s="17">
        <v>12</v>
      </c>
      <c r="C17" s="18">
        <v>44419</v>
      </c>
      <c r="D17" s="19" t="s">
        <v>18</v>
      </c>
      <c r="E17" s="19" t="s">
        <v>384</v>
      </c>
      <c r="F17" s="35">
        <v>120</v>
      </c>
      <c r="G17" s="35">
        <v>220</v>
      </c>
      <c r="H17" s="35">
        <v>200</v>
      </c>
      <c r="I17" s="20">
        <v>100</v>
      </c>
      <c r="J17" s="21">
        <f t="shared" si="0"/>
        <v>20000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18">
        <v>44419</v>
      </c>
      <c r="D18" s="19" t="s">
        <v>18</v>
      </c>
      <c r="E18" s="19" t="s">
        <v>300</v>
      </c>
      <c r="F18" s="35">
        <v>130</v>
      </c>
      <c r="G18" s="35">
        <v>150</v>
      </c>
      <c r="H18" s="35">
        <v>20</v>
      </c>
      <c r="I18" s="20">
        <v>100</v>
      </c>
      <c r="J18" s="21">
        <f t="shared" si="0"/>
        <v>2000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18">
        <v>44420</v>
      </c>
      <c r="D19" s="19" t="s">
        <v>18</v>
      </c>
      <c r="E19" s="19" t="s">
        <v>278</v>
      </c>
      <c r="F19" s="35">
        <v>130</v>
      </c>
      <c r="G19" s="35">
        <v>180</v>
      </c>
      <c r="H19" s="35">
        <v>50</v>
      </c>
      <c r="I19" s="20">
        <v>100</v>
      </c>
      <c r="J19" s="21">
        <f t="shared" si="0"/>
        <v>5000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18">
        <v>44421</v>
      </c>
      <c r="D20" s="19" t="s">
        <v>18</v>
      </c>
      <c r="E20" s="19" t="s">
        <v>424</v>
      </c>
      <c r="F20" s="35">
        <v>130</v>
      </c>
      <c r="G20" s="35">
        <v>80</v>
      </c>
      <c r="H20" s="78">
        <v>-50</v>
      </c>
      <c r="I20" s="20">
        <v>100</v>
      </c>
      <c r="J20" s="21">
        <f t="shared" si="0"/>
        <v>-5000</v>
      </c>
      <c r="K20" s="7"/>
      <c r="V20" s="5">
        <f t="shared" si="2"/>
        <v>0</v>
      </c>
      <c r="W20" s="5">
        <f t="shared" si="3"/>
        <v>1</v>
      </c>
    </row>
    <row r="21" spans="1:23" x14ac:dyDescent="0.3">
      <c r="A21" s="6"/>
      <c r="B21" s="17">
        <v>16</v>
      </c>
      <c r="C21" s="18">
        <v>44421</v>
      </c>
      <c r="D21" s="19" t="s">
        <v>18</v>
      </c>
      <c r="E21" s="19" t="s">
        <v>260</v>
      </c>
      <c r="F21" s="35">
        <v>110</v>
      </c>
      <c r="G21" s="35">
        <v>187</v>
      </c>
      <c r="H21" s="35">
        <f>187-110</f>
        <v>77</v>
      </c>
      <c r="I21" s="20">
        <v>100</v>
      </c>
      <c r="J21" s="21">
        <f t="shared" si="0"/>
        <v>7700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44424</v>
      </c>
      <c r="D22" s="19" t="s">
        <v>18</v>
      </c>
      <c r="E22" s="19" t="s">
        <v>252</v>
      </c>
      <c r="F22" s="35">
        <v>130</v>
      </c>
      <c r="G22" s="35">
        <v>147</v>
      </c>
      <c r="H22" s="35">
        <v>17</v>
      </c>
      <c r="I22" s="20">
        <v>100</v>
      </c>
      <c r="J22" s="21">
        <f t="shared" si="0"/>
        <v>1700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44424</v>
      </c>
      <c r="D23" s="19" t="s">
        <v>18</v>
      </c>
      <c r="E23" s="19" t="s">
        <v>260</v>
      </c>
      <c r="F23" s="35">
        <v>130</v>
      </c>
      <c r="G23" s="35">
        <v>80</v>
      </c>
      <c r="H23" s="35">
        <v>-50</v>
      </c>
      <c r="I23" s="20">
        <v>100</v>
      </c>
      <c r="J23" s="21">
        <f t="shared" si="0"/>
        <v>-5000</v>
      </c>
      <c r="K23" s="7"/>
      <c r="V23" s="5">
        <f t="shared" si="2"/>
        <v>0</v>
      </c>
      <c r="W23" s="5">
        <f t="shared" si="3"/>
        <v>1</v>
      </c>
    </row>
    <row r="24" spans="1:23" x14ac:dyDescent="0.3">
      <c r="A24" s="6"/>
      <c r="B24" s="88">
        <v>19</v>
      </c>
      <c r="C24" s="18">
        <v>44425</v>
      </c>
      <c r="D24" s="19" t="s">
        <v>18</v>
      </c>
      <c r="E24" s="19" t="s">
        <v>384</v>
      </c>
      <c r="F24" s="35">
        <v>140</v>
      </c>
      <c r="G24" s="35">
        <v>240</v>
      </c>
      <c r="H24" s="35">
        <v>100</v>
      </c>
      <c r="I24" s="20">
        <v>100</v>
      </c>
      <c r="J24" s="21">
        <f t="shared" si="0"/>
        <v>10000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44428</v>
      </c>
      <c r="D25" s="19" t="s">
        <v>18</v>
      </c>
      <c r="E25" s="19" t="s">
        <v>307</v>
      </c>
      <c r="F25" s="35">
        <v>140</v>
      </c>
      <c r="G25" s="35">
        <v>170</v>
      </c>
      <c r="H25" s="35">
        <v>30</v>
      </c>
      <c r="I25" s="20">
        <v>100</v>
      </c>
      <c r="J25" s="21">
        <f t="shared" si="0"/>
        <v>3000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44428</v>
      </c>
      <c r="D26" s="19" t="s">
        <v>18</v>
      </c>
      <c r="E26" s="19" t="s">
        <v>307</v>
      </c>
      <c r="F26" s="35">
        <v>110</v>
      </c>
      <c r="G26" s="35">
        <v>160</v>
      </c>
      <c r="H26" s="35">
        <v>50</v>
      </c>
      <c r="I26" s="20">
        <v>100</v>
      </c>
      <c r="J26" s="21">
        <f t="shared" si="0"/>
        <v>5000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44431</v>
      </c>
      <c r="D27" s="19" t="s">
        <v>18</v>
      </c>
      <c r="E27" s="19" t="s">
        <v>383</v>
      </c>
      <c r="F27" s="35">
        <v>130</v>
      </c>
      <c r="G27" s="35">
        <v>230</v>
      </c>
      <c r="H27" s="19">
        <v>100</v>
      </c>
      <c r="I27" s="20">
        <v>100</v>
      </c>
      <c r="J27" s="21">
        <f t="shared" si="0"/>
        <v>10000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44431</v>
      </c>
      <c r="D28" s="19" t="s">
        <v>18</v>
      </c>
      <c r="E28" s="19" t="s">
        <v>307</v>
      </c>
      <c r="F28" s="35">
        <v>130</v>
      </c>
      <c r="G28" s="35">
        <v>230</v>
      </c>
      <c r="H28" s="19">
        <v>100</v>
      </c>
      <c r="I28" s="20">
        <v>100</v>
      </c>
      <c r="J28" s="21">
        <f t="shared" si="0"/>
        <v>10000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44432</v>
      </c>
      <c r="D29" s="19" t="s">
        <v>18</v>
      </c>
      <c r="E29" s="19" t="s">
        <v>387</v>
      </c>
      <c r="F29" s="20">
        <v>120</v>
      </c>
      <c r="G29" s="20">
        <v>70</v>
      </c>
      <c r="H29" s="19">
        <v>-50</v>
      </c>
      <c r="I29" s="20">
        <v>100</v>
      </c>
      <c r="J29" s="21">
        <f t="shared" si="0"/>
        <v>-5000</v>
      </c>
      <c r="K29" s="7"/>
      <c r="V29" s="5">
        <f t="shared" si="2"/>
        <v>0</v>
      </c>
      <c r="W29" s="5">
        <f t="shared" si="3"/>
        <v>1</v>
      </c>
    </row>
    <row r="30" spans="1:23" x14ac:dyDescent="0.3">
      <c r="A30" s="6"/>
      <c r="B30" s="88">
        <v>25</v>
      </c>
      <c r="C30" s="24">
        <v>44432</v>
      </c>
      <c r="D30" s="25" t="s">
        <v>18</v>
      </c>
      <c r="E30" s="25" t="s">
        <v>274</v>
      </c>
      <c r="F30" s="26">
        <v>150</v>
      </c>
      <c r="G30" s="61">
        <v>250</v>
      </c>
      <c r="H30" s="61">
        <v>100</v>
      </c>
      <c r="I30" s="26">
        <v>100</v>
      </c>
      <c r="J30" s="21">
        <f t="shared" si="0"/>
        <v>10000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44433</v>
      </c>
      <c r="D31" s="25" t="s">
        <v>18</v>
      </c>
      <c r="E31" s="25" t="s">
        <v>278</v>
      </c>
      <c r="F31" s="26">
        <v>110</v>
      </c>
      <c r="G31" s="61">
        <v>160</v>
      </c>
      <c r="H31" s="61">
        <v>50</v>
      </c>
      <c r="I31" s="26">
        <v>100</v>
      </c>
      <c r="J31" s="21">
        <f t="shared" si="0"/>
        <v>5000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44433</v>
      </c>
      <c r="D32" s="25" t="s">
        <v>18</v>
      </c>
      <c r="E32" s="25" t="s">
        <v>274</v>
      </c>
      <c r="F32" s="26">
        <v>130</v>
      </c>
      <c r="G32" s="61">
        <v>160</v>
      </c>
      <c r="H32" s="61">
        <v>30</v>
      </c>
      <c r="I32" s="26">
        <v>100</v>
      </c>
      <c r="J32" s="21">
        <f t="shared" si="0"/>
        <v>3000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44434</v>
      </c>
      <c r="D33" s="25" t="s">
        <v>18</v>
      </c>
      <c r="E33" s="25" t="s">
        <v>370</v>
      </c>
      <c r="F33" s="26">
        <v>110</v>
      </c>
      <c r="G33" s="61">
        <v>145</v>
      </c>
      <c r="H33" s="61">
        <f>145-110</f>
        <v>35</v>
      </c>
      <c r="I33" s="26">
        <v>100</v>
      </c>
      <c r="J33" s="21">
        <f t="shared" si="0"/>
        <v>3500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44434</v>
      </c>
      <c r="D34" s="25" t="s">
        <v>18</v>
      </c>
      <c r="E34" s="25" t="s">
        <v>370</v>
      </c>
      <c r="F34" s="26">
        <v>130</v>
      </c>
      <c r="G34" s="61">
        <v>180</v>
      </c>
      <c r="H34" s="61">
        <v>50</v>
      </c>
      <c r="I34" s="26">
        <v>100</v>
      </c>
      <c r="J34" s="21">
        <f t="shared" si="0"/>
        <v>5000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44435</v>
      </c>
      <c r="D35" s="25" t="s">
        <v>18</v>
      </c>
      <c r="E35" s="25" t="s">
        <v>388</v>
      </c>
      <c r="F35" s="26">
        <v>140</v>
      </c>
      <c r="G35" s="61">
        <v>190</v>
      </c>
      <c r="H35" s="61">
        <v>50</v>
      </c>
      <c r="I35" s="26">
        <v>100</v>
      </c>
      <c r="J35" s="21">
        <f t="shared" si="0"/>
        <v>5000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44435</v>
      </c>
      <c r="D36" s="25" t="s">
        <v>18</v>
      </c>
      <c r="E36" s="25" t="s">
        <v>273</v>
      </c>
      <c r="F36" s="26">
        <v>140</v>
      </c>
      <c r="G36" s="61">
        <v>160</v>
      </c>
      <c r="H36" s="61">
        <v>20</v>
      </c>
      <c r="I36" s="26">
        <v>100</v>
      </c>
      <c r="J36" s="21">
        <f t="shared" si="0"/>
        <v>2000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44438</v>
      </c>
      <c r="D37" s="25" t="s">
        <v>18</v>
      </c>
      <c r="E37" s="25" t="s">
        <v>298</v>
      </c>
      <c r="F37" s="26">
        <v>140</v>
      </c>
      <c r="G37" s="61">
        <v>240</v>
      </c>
      <c r="H37" s="61">
        <v>100</v>
      </c>
      <c r="I37" s="26">
        <v>100</v>
      </c>
      <c r="J37" s="21">
        <f t="shared" si="0"/>
        <v>10000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44438</v>
      </c>
      <c r="D38" s="25" t="s">
        <v>18</v>
      </c>
      <c r="E38" s="25" t="s">
        <v>260</v>
      </c>
      <c r="F38" s="26">
        <v>130</v>
      </c>
      <c r="G38" s="61">
        <v>230</v>
      </c>
      <c r="H38" s="61">
        <v>100</v>
      </c>
      <c r="I38" s="26">
        <v>100</v>
      </c>
      <c r="J38" s="21">
        <f t="shared" si="0"/>
        <v>10000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44439</v>
      </c>
      <c r="D39" s="25" t="s">
        <v>18</v>
      </c>
      <c r="E39" s="25" t="s">
        <v>242</v>
      </c>
      <c r="F39" s="26">
        <v>130</v>
      </c>
      <c r="G39" s="61">
        <v>180</v>
      </c>
      <c r="H39" s="61">
        <v>50</v>
      </c>
      <c r="I39" s="26">
        <v>100</v>
      </c>
      <c r="J39" s="21">
        <f t="shared" si="0"/>
        <v>5000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44439</v>
      </c>
      <c r="D40" s="25" t="s">
        <v>18</v>
      </c>
      <c r="E40" s="25" t="s">
        <v>275</v>
      </c>
      <c r="F40" s="26">
        <v>130</v>
      </c>
      <c r="G40" s="61">
        <v>230</v>
      </c>
      <c r="H40" s="61">
        <v>100</v>
      </c>
      <c r="I40" s="26">
        <v>100</v>
      </c>
      <c r="J40" s="21">
        <f t="shared" si="0"/>
        <v>10000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24"/>
      <c r="D41" s="25"/>
      <c r="E41" s="25"/>
      <c r="F41" s="26"/>
      <c r="G41" s="61"/>
      <c r="H41" s="61"/>
      <c r="I41" s="26"/>
      <c r="J41" s="21">
        <f t="shared" si="0"/>
        <v>0</v>
      </c>
      <c r="K41" s="7"/>
      <c r="V41" s="5">
        <f t="shared" si="2"/>
        <v>0</v>
      </c>
      <c r="W41" s="5">
        <f t="shared" si="3"/>
        <v>0</v>
      </c>
    </row>
    <row r="42" spans="1:23" x14ac:dyDescent="0.3">
      <c r="A42" s="6"/>
      <c r="B42" s="17">
        <v>37</v>
      </c>
      <c r="C42" s="24"/>
      <c r="D42" s="25"/>
      <c r="E42" s="25"/>
      <c r="F42" s="26"/>
      <c r="G42" s="61"/>
      <c r="H42" s="61"/>
      <c r="I42" s="26"/>
      <c r="J42" s="21">
        <f t="shared" si="0"/>
        <v>0</v>
      </c>
      <c r="K42" s="7"/>
      <c r="V42" s="5">
        <f t="shared" si="2"/>
        <v>0</v>
      </c>
      <c r="W42" s="5">
        <f t="shared" si="3"/>
        <v>0</v>
      </c>
    </row>
    <row r="43" spans="1:23" x14ac:dyDescent="0.3">
      <c r="A43" s="6"/>
      <c r="B43" s="17">
        <v>38</v>
      </c>
      <c r="C43" s="24"/>
      <c r="D43" s="25"/>
      <c r="E43" s="25"/>
      <c r="F43" s="26"/>
      <c r="G43" s="61"/>
      <c r="H43" s="61"/>
      <c r="I43" s="26"/>
      <c r="J43" s="21">
        <f t="shared" si="0"/>
        <v>0</v>
      </c>
      <c r="K43" s="7"/>
      <c r="V43" s="5">
        <f t="shared" si="2"/>
        <v>0</v>
      </c>
      <c r="W43" s="5">
        <f t="shared" si="3"/>
        <v>0</v>
      </c>
    </row>
    <row r="44" spans="1:23" x14ac:dyDescent="0.3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ht="15" thickBot="1" x14ac:dyDescent="0.35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ht="15" hidden="1" thickBot="1" x14ac:dyDescent="0.35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ht="15" hidden="1" thickBot="1" x14ac:dyDescent="0.35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ht="15" hidden="1" thickBot="1" x14ac:dyDescent="0.35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ht="15" hidden="1" thickBot="1" x14ac:dyDescent="0.35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t="15" hidden="1" thickBot="1" x14ac:dyDescent="0.35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t="15" hidden="1" thickBot="1" x14ac:dyDescent="0.35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t="15" hidden="1" thickBot="1" x14ac:dyDescent="0.35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t="15" hidden="1" thickBot="1" x14ac:dyDescent="0.35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t="15" hidden="1" thickBot="1" x14ac:dyDescent="0.35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t="15" hidden="1" thickBot="1" x14ac:dyDescent="0.35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t="15" hidden="1" thickBot="1" x14ac:dyDescent="0.35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hidden="1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174200</v>
      </c>
      <c r="K59" s="7"/>
      <c r="V59" s="5">
        <f>SUM(V6:V58)</f>
        <v>30</v>
      </c>
      <c r="W59" s="5">
        <f>SUM(W6:W58)</f>
        <v>5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421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44410</v>
      </c>
      <c r="D67" s="67" t="s">
        <v>18</v>
      </c>
      <c r="E67" s="67" t="s">
        <v>71</v>
      </c>
      <c r="F67" s="68">
        <v>2060</v>
      </c>
      <c r="G67" s="68">
        <v>2084</v>
      </c>
      <c r="H67" s="97">
        <f>2084-2060</f>
        <v>24</v>
      </c>
      <c r="I67" s="68">
        <v>250</v>
      </c>
      <c r="J67" s="92">
        <f>H67*I67</f>
        <v>6000</v>
      </c>
      <c r="K67" s="7"/>
      <c r="V67" s="5">
        <f t="shared" ref="V67:V124" si="5">IF($J67&gt;0,1,0)</f>
        <v>1</v>
      </c>
      <c r="W67" s="5">
        <f t="shared" ref="W67:W124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44410</v>
      </c>
      <c r="D68" s="67" t="s">
        <v>18</v>
      </c>
      <c r="E68" s="67" t="s">
        <v>70</v>
      </c>
      <c r="F68" s="68">
        <v>725</v>
      </c>
      <c r="G68" s="97">
        <v>726.5</v>
      </c>
      <c r="H68" s="97">
        <v>1.5</v>
      </c>
      <c r="I68" s="20">
        <v>1200</v>
      </c>
      <c r="J68" s="21">
        <f>H68*I68</f>
        <v>1800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4" si="7">B68+1</f>
        <v>3</v>
      </c>
      <c r="C69" s="18">
        <v>44411</v>
      </c>
      <c r="D69" s="19" t="s">
        <v>18</v>
      </c>
      <c r="E69" s="19" t="s">
        <v>70</v>
      </c>
      <c r="F69" s="35">
        <v>727</v>
      </c>
      <c r="G69" s="97">
        <v>737</v>
      </c>
      <c r="H69" s="35">
        <v>10</v>
      </c>
      <c r="I69" s="20">
        <v>1200</v>
      </c>
      <c r="J69" s="21">
        <f>H69*I69</f>
        <v>12000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44411</v>
      </c>
      <c r="D70" s="19" t="s">
        <v>18</v>
      </c>
      <c r="E70" s="19" t="s">
        <v>104</v>
      </c>
      <c r="F70" s="35">
        <v>3280</v>
      </c>
      <c r="G70" s="97">
        <v>3295</v>
      </c>
      <c r="H70" s="35">
        <v>15</v>
      </c>
      <c r="I70" s="20">
        <v>300</v>
      </c>
      <c r="J70" s="21">
        <f>H70*I70</f>
        <v>4500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44412</v>
      </c>
      <c r="D71" s="19" t="s">
        <v>18</v>
      </c>
      <c r="E71" s="19" t="s">
        <v>376</v>
      </c>
      <c r="F71" s="35">
        <v>1710</v>
      </c>
      <c r="G71" s="97">
        <v>1740</v>
      </c>
      <c r="H71" s="35">
        <v>30</v>
      </c>
      <c r="I71" s="20">
        <v>400</v>
      </c>
      <c r="J71" s="21">
        <f>H71*I71</f>
        <v>12000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44412</v>
      </c>
      <c r="D72" s="19" t="s">
        <v>18</v>
      </c>
      <c r="E72" s="19" t="s">
        <v>70</v>
      </c>
      <c r="F72" s="20">
        <v>746</v>
      </c>
      <c r="G72" s="97">
        <v>755</v>
      </c>
      <c r="H72" s="35">
        <f>755-746</f>
        <v>9</v>
      </c>
      <c r="I72" s="20">
        <v>1200</v>
      </c>
      <c r="J72" s="21">
        <f t="shared" ref="J72:J124" si="8">I72*H72</f>
        <v>10800</v>
      </c>
      <c r="K72" s="7"/>
      <c r="V72" s="5">
        <f t="shared" si="5"/>
        <v>1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>
        <v>44413</v>
      </c>
      <c r="D73" s="19" t="s">
        <v>69</v>
      </c>
      <c r="E73" s="19" t="s">
        <v>111</v>
      </c>
      <c r="F73" s="35">
        <v>452</v>
      </c>
      <c r="G73" s="97">
        <v>444</v>
      </c>
      <c r="H73" s="35">
        <f>452-444</f>
        <v>8</v>
      </c>
      <c r="I73" s="20">
        <v>3000</v>
      </c>
      <c r="J73" s="21">
        <f t="shared" si="8"/>
        <v>24000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44413</v>
      </c>
      <c r="D74" s="19" t="s">
        <v>69</v>
      </c>
      <c r="E74" s="19" t="s">
        <v>86</v>
      </c>
      <c r="F74" s="35">
        <v>6315</v>
      </c>
      <c r="G74" s="97">
        <v>6255</v>
      </c>
      <c r="H74" s="35">
        <f>6315-6255</f>
        <v>60</v>
      </c>
      <c r="I74" s="20">
        <v>125</v>
      </c>
      <c r="J74" s="21">
        <f t="shared" si="8"/>
        <v>7500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44414</v>
      </c>
      <c r="D75" s="19" t="s">
        <v>18</v>
      </c>
      <c r="E75" s="19" t="s">
        <v>376</v>
      </c>
      <c r="F75" s="35">
        <v>1775</v>
      </c>
      <c r="G75" s="97">
        <v>1780</v>
      </c>
      <c r="H75" s="35">
        <v>5</v>
      </c>
      <c r="I75" s="20">
        <v>400</v>
      </c>
      <c r="J75" s="21">
        <f t="shared" si="8"/>
        <v>2000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44414</v>
      </c>
      <c r="D76" s="19" t="s">
        <v>18</v>
      </c>
      <c r="E76" s="19" t="s">
        <v>430</v>
      </c>
      <c r="F76" s="35">
        <v>269.5</v>
      </c>
      <c r="G76" s="97">
        <v>266.5</v>
      </c>
      <c r="H76" s="35">
        <v>-3</v>
      </c>
      <c r="I76" s="20">
        <v>2700</v>
      </c>
      <c r="J76" s="21">
        <f t="shared" si="8"/>
        <v>-8100</v>
      </c>
      <c r="K76" s="7"/>
      <c r="V76" s="5">
        <f t="shared" si="5"/>
        <v>0</v>
      </c>
      <c r="W76" s="5">
        <f t="shared" si="6"/>
        <v>1</v>
      </c>
    </row>
    <row r="77" spans="1:23" s="36" customFormat="1" x14ac:dyDescent="0.3">
      <c r="A77" s="6"/>
      <c r="B77" s="17">
        <f t="shared" si="7"/>
        <v>11</v>
      </c>
      <c r="C77" s="18">
        <v>44417</v>
      </c>
      <c r="D77" s="19" t="s">
        <v>18</v>
      </c>
      <c r="E77" s="19" t="s">
        <v>70</v>
      </c>
      <c r="F77" s="19">
        <v>754</v>
      </c>
      <c r="G77" s="97">
        <v>758</v>
      </c>
      <c r="H77" s="35">
        <v>4</v>
      </c>
      <c r="I77" s="20">
        <v>1200</v>
      </c>
      <c r="J77" s="21">
        <f t="shared" si="8"/>
        <v>4800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>
        <v>44417</v>
      </c>
      <c r="D78" s="19" t="s">
        <v>69</v>
      </c>
      <c r="E78" s="19" t="s">
        <v>317</v>
      </c>
      <c r="F78" s="35">
        <v>822</v>
      </c>
      <c r="G78" s="97">
        <v>808</v>
      </c>
      <c r="H78" s="35">
        <f>822-808</f>
        <v>14</v>
      </c>
      <c r="I78" s="20">
        <v>1100</v>
      </c>
      <c r="J78" s="21">
        <f t="shared" si="8"/>
        <v>15400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44418</v>
      </c>
      <c r="D79" s="19" t="s">
        <v>69</v>
      </c>
      <c r="E79" s="19" t="s">
        <v>80</v>
      </c>
      <c r="F79" s="35">
        <v>1595</v>
      </c>
      <c r="G79" s="97">
        <v>1591</v>
      </c>
      <c r="H79" s="35">
        <v>4</v>
      </c>
      <c r="I79" s="20">
        <v>550</v>
      </c>
      <c r="J79" s="21">
        <f t="shared" si="8"/>
        <v>2200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44418</v>
      </c>
      <c r="D80" s="19" t="s">
        <v>18</v>
      </c>
      <c r="E80" s="19" t="s">
        <v>119</v>
      </c>
      <c r="F80" s="77">
        <v>1413</v>
      </c>
      <c r="G80" s="97">
        <v>1420</v>
      </c>
      <c r="H80" s="78">
        <f>1420-1413</f>
        <v>7</v>
      </c>
      <c r="I80" s="20">
        <v>850</v>
      </c>
      <c r="J80" s="21">
        <f t="shared" si="8"/>
        <v>5950</v>
      </c>
      <c r="K80" s="7"/>
      <c r="V80" s="5">
        <f t="shared" si="5"/>
        <v>1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>
        <v>44419</v>
      </c>
      <c r="D81" s="19" t="s">
        <v>18</v>
      </c>
      <c r="E81" s="19" t="s">
        <v>166</v>
      </c>
      <c r="F81" s="35">
        <v>1076</v>
      </c>
      <c r="G81" s="97">
        <v>1066</v>
      </c>
      <c r="H81" s="78">
        <v>-10</v>
      </c>
      <c r="I81" s="20">
        <v>700</v>
      </c>
      <c r="J81" s="21">
        <f t="shared" si="8"/>
        <v>-7000</v>
      </c>
      <c r="K81" s="7"/>
      <c r="V81" s="5">
        <f t="shared" si="5"/>
        <v>0</v>
      </c>
      <c r="W81" s="5">
        <f t="shared" si="6"/>
        <v>1</v>
      </c>
    </row>
    <row r="82" spans="1:23" s="36" customFormat="1" x14ac:dyDescent="0.3">
      <c r="A82" s="6"/>
      <c r="B82" s="17">
        <f t="shared" si="7"/>
        <v>16</v>
      </c>
      <c r="C82" s="18">
        <v>44419</v>
      </c>
      <c r="D82" s="19" t="s">
        <v>69</v>
      </c>
      <c r="E82" s="19" t="s">
        <v>376</v>
      </c>
      <c r="F82" s="35">
        <v>1779</v>
      </c>
      <c r="G82" s="97">
        <v>1769</v>
      </c>
      <c r="H82" s="78">
        <v>10</v>
      </c>
      <c r="I82" s="20">
        <v>400</v>
      </c>
      <c r="J82" s="21">
        <f t="shared" si="8"/>
        <v>4000</v>
      </c>
      <c r="K82" s="7"/>
      <c r="V82" s="5">
        <f t="shared" si="5"/>
        <v>1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>
        <v>44420</v>
      </c>
      <c r="D83" s="19" t="s">
        <v>69</v>
      </c>
      <c r="E83" s="19" t="s">
        <v>71</v>
      </c>
      <c r="F83" s="35">
        <v>2112</v>
      </c>
      <c r="G83" s="97">
        <v>2100</v>
      </c>
      <c r="H83" s="35">
        <v>12</v>
      </c>
      <c r="I83" s="20">
        <v>250</v>
      </c>
      <c r="J83" s="21">
        <f t="shared" si="8"/>
        <v>3000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>
        <v>44420</v>
      </c>
      <c r="D84" s="19" t="s">
        <v>69</v>
      </c>
      <c r="E84" s="19" t="s">
        <v>444</v>
      </c>
      <c r="F84" s="35">
        <v>2665</v>
      </c>
      <c r="G84" s="97">
        <v>2615</v>
      </c>
      <c r="H84" s="35">
        <f>2665-2615</f>
        <v>50</v>
      </c>
      <c r="I84" s="20">
        <v>350</v>
      </c>
      <c r="J84" s="21">
        <f t="shared" si="8"/>
        <v>17500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>
        <v>44421</v>
      </c>
      <c r="D85" s="19" t="s">
        <v>18</v>
      </c>
      <c r="E85" s="19" t="s">
        <v>445</v>
      </c>
      <c r="F85" s="35">
        <v>1320</v>
      </c>
      <c r="G85" s="97">
        <v>1335</v>
      </c>
      <c r="H85" s="35">
        <v>15</v>
      </c>
      <c r="I85" s="20">
        <v>500</v>
      </c>
      <c r="J85" s="21">
        <f t="shared" si="8"/>
        <v>7500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>
        <v>44421</v>
      </c>
      <c r="D86" s="19" t="s">
        <v>18</v>
      </c>
      <c r="E86" s="19" t="s">
        <v>446</v>
      </c>
      <c r="F86" s="35">
        <v>2940</v>
      </c>
      <c r="G86" s="97">
        <v>2970</v>
      </c>
      <c r="H86" s="35">
        <v>30</v>
      </c>
      <c r="I86" s="20">
        <v>250</v>
      </c>
      <c r="J86" s="21">
        <f t="shared" si="8"/>
        <v>7500</v>
      </c>
      <c r="K86" s="7"/>
      <c r="V86" s="5">
        <f t="shared" si="5"/>
        <v>1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>
        <v>44424</v>
      </c>
      <c r="D87" s="19" t="s">
        <v>18</v>
      </c>
      <c r="E87" s="19" t="s">
        <v>445</v>
      </c>
      <c r="F87" s="35">
        <v>1320</v>
      </c>
      <c r="G87" s="97">
        <v>1335</v>
      </c>
      <c r="H87" s="35">
        <v>15</v>
      </c>
      <c r="I87" s="20">
        <v>500</v>
      </c>
      <c r="J87" s="21">
        <f t="shared" si="8"/>
        <v>7500</v>
      </c>
      <c r="K87" s="7"/>
      <c r="V87" s="5">
        <f t="shared" si="5"/>
        <v>1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>
        <v>44424</v>
      </c>
      <c r="D88" s="19" t="s">
        <v>18</v>
      </c>
      <c r="E88" s="19" t="s">
        <v>181</v>
      </c>
      <c r="F88" s="35">
        <v>1680</v>
      </c>
      <c r="G88" s="97">
        <v>1695</v>
      </c>
      <c r="H88" s="35">
        <v>15</v>
      </c>
      <c r="I88" s="20">
        <v>500</v>
      </c>
      <c r="J88" s="21">
        <f t="shared" si="8"/>
        <v>7500</v>
      </c>
      <c r="K88" s="7"/>
      <c r="V88" s="5">
        <f t="shared" si="5"/>
        <v>1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>
        <v>44425</v>
      </c>
      <c r="D89" s="19" t="s">
        <v>18</v>
      </c>
      <c r="E89" s="19" t="s">
        <v>445</v>
      </c>
      <c r="F89" s="35">
        <v>1330</v>
      </c>
      <c r="G89" s="97">
        <v>1340</v>
      </c>
      <c r="H89" s="35">
        <v>10</v>
      </c>
      <c r="I89" s="20">
        <v>500</v>
      </c>
      <c r="J89" s="21">
        <f t="shared" si="8"/>
        <v>5000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>
        <v>44425</v>
      </c>
      <c r="D90" s="19" t="s">
        <v>69</v>
      </c>
      <c r="E90" s="19" t="s">
        <v>70</v>
      </c>
      <c r="F90" s="35">
        <v>758</v>
      </c>
      <c r="G90" s="97">
        <v>752</v>
      </c>
      <c r="H90" s="35">
        <v>6</v>
      </c>
      <c r="I90" s="20">
        <v>1200</v>
      </c>
      <c r="J90" s="21">
        <f t="shared" si="8"/>
        <v>7200</v>
      </c>
      <c r="K90" s="7"/>
      <c r="V90" s="5">
        <f t="shared" si="5"/>
        <v>1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>
        <v>44428</v>
      </c>
      <c r="D91" s="19" t="s">
        <v>69</v>
      </c>
      <c r="E91" s="19" t="s">
        <v>70</v>
      </c>
      <c r="F91" s="35">
        <v>745</v>
      </c>
      <c r="G91" s="97">
        <v>738.6</v>
      </c>
      <c r="H91" s="35">
        <f>745-738.6</f>
        <v>6.3999999999999773</v>
      </c>
      <c r="I91" s="20">
        <v>1200</v>
      </c>
      <c r="J91" s="21">
        <f t="shared" si="8"/>
        <v>7679.9999999999727</v>
      </c>
      <c r="K91" s="7"/>
      <c r="V91" s="5">
        <f t="shared" si="5"/>
        <v>1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>
        <v>44428</v>
      </c>
      <c r="D92" s="19" t="s">
        <v>69</v>
      </c>
      <c r="E92" s="19" t="s">
        <v>181</v>
      </c>
      <c r="F92" s="35">
        <v>1685</v>
      </c>
      <c r="G92" s="97">
        <v>1655</v>
      </c>
      <c r="H92" s="35">
        <v>30</v>
      </c>
      <c r="I92" s="20">
        <v>500</v>
      </c>
      <c r="J92" s="21">
        <f t="shared" si="8"/>
        <v>15000</v>
      </c>
      <c r="K92" s="7"/>
      <c r="V92" s="5">
        <f t="shared" si="5"/>
        <v>1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>
        <v>44431</v>
      </c>
      <c r="D93" s="19" t="s">
        <v>69</v>
      </c>
      <c r="E93" s="19" t="s">
        <v>70</v>
      </c>
      <c r="F93" s="35">
        <v>742</v>
      </c>
      <c r="G93" s="97">
        <v>736</v>
      </c>
      <c r="H93" s="35">
        <v>6</v>
      </c>
      <c r="I93" s="20">
        <v>1200</v>
      </c>
      <c r="J93" s="21">
        <f t="shared" si="8"/>
        <v>7200</v>
      </c>
      <c r="K93" s="7"/>
      <c r="V93" s="5">
        <f t="shared" si="5"/>
        <v>1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>
        <v>44431</v>
      </c>
      <c r="D94" s="19" t="s">
        <v>69</v>
      </c>
      <c r="E94" s="19" t="s">
        <v>71</v>
      </c>
      <c r="F94" s="35">
        <v>2152</v>
      </c>
      <c r="G94" s="97">
        <v>2132</v>
      </c>
      <c r="H94" s="35">
        <v>20</v>
      </c>
      <c r="I94" s="20">
        <v>250</v>
      </c>
      <c r="J94" s="21">
        <f t="shared" si="8"/>
        <v>5000</v>
      </c>
      <c r="K94" s="7"/>
      <c r="V94" s="5">
        <f t="shared" si="5"/>
        <v>1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>
        <v>44432</v>
      </c>
      <c r="D95" s="19" t="s">
        <v>69</v>
      </c>
      <c r="E95" s="19" t="s">
        <v>71</v>
      </c>
      <c r="F95" s="35">
        <v>2165</v>
      </c>
      <c r="G95" s="97">
        <v>2180</v>
      </c>
      <c r="H95" s="35">
        <v>-15</v>
      </c>
      <c r="I95" s="20">
        <v>250</v>
      </c>
      <c r="J95" s="21">
        <f t="shared" si="8"/>
        <v>-3750</v>
      </c>
      <c r="K95" s="7"/>
      <c r="V95" s="5">
        <f t="shared" si="5"/>
        <v>0</v>
      </c>
      <c r="W95" s="5">
        <f t="shared" si="6"/>
        <v>1</v>
      </c>
    </row>
    <row r="96" spans="1:23" s="36" customFormat="1" x14ac:dyDescent="0.3">
      <c r="A96" s="6"/>
      <c r="B96" s="17">
        <f t="shared" si="7"/>
        <v>30</v>
      </c>
      <c r="C96" s="18">
        <v>44432</v>
      </c>
      <c r="D96" s="19" t="s">
        <v>18</v>
      </c>
      <c r="E96" s="19" t="s">
        <v>70</v>
      </c>
      <c r="F96" s="35">
        <v>742</v>
      </c>
      <c r="G96" s="97">
        <v>750</v>
      </c>
      <c r="H96" s="35">
        <v>8</v>
      </c>
      <c r="I96" s="20">
        <v>1200</v>
      </c>
      <c r="J96" s="21">
        <f t="shared" si="8"/>
        <v>9600</v>
      </c>
      <c r="K96" s="7"/>
      <c r="V96" s="5">
        <f t="shared" si="5"/>
        <v>1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>
        <v>44433</v>
      </c>
      <c r="D97" s="19" t="s">
        <v>18</v>
      </c>
      <c r="E97" s="19" t="s">
        <v>181</v>
      </c>
      <c r="F97" s="35">
        <v>1725</v>
      </c>
      <c r="G97" s="97">
        <v>1740</v>
      </c>
      <c r="H97" s="35">
        <f>1740-1725</f>
        <v>15</v>
      </c>
      <c r="I97" s="20">
        <v>500</v>
      </c>
      <c r="J97" s="21">
        <f t="shared" si="8"/>
        <v>7500</v>
      </c>
      <c r="K97" s="7"/>
      <c r="V97" s="5">
        <f t="shared" si="5"/>
        <v>1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>
        <v>44433</v>
      </c>
      <c r="D98" s="19" t="s">
        <v>18</v>
      </c>
      <c r="E98" s="19" t="s">
        <v>301</v>
      </c>
      <c r="F98" s="35">
        <v>686</v>
      </c>
      <c r="G98" s="97">
        <v>692</v>
      </c>
      <c r="H98" s="35">
        <f>692-686</f>
        <v>6</v>
      </c>
      <c r="I98" s="20">
        <v>1100</v>
      </c>
      <c r="J98" s="21">
        <f t="shared" si="8"/>
        <v>6600</v>
      </c>
      <c r="K98" s="7"/>
      <c r="V98" s="5">
        <f t="shared" si="5"/>
        <v>1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>
        <v>44434</v>
      </c>
      <c r="D99" s="19" t="s">
        <v>18</v>
      </c>
      <c r="E99" s="19" t="s">
        <v>124</v>
      </c>
      <c r="F99" s="35">
        <v>606</v>
      </c>
      <c r="G99" s="97">
        <v>602</v>
      </c>
      <c r="H99" s="35">
        <v>-4</v>
      </c>
      <c r="I99" s="20">
        <v>1250</v>
      </c>
      <c r="J99" s="21">
        <f t="shared" si="8"/>
        <v>-5000</v>
      </c>
      <c r="K99" s="7"/>
      <c r="V99" s="5">
        <f t="shared" si="5"/>
        <v>0</v>
      </c>
      <c r="W99" s="5">
        <f t="shared" si="6"/>
        <v>1</v>
      </c>
    </row>
    <row r="100" spans="1:23" s="36" customFormat="1" x14ac:dyDescent="0.3">
      <c r="A100" s="6"/>
      <c r="B100" s="17">
        <f t="shared" si="7"/>
        <v>34</v>
      </c>
      <c r="C100" s="18">
        <v>44434</v>
      </c>
      <c r="D100" s="19" t="s">
        <v>18</v>
      </c>
      <c r="E100" s="19" t="s">
        <v>70</v>
      </c>
      <c r="F100" s="35">
        <v>744</v>
      </c>
      <c r="G100" s="97">
        <v>746</v>
      </c>
      <c r="H100" s="35">
        <v>2</v>
      </c>
      <c r="I100" s="20">
        <v>1200</v>
      </c>
      <c r="J100" s="21">
        <f t="shared" si="8"/>
        <v>2400</v>
      </c>
      <c r="K100" s="7"/>
      <c r="V100" s="5">
        <f t="shared" si="5"/>
        <v>1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>
        <v>44435</v>
      </c>
      <c r="D101" s="19" t="s">
        <v>18</v>
      </c>
      <c r="E101" s="19" t="s">
        <v>447</v>
      </c>
      <c r="F101" s="35">
        <v>924</v>
      </c>
      <c r="G101" s="97">
        <v>914</v>
      </c>
      <c r="H101" s="35">
        <v>-10</v>
      </c>
      <c r="I101" s="20">
        <v>650</v>
      </c>
      <c r="J101" s="21">
        <f t="shared" si="8"/>
        <v>-6500</v>
      </c>
      <c r="K101" s="7"/>
      <c r="V101" s="5">
        <f t="shared" si="5"/>
        <v>0</v>
      </c>
      <c r="W101" s="5">
        <f t="shared" si="6"/>
        <v>1</v>
      </c>
    </row>
    <row r="102" spans="1:23" s="36" customFormat="1" x14ac:dyDescent="0.3">
      <c r="A102" s="6"/>
      <c r="B102" s="17">
        <v>36</v>
      </c>
      <c r="C102" s="18">
        <v>44435</v>
      </c>
      <c r="D102" s="19" t="s">
        <v>18</v>
      </c>
      <c r="E102" s="19" t="s">
        <v>446</v>
      </c>
      <c r="F102" s="35">
        <v>3075</v>
      </c>
      <c r="G102" s="97">
        <v>3095</v>
      </c>
      <c r="H102" s="35">
        <v>20</v>
      </c>
      <c r="I102" s="20">
        <v>250</v>
      </c>
      <c r="J102" s="21">
        <f t="shared" si="8"/>
        <v>5000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>
        <v>44438</v>
      </c>
      <c r="D103" s="19" t="s">
        <v>18</v>
      </c>
      <c r="E103" s="19" t="s">
        <v>294</v>
      </c>
      <c r="F103" s="35">
        <v>1740</v>
      </c>
      <c r="G103" s="97">
        <v>1780</v>
      </c>
      <c r="H103" s="35">
        <v>40</v>
      </c>
      <c r="I103" s="20">
        <v>550</v>
      </c>
      <c r="J103" s="21">
        <f t="shared" si="8"/>
        <v>22000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>
        <v>44438</v>
      </c>
      <c r="D104" s="19" t="s">
        <v>18</v>
      </c>
      <c r="E104" s="19" t="s">
        <v>448</v>
      </c>
      <c r="F104" s="35">
        <v>2230</v>
      </c>
      <c r="G104" s="97">
        <v>2270</v>
      </c>
      <c r="H104" s="35">
        <v>40</v>
      </c>
      <c r="I104" s="20">
        <v>500</v>
      </c>
      <c r="J104" s="21">
        <f t="shared" si="8"/>
        <v>20000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>
        <v>44439</v>
      </c>
      <c r="D105" s="19" t="s">
        <v>18</v>
      </c>
      <c r="E105" s="19" t="s">
        <v>119</v>
      </c>
      <c r="F105" s="35">
        <v>1453</v>
      </c>
      <c r="G105" s="97">
        <v>1460</v>
      </c>
      <c r="H105" s="35">
        <v>7</v>
      </c>
      <c r="I105" s="20">
        <v>850</v>
      </c>
      <c r="J105" s="21">
        <f t="shared" si="8"/>
        <v>5950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>
        <v>44439</v>
      </c>
      <c r="D106" s="19" t="s">
        <v>18</v>
      </c>
      <c r="E106" s="19" t="s">
        <v>279</v>
      </c>
      <c r="F106" s="35">
        <v>856</v>
      </c>
      <c r="G106" s="97">
        <v>863</v>
      </c>
      <c r="H106" s="35">
        <f>863-856</f>
        <v>7</v>
      </c>
      <c r="I106" s="20">
        <v>1000</v>
      </c>
      <c r="J106" s="21">
        <f t="shared" si="8"/>
        <v>7000</v>
      </c>
      <c r="K106" s="7"/>
      <c r="V106" s="5">
        <f t="shared" si="5"/>
        <v>1</v>
      </c>
      <c r="W106" s="5">
        <f t="shared" si="6"/>
        <v>0</v>
      </c>
    </row>
    <row r="107" spans="1:23" s="36" customFormat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>
        <f t="shared" si="5"/>
        <v>0</v>
      </c>
      <c r="W107" s="5">
        <f t="shared" si="6"/>
        <v>0</v>
      </c>
    </row>
    <row r="108" spans="1:23" s="36" customFormat="1" ht="15" thickBot="1" x14ac:dyDescent="0.35">
      <c r="A108" s="6"/>
      <c r="B108" s="17">
        <f t="shared" si="7"/>
        <v>42</v>
      </c>
      <c r="C108" s="18"/>
      <c r="D108" s="19"/>
      <c r="E108" s="19"/>
      <c r="F108" s="35"/>
      <c r="G108" s="35"/>
      <c r="H108" s="35"/>
      <c r="I108" s="20"/>
      <c r="J108" s="21">
        <f t="shared" si="8"/>
        <v>0</v>
      </c>
      <c r="K108" s="7"/>
      <c r="V108" s="5">
        <f t="shared" si="5"/>
        <v>0</v>
      </c>
      <c r="W108" s="5">
        <f t="shared" si="6"/>
        <v>0</v>
      </c>
    </row>
    <row r="109" spans="1:23" s="36" customFormat="1" ht="15" hidden="1" thickBot="1" x14ac:dyDescent="0.35">
      <c r="A109" s="6"/>
      <c r="B109" s="17">
        <f t="shared" si="7"/>
        <v>43</v>
      </c>
      <c r="C109" s="18"/>
      <c r="D109" s="19"/>
      <c r="E109" s="19"/>
      <c r="F109" s="35"/>
      <c r="G109" s="35"/>
      <c r="H109" s="35"/>
      <c r="I109" s="20"/>
      <c r="J109" s="21">
        <f t="shared" si="8"/>
        <v>0</v>
      </c>
      <c r="K109" s="7"/>
      <c r="V109" s="5">
        <f t="shared" si="5"/>
        <v>0</v>
      </c>
      <c r="W109" s="5">
        <f t="shared" si="6"/>
        <v>0</v>
      </c>
    </row>
    <row r="110" spans="1:23" s="36" customFormat="1" ht="15" hidden="1" thickBot="1" x14ac:dyDescent="0.35">
      <c r="A110" s="6"/>
      <c r="B110" s="17">
        <f t="shared" si="7"/>
        <v>44</v>
      </c>
      <c r="C110" s="18"/>
      <c r="D110" s="19"/>
      <c r="E110" s="19"/>
      <c r="F110" s="35"/>
      <c r="G110" s="35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t="15" hidden="1" thickBot="1" x14ac:dyDescent="0.35">
      <c r="A111" s="6"/>
      <c r="B111" s="17">
        <f t="shared" si="7"/>
        <v>45</v>
      </c>
      <c r="C111" s="18"/>
      <c r="D111" s="19"/>
      <c r="E111" s="19"/>
      <c r="F111" s="35"/>
      <c r="G111" s="35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t="15" hidden="1" thickBot="1" x14ac:dyDescent="0.35">
      <c r="A112" s="6"/>
      <c r="B112" s="17">
        <f t="shared" si="7"/>
        <v>46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t="15" hidden="1" thickBot="1" x14ac:dyDescent="0.35">
      <c r="A113" s="6"/>
      <c r="B113" s="17">
        <f t="shared" si="7"/>
        <v>47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t="15" hidden="1" thickBot="1" x14ac:dyDescent="0.35">
      <c r="A114" s="6"/>
      <c r="B114" s="17">
        <f t="shared" si="7"/>
        <v>48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t="15" hidden="1" thickBot="1" x14ac:dyDescent="0.35">
      <c r="A115" s="6"/>
      <c r="B115" s="17">
        <f t="shared" si="7"/>
        <v>49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t="15" hidden="1" thickBot="1" x14ac:dyDescent="0.35">
      <c r="A116" s="6"/>
      <c r="B116" s="17">
        <f t="shared" si="7"/>
        <v>50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t="15" hidden="1" thickBot="1" x14ac:dyDescent="0.35">
      <c r="A117" s="6"/>
      <c r="B117" s="17">
        <f t="shared" si="7"/>
        <v>51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t="15" hidden="1" thickBot="1" x14ac:dyDescent="0.35">
      <c r="A118" s="6"/>
      <c r="B118" s="17">
        <f t="shared" si="7"/>
        <v>52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t="15" hidden="1" thickBot="1" x14ac:dyDescent="0.35">
      <c r="A119" s="6"/>
      <c r="B119" s="17">
        <f t="shared" si="7"/>
        <v>53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hidden="1" thickBot="1" x14ac:dyDescent="0.35">
      <c r="A120" s="6"/>
      <c r="B120" s="17">
        <f t="shared" si="7"/>
        <v>54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15" hidden="1" thickBot="1" x14ac:dyDescent="0.35">
      <c r="A121" s="6"/>
      <c r="B121" s="17">
        <f t="shared" si="7"/>
        <v>55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56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15" hidden="1" thickBot="1" x14ac:dyDescent="0.35">
      <c r="A123" s="6"/>
      <c r="B123" s="17">
        <f t="shared" si="7"/>
        <v>57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hidden="1" thickBot="1" x14ac:dyDescent="0.35">
      <c r="A124" s="6"/>
      <c r="B124" s="17">
        <f t="shared" si="7"/>
        <v>58</v>
      </c>
      <c r="C124" s="79"/>
      <c r="D124" s="80"/>
      <c r="E124" s="80"/>
      <c r="F124" s="81"/>
      <c r="G124" s="81"/>
      <c r="H124" s="80"/>
      <c r="I124" s="81"/>
      <c r="J124" s="82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24" thickBot="1" x14ac:dyDescent="0.5">
      <c r="A125" s="6"/>
      <c r="B125" s="144" t="s">
        <v>22</v>
      </c>
      <c r="C125" s="145"/>
      <c r="D125" s="145"/>
      <c r="E125" s="145"/>
      <c r="F125" s="145"/>
      <c r="G125" s="145"/>
      <c r="H125" s="146"/>
      <c r="I125" s="83" t="s">
        <v>23</v>
      </c>
      <c r="J125" s="84">
        <f>SUM(J67:J124)</f>
        <v>266230</v>
      </c>
      <c r="K125" s="7"/>
      <c r="L125" s="5"/>
      <c r="M125" s="5"/>
      <c r="N125" s="5"/>
      <c r="O125" s="5"/>
      <c r="P125" s="5"/>
      <c r="Q125" s="5"/>
      <c r="R125" s="5"/>
      <c r="V125" s="36">
        <f>SUM(V67:V124)</f>
        <v>31</v>
      </c>
      <c r="W125" s="36">
        <f>SUM(W67:W124)</f>
        <v>5</v>
      </c>
    </row>
    <row r="126" spans="1:23" s="36" customFormat="1" ht="30" customHeight="1" thickBot="1" x14ac:dyDescent="0.35">
      <c r="A126" s="30"/>
      <c r="B126" s="31"/>
      <c r="C126" s="31"/>
      <c r="D126" s="31"/>
      <c r="E126" s="31"/>
      <c r="F126" s="31"/>
      <c r="G126" s="31"/>
      <c r="H126" s="32"/>
      <c r="I126" s="31"/>
      <c r="J126" s="32"/>
      <c r="K126" s="33"/>
      <c r="L126" s="5"/>
      <c r="M126" s="5"/>
      <c r="N126" s="5"/>
      <c r="O126" s="5"/>
      <c r="P126" s="5"/>
      <c r="Q126" s="5"/>
      <c r="R126" s="5"/>
    </row>
    <row r="127" spans="1:23" ht="15" thickBot="1" x14ac:dyDescent="0.35"/>
    <row r="128" spans="1:23" s="36" customFormat="1" ht="30" customHeight="1" thickBot="1" x14ac:dyDescent="0.35">
      <c r="A128" s="1"/>
      <c r="B128" s="2"/>
      <c r="C128" s="2"/>
      <c r="D128" s="2"/>
      <c r="E128" s="2"/>
      <c r="F128" s="2"/>
      <c r="G128" s="2"/>
      <c r="H128" s="3"/>
      <c r="I128" s="2"/>
      <c r="J128" s="3"/>
      <c r="K128" s="4"/>
    </row>
    <row r="129" spans="1:23" s="36" customFormat="1" ht="25.2" thickBot="1" x14ac:dyDescent="0.35">
      <c r="A129" s="6" t="s">
        <v>1</v>
      </c>
      <c r="B129" s="119" t="s">
        <v>2</v>
      </c>
      <c r="C129" s="120"/>
      <c r="D129" s="120"/>
      <c r="E129" s="120"/>
      <c r="F129" s="120"/>
      <c r="G129" s="120"/>
      <c r="H129" s="120"/>
      <c r="I129" s="120"/>
      <c r="J129" s="121"/>
      <c r="K129" s="7"/>
    </row>
    <row r="130" spans="1:23" s="36" customFormat="1" ht="16.2" thickBot="1" x14ac:dyDescent="0.35">
      <c r="A130" s="6"/>
      <c r="B130" s="168" t="s">
        <v>422</v>
      </c>
      <c r="C130" s="169"/>
      <c r="D130" s="169"/>
      <c r="E130" s="169"/>
      <c r="F130" s="169"/>
      <c r="G130" s="169"/>
      <c r="H130" s="169"/>
      <c r="I130" s="169"/>
      <c r="J130" s="170"/>
      <c r="K130" s="7"/>
      <c r="L130" s="22"/>
    </row>
    <row r="131" spans="1:23" s="36" customFormat="1" ht="16.2" thickBot="1" x14ac:dyDescent="0.35">
      <c r="A131" s="6"/>
      <c r="B131" s="106" t="s">
        <v>215</v>
      </c>
      <c r="C131" s="107"/>
      <c r="D131" s="107"/>
      <c r="E131" s="107"/>
      <c r="F131" s="107"/>
      <c r="G131" s="107"/>
      <c r="H131" s="107"/>
      <c r="I131" s="107"/>
      <c r="J131" s="108"/>
      <c r="K131" s="7"/>
    </row>
    <row r="132" spans="1:23" s="22" customFormat="1" ht="15" thickBot="1" x14ac:dyDescent="0.35">
      <c r="A132" s="69"/>
      <c r="B132" s="70" t="s">
        <v>9</v>
      </c>
      <c r="C132" s="71" t="s">
        <v>10</v>
      </c>
      <c r="D132" s="72" t="s">
        <v>11</v>
      </c>
      <c r="E132" s="72" t="s">
        <v>12</v>
      </c>
      <c r="F132" s="73" t="s">
        <v>65</v>
      </c>
      <c r="G132" s="73" t="s">
        <v>66</v>
      </c>
      <c r="H132" s="74" t="s">
        <v>67</v>
      </c>
      <c r="I132" s="73" t="s">
        <v>68</v>
      </c>
      <c r="J132" s="75" t="s">
        <v>17</v>
      </c>
      <c r="K132" s="76"/>
      <c r="L132" s="36"/>
      <c r="M132" s="36"/>
      <c r="N132" s="36"/>
      <c r="O132" s="36" t="s">
        <v>21</v>
      </c>
      <c r="P132" s="36"/>
      <c r="Q132" s="36"/>
      <c r="R132" s="36"/>
      <c r="V132" s="5" t="s">
        <v>5</v>
      </c>
      <c r="W132" s="5" t="s">
        <v>6</v>
      </c>
    </row>
    <row r="133" spans="1:23" s="36" customFormat="1" x14ac:dyDescent="0.3">
      <c r="A133" s="6"/>
      <c r="B133" s="14">
        <v>1</v>
      </c>
      <c r="C133" s="93">
        <v>44410</v>
      </c>
      <c r="D133" s="94" t="s">
        <v>18</v>
      </c>
      <c r="E133" s="94" t="s">
        <v>405</v>
      </c>
      <c r="F133" s="60">
        <v>70</v>
      </c>
      <c r="G133" s="60">
        <v>95</v>
      </c>
      <c r="H133" s="60">
        <v>-15</v>
      </c>
      <c r="I133" s="15">
        <v>300</v>
      </c>
      <c r="J133" s="16">
        <f t="shared" ref="J133:J178" si="9">I133*H133</f>
        <v>-4500</v>
      </c>
      <c r="K133" s="7"/>
      <c r="V133" s="5">
        <f t="shared" ref="V133:V178" si="10">IF($J133&gt;0,1,0)</f>
        <v>0</v>
      </c>
      <c r="W133" s="5">
        <f t="shared" ref="W133:W178" si="11">IF($J133&lt;0,1,0)</f>
        <v>1</v>
      </c>
    </row>
    <row r="134" spans="1:23" s="36" customFormat="1" x14ac:dyDescent="0.3">
      <c r="A134" s="6"/>
      <c r="B134" s="17">
        <f>B133+1</f>
        <v>2</v>
      </c>
      <c r="C134" s="18">
        <v>44410</v>
      </c>
      <c r="D134" s="19" t="s">
        <v>18</v>
      </c>
      <c r="E134" s="19" t="s">
        <v>405</v>
      </c>
      <c r="F134" s="35">
        <v>80</v>
      </c>
      <c r="G134" s="35">
        <v>85</v>
      </c>
      <c r="H134" s="35">
        <v>-5</v>
      </c>
      <c r="I134" s="20">
        <v>300</v>
      </c>
      <c r="J134" s="21">
        <f t="shared" si="9"/>
        <v>-1500</v>
      </c>
      <c r="K134" s="7"/>
      <c r="L134" s="36" t="s">
        <v>21</v>
      </c>
      <c r="V134" s="5">
        <f t="shared" si="10"/>
        <v>0</v>
      </c>
      <c r="W134" s="5">
        <f t="shared" si="11"/>
        <v>1</v>
      </c>
    </row>
    <row r="135" spans="1:23" s="36" customFormat="1" x14ac:dyDescent="0.3">
      <c r="A135" s="6"/>
      <c r="B135" s="17">
        <f t="shared" ref="B135:B155" si="12">B134+1</f>
        <v>3</v>
      </c>
      <c r="C135" s="18">
        <v>44411</v>
      </c>
      <c r="D135" s="19" t="s">
        <v>18</v>
      </c>
      <c r="E135" s="19" t="s">
        <v>425</v>
      </c>
      <c r="F135" s="35">
        <v>70</v>
      </c>
      <c r="G135" s="35">
        <v>100</v>
      </c>
      <c r="H135" s="35">
        <v>30</v>
      </c>
      <c r="I135" s="20">
        <v>300</v>
      </c>
      <c r="J135" s="21">
        <f t="shared" si="9"/>
        <v>9000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4</v>
      </c>
      <c r="C136" s="18">
        <v>44411</v>
      </c>
      <c r="D136" s="19" t="s">
        <v>18</v>
      </c>
      <c r="E136" s="19" t="s">
        <v>425</v>
      </c>
      <c r="F136" s="35">
        <v>100</v>
      </c>
      <c r="G136" s="35">
        <v>130</v>
      </c>
      <c r="H136" s="35">
        <v>30</v>
      </c>
      <c r="I136" s="20">
        <v>300</v>
      </c>
      <c r="J136" s="21">
        <f t="shared" si="9"/>
        <v>9000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5</v>
      </c>
      <c r="C137" s="18">
        <v>44412</v>
      </c>
      <c r="D137" s="19" t="s">
        <v>18</v>
      </c>
      <c r="E137" s="19" t="s">
        <v>426</v>
      </c>
      <c r="F137" s="35">
        <v>85</v>
      </c>
      <c r="G137" s="35">
        <v>100</v>
      </c>
      <c r="H137" s="35">
        <f>100-85</f>
        <v>15</v>
      </c>
      <c r="I137" s="20">
        <v>300</v>
      </c>
      <c r="J137" s="21">
        <f t="shared" si="9"/>
        <v>4500</v>
      </c>
      <c r="K137" s="7"/>
      <c r="V137" s="5">
        <f t="shared" si="10"/>
        <v>1</v>
      </c>
      <c r="W137" s="5">
        <f t="shared" si="11"/>
        <v>0</v>
      </c>
    </row>
    <row r="138" spans="1:23" s="36" customFormat="1" x14ac:dyDescent="0.3">
      <c r="A138" s="6"/>
      <c r="B138" s="17">
        <f t="shared" si="12"/>
        <v>6</v>
      </c>
      <c r="C138" s="18">
        <v>44412</v>
      </c>
      <c r="D138" s="19" t="s">
        <v>18</v>
      </c>
      <c r="E138" s="19" t="s">
        <v>426</v>
      </c>
      <c r="F138" s="20">
        <v>65</v>
      </c>
      <c r="G138" s="35">
        <v>80</v>
      </c>
      <c r="H138" s="35">
        <f>80-65</f>
        <v>15</v>
      </c>
      <c r="I138" s="20">
        <v>300</v>
      </c>
      <c r="J138" s="21">
        <f t="shared" si="9"/>
        <v>4500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7</v>
      </c>
      <c r="C139" s="18">
        <v>44413</v>
      </c>
      <c r="D139" s="19" t="s">
        <v>18</v>
      </c>
      <c r="E139" s="19" t="s">
        <v>427</v>
      </c>
      <c r="F139" s="35">
        <v>40</v>
      </c>
      <c r="G139" s="35">
        <v>46</v>
      </c>
      <c r="H139" s="35">
        <v>6</v>
      </c>
      <c r="I139" s="20">
        <v>300</v>
      </c>
      <c r="J139" s="21">
        <f t="shared" si="9"/>
        <v>1800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8</v>
      </c>
      <c r="C140" s="18">
        <v>44413</v>
      </c>
      <c r="D140" s="19" t="s">
        <v>18</v>
      </c>
      <c r="E140" s="19" t="s">
        <v>428</v>
      </c>
      <c r="F140" s="35">
        <v>45</v>
      </c>
      <c r="G140" s="35">
        <v>52</v>
      </c>
      <c r="H140" s="35">
        <v>7</v>
      </c>
      <c r="I140" s="20">
        <v>300</v>
      </c>
      <c r="J140" s="21">
        <f t="shared" si="9"/>
        <v>2100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9</v>
      </c>
      <c r="C141" s="18">
        <v>44414</v>
      </c>
      <c r="D141" s="19" t="s">
        <v>18</v>
      </c>
      <c r="E141" s="19" t="s">
        <v>428</v>
      </c>
      <c r="F141" s="35">
        <v>80</v>
      </c>
      <c r="G141" s="35">
        <v>103</v>
      </c>
      <c r="H141" s="35">
        <f>103-85</f>
        <v>18</v>
      </c>
      <c r="I141" s="20">
        <v>300</v>
      </c>
      <c r="J141" s="21">
        <f t="shared" si="9"/>
        <v>5400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10</v>
      </c>
      <c r="C142" s="18">
        <v>44417</v>
      </c>
      <c r="D142" s="19" t="s">
        <v>18</v>
      </c>
      <c r="E142" s="19" t="s">
        <v>429</v>
      </c>
      <c r="F142" s="35">
        <v>75</v>
      </c>
      <c r="G142" s="35">
        <v>60</v>
      </c>
      <c r="H142" s="35">
        <v>-15</v>
      </c>
      <c r="I142" s="20">
        <v>300</v>
      </c>
      <c r="J142" s="21">
        <f t="shared" si="9"/>
        <v>-4500</v>
      </c>
      <c r="K142" s="7"/>
      <c r="V142" s="5">
        <f t="shared" si="10"/>
        <v>0</v>
      </c>
      <c r="W142" s="5">
        <f t="shared" si="11"/>
        <v>1</v>
      </c>
    </row>
    <row r="143" spans="1:23" s="36" customFormat="1" x14ac:dyDescent="0.3">
      <c r="A143" s="6"/>
      <c r="B143" s="17">
        <f t="shared" si="12"/>
        <v>11</v>
      </c>
      <c r="C143" s="18">
        <v>44418</v>
      </c>
      <c r="D143" s="19" t="s">
        <v>18</v>
      </c>
      <c r="E143" s="19" t="s">
        <v>429</v>
      </c>
      <c r="F143" s="19">
        <v>65</v>
      </c>
      <c r="G143" s="35">
        <v>95</v>
      </c>
      <c r="H143" s="35">
        <v>30</v>
      </c>
      <c r="I143" s="20">
        <v>300</v>
      </c>
      <c r="J143" s="21">
        <f t="shared" si="9"/>
        <v>9000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12</v>
      </c>
      <c r="C144" s="18">
        <v>44418</v>
      </c>
      <c r="D144" s="19" t="s">
        <v>18</v>
      </c>
      <c r="E144" s="19" t="s">
        <v>429</v>
      </c>
      <c r="F144" s="35">
        <v>85</v>
      </c>
      <c r="G144" s="35">
        <v>95</v>
      </c>
      <c r="H144" s="35">
        <v>10</v>
      </c>
      <c r="I144" s="20">
        <v>300</v>
      </c>
      <c r="J144" s="21">
        <f t="shared" si="9"/>
        <v>3000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13</v>
      </c>
      <c r="C145" s="18">
        <v>44419</v>
      </c>
      <c r="D145" s="19" t="s">
        <v>18</v>
      </c>
      <c r="E145" s="19" t="s">
        <v>428</v>
      </c>
      <c r="F145" s="35">
        <v>55</v>
      </c>
      <c r="G145" s="35">
        <v>85</v>
      </c>
      <c r="H145" s="35">
        <v>30</v>
      </c>
      <c r="I145" s="20">
        <v>300</v>
      </c>
      <c r="J145" s="21">
        <f t="shared" si="9"/>
        <v>9000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14</v>
      </c>
      <c r="C146" s="18">
        <v>44419</v>
      </c>
      <c r="D146" s="19" t="s">
        <v>18</v>
      </c>
      <c r="E146" s="19" t="s">
        <v>428</v>
      </c>
      <c r="F146" s="77">
        <v>75</v>
      </c>
      <c r="G146" s="35">
        <v>96</v>
      </c>
      <c r="H146" s="78">
        <f>96-75</f>
        <v>21</v>
      </c>
      <c r="I146" s="20">
        <v>300</v>
      </c>
      <c r="J146" s="21">
        <f t="shared" si="9"/>
        <v>6300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15</v>
      </c>
      <c r="C147" s="18">
        <v>44420</v>
      </c>
      <c r="D147" s="19" t="s">
        <v>18</v>
      </c>
      <c r="E147" s="19" t="s">
        <v>431</v>
      </c>
      <c r="F147" s="35">
        <v>65</v>
      </c>
      <c r="G147" s="35">
        <v>95</v>
      </c>
      <c r="H147" s="78">
        <v>30</v>
      </c>
      <c r="I147" s="20">
        <v>300</v>
      </c>
      <c r="J147" s="21">
        <f t="shared" si="9"/>
        <v>9000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16</v>
      </c>
      <c r="C148" s="18">
        <v>44420</v>
      </c>
      <c r="D148" s="19" t="s">
        <v>18</v>
      </c>
      <c r="E148" s="19" t="s">
        <v>429</v>
      </c>
      <c r="F148" s="35">
        <v>50</v>
      </c>
      <c r="G148" s="35">
        <v>78</v>
      </c>
      <c r="H148" s="78">
        <f>78-50</f>
        <v>28</v>
      </c>
      <c r="I148" s="20">
        <v>300</v>
      </c>
      <c r="J148" s="21">
        <f t="shared" si="9"/>
        <v>8400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17</v>
      </c>
      <c r="C149" s="18">
        <v>44421</v>
      </c>
      <c r="D149" s="19" t="s">
        <v>18</v>
      </c>
      <c r="E149" s="19" t="s">
        <v>432</v>
      </c>
      <c r="F149" s="35">
        <v>70</v>
      </c>
      <c r="G149" s="35">
        <v>100</v>
      </c>
      <c r="H149" s="78">
        <v>30</v>
      </c>
      <c r="I149" s="20">
        <v>300</v>
      </c>
      <c r="J149" s="21">
        <f t="shared" si="9"/>
        <v>9000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18</v>
      </c>
      <c r="C150" s="18">
        <v>44421</v>
      </c>
      <c r="D150" s="19" t="s">
        <v>18</v>
      </c>
      <c r="E150" s="19" t="s">
        <v>432</v>
      </c>
      <c r="F150" s="35">
        <v>95</v>
      </c>
      <c r="G150" s="35">
        <v>125</v>
      </c>
      <c r="H150" s="78">
        <v>30</v>
      </c>
      <c r="I150" s="20">
        <v>300</v>
      </c>
      <c r="J150" s="21">
        <f t="shared" si="9"/>
        <v>9000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19</v>
      </c>
      <c r="C151" s="18">
        <v>44424</v>
      </c>
      <c r="D151" s="19" t="s">
        <v>18</v>
      </c>
      <c r="E151" s="19" t="s">
        <v>433</v>
      </c>
      <c r="F151" s="35">
        <v>75</v>
      </c>
      <c r="G151" s="35">
        <v>100</v>
      </c>
      <c r="H151" s="78">
        <f>100-75</f>
        <v>25</v>
      </c>
      <c r="I151" s="20">
        <v>300</v>
      </c>
      <c r="J151" s="21">
        <f t="shared" si="9"/>
        <v>7500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20</v>
      </c>
      <c r="C152" s="18">
        <v>44424</v>
      </c>
      <c r="D152" s="19" t="s">
        <v>18</v>
      </c>
      <c r="E152" s="19" t="s">
        <v>434</v>
      </c>
      <c r="F152" s="35">
        <v>70</v>
      </c>
      <c r="G152" s="35">
        <v>80</v>
      </c>
      <c r="H152" s="35">
        <v>10</v>
      </c>
      <c r="I152" s="20">
        <v>300</v>
      </c>
      <c r="J152" s="21">
        <f t="shared" si="9"/>
        <v>3000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21</v>
      </c>
      <c r="C153" s="18">
        <v>44425</v>
      </c>
      <c r="D153" s="19" t="s">
        <v>18</v>
      </c>
      <c r="E153" s="19" t="s">
        <v>433</v>
      </c>
      <c r="F153" s="35">
        <v>60</v>
      </c>
      <c r="G153" s="35">
        <v>90</v>
      </c>
      <c r="H153" s="35">
        <v>30</v>
      </c>
      <c r="I153" s="20">
        <v>300</v>
      </c>
      <c r="J153" s="21">
        <f t="shared" si="9"/>
        <v>9000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2"/>
        <v>22</v>
      </c>
      <c r="C154" s="18">
        <v>44425</v>
      </c>
      <c r="D154" s="19" t="s">
        <v>18</v>
      </c>
      <c r="E154" s="19" t="s">
        <v>434</v>
      </c>
      <c r="F154" s="35">
        <v>55</v>
      </c>
      <c r="G154" s="35">
        <v>63</v>
      </c>
      <c r="H154" s="35">
        <f>63-55</f>
        <v>8</v>
      </c>
      <c r="I154" s="20">
        <v>300</v>
      </c>
      <c r="J154" s="21">
        <f t="shared" si="9"/>
        <v>2400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2"/>
        <v>23</v>
      </c>
      <c r="C155" s="18">
        <v>44428</v>
      </c>
      <c r="D155" s="19" t="s">
        <v>18</v>
      </c>
      <c r="E155" s="19" t="s">
        <v>435</v>
      </c>
      <c r="F155" s="35">
        <v>100</v>
      </c>
      <c r="G155" s="35">
        <v>108</v>
      </c>
      <c r="H155" s="35">
        <v>8</v>
      </c>
      <c r="I155" s="20">
        <v>300</v>
      </c>
      <c r="J155" s="21">
        <f t="shared" si="9"/>
        <v>2400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>B155+1</f>
        <v>24</v>
      </c>
      <c r="C156" s="18">
        <v>44428</v>
      </c>
      <c r="D156" s="19" t="s">
        <v>18</v>
      </c>
      <c r="E156" s="19" t="s">
        <v>435</v>
      </c>
      <c r="F156" s="35">
        <v>80</v>
      </c>
      <c r="G156" s="35">
        <v>94</v>
      </c>
      <c r="H156" s="35">
        <f>94-80</f>
        <v>14</v>
      </c>
      <c r="I156" s="20">
        <v>300</v>
      </c>
      <c r="J156" s="21">
        <f t="shared" si="9"/>
        <v>4200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ref="B157:B178" si="13">B156+1</f>
        <v>25</v>
      </c>
      <c r="C157" s="18">
        <v>44431</v>
      </c>
      <c r="D157" s="19" t="s">
        <v>18</v>
      </c>
      <c r="E157" s="19" t="s">
        <v>436</v>
      </c>
      <c r="F157" s="35">
        <v>80</v>
      </c>
      <c r="G157" s="35">
        <v>95</v>
      </c>
      <c r="H157" s="35">
        <v>15</v>
      </c>
      <c r="I157" s="20">
        <v>300</v>
      </c>
      <c r="J157" s="21">
        <f t="shared" si="9"/>
        <v>4500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3"/>
        <v>26</v>
      </c>
      <c r="C158" s="18">
        <v>44431</v>
      </c>
      <c r="D158" s="19" t="s">
        <v>18</v>
      </c>
      <c r="E158" s="19" t="s">
        <v>437</v>
      </c>
      <c r="F158" s="35">
        <v>105</v>
      </c>
      <c r="G158" s="35">
        <v>127</v>
      </c>
      <c r="H158" s="35">
        <f>127-105</f>
        <v>22</v>
      </c>
      <c r="I158" s="20">
        <v>300</v>
      </c>
      <c r="J158" s="21">
        <f t="shared" si="9"/>
        <v>6600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3"/>
        <v>27</v>
      </c>
      <c r="C159" s="18">
        <v>44432</v>
      </c>
      <c r="D159" s="19" t="s">
        <v>18</v>
      </c>
      <c r="E159" s="19" t="s">
        <v>438</v>
      </c>
      <c r="F159" s="35">
        <v>90</v>
      </c>
      <c r="G159" s="35">
        <v>100</v>
      </c>
      <c r="H159" s="35">
        <v>10</v>
      </c>
      <c r="I159" s="20">
        <v>300</v>
      </c>
      <c r="J159" s="21">
        <f t="shared" si="9"/>
        <v>3000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 t="shared" si="13"/>
        <v>28</v>
      </c>
      <c r="C160" s="18">
        <v>44432</v>
      </c>
      <c r="D160" s="19" t="s">
        <v>18</v>
      </c>
      <c r="E160" s="19" t="s">
        <v>433</v>
      </c>
      <c r="F160" s="35">
        <v>95</v>
      </c>
      <c r="G160" s="35">
        <v>125</v>
      </c>
      <c r="H160" s="35">
        <f>125-95</f>
        <v>30</v>
      </c>
      <c r="I160" s="20">
        <v>300</v>
      </c>
      <c r="J160" s="21">
        <f t="shared" si="9"/>
        <v>9000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si="13"/>
        <v>29</v>
      </c>
      <c r="C161" s="18">
        <v>44433</v>
      </c>
      <c r="D161" s="19" t="s">
        <v>18</v>
      </c>
      <c r="E161" s="19" t="s">
        <v>439</v>
      </c>
      <c r="F161" s="35">
        <v>70</v>
      </c>
      <c r="G161" s="35">
        <v>85</v>
      </c>
      <c r="H161" s="35">
        <v>15</v>
      </c>
      <c r="I161" s="20">
        <v>300</v>
      </c>
      <c r="J161" s="21">
        <f t="shared" si="9"/>
        <v>4500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30</v>
      </c>
      <c r="C162" s="18">
        <v>44433</v>
      </c>
      <c r="D162" s="19" t="s">
        <v>18</v>
      </c>
      <c r="E162" s="19" t="s">
        <v>440</v>
      </c>
      <c r="F162" s="35">
        <v>90</v>
      </c>
      <c r="G162" s="35">
        <v>105</v>
      </c>
      <c r="H162" s="35">
        <f>105-90</f>
        <v>15</v>
      </c>
      <c r="I162" s="20">
        <v>300</v>
      </c>
      <c r="J162" s="21">
        <f t="shared" si="9"/>
        <v>4500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31</v>
      </c>
      <c r="C163" s="18">
        <v>44434</v>
      </c>
      <c r="D163" s="19" t="s">
        <v>18</v>
      </c>
      <c r="E163" s="19" t="s">
        <v>440</v>
      </c>
      <c r="F163" s="35">
        <v>70</v>
      </c>
      <c r="G163" s="35">
        <v>82.7</v>
      </c>
      <c r="H163" s="35">
        <f>82.7-70</f>
        <v>12.700000000000003</v>
      </c>
      <c r="I163" s="20">
        <v>300</v>
      </c>
      <c r="J163" s="21">
        <f t="shared" si="9"/>
        <v>3810.0000000000009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32</v>
      </c>
      <c r="C164" s="18">
        <v>44434</v>
      </c>
      <c r="D164" s="19" t="s">
        <v>18</v>
      </c>
      <c r="E164" s="19" t="s">
        <v>434</v>
      </c>
      <c r="F164" s="35">
        <v>95</v>
      </c>
      <c r="G164" s="35">
        <v>80</v>
      </c>
      <c r="H164" s="35">
        <v>-15</v>
      </c>
      <c r="I164" s="20">
        <v>300</v>
      </c>
      <c r="J164" s="21">
        <f t="shared" si="9"/>
        <v>-4500</v>
      </c>
      <c r="K164" s="7"/>
      <c r="V164" s="5">
        <f t="shared" si="10"/>
        <v>0</v>
      </c>
      <c r="W164" s="5">
        <f t="shared" si="11"/>
        <v>1</v>
      </c>
    </row>
    <row r="165" spans="1:23" s="36" customFormat="1" x14ac:dyDescent="0.3">
      <c r="A165" s="6"/>
      <c r="B165" s="17">
        <f t="shared" si="13"/>
        <v>33</v>
      </c>
      <c r="C165" s="18">
        <v>44435</v>
      </c>
      <c r="D165" s="19" t="s">
        <v>18</v>
      </c>
      <c r="E165" s="19" t="s">
        <v>434</v>
      </c>
      <c r="F165" s="35">
        <v>80</v>
      </c>
      <c r="G165" s="35">
        <v>110</v>
      </c>
      <c r="H165" s="35">
        <v>30</v>
      </c>
      <c r="I165" s="20">
        <v>300</v>
      </c>
      <c r="J165" s="21">
        <f t="shared" si="9"/>
        <v>9000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3"/>
        <v>34</v>
      </c>
      <c r="C166" s="18">
        <v>44435</v>
      </c>
      <c r="D166" s="19" t="s">
        <v>18</v>
      </c>
      <c r="E166" s="19" t="s">
        <v>441</v>
      </c>
      <c r="F166" s="35">
        <v>90</v>
      </c>
      <c r="G166" s="35">
        <v>96</v>
      </c>
      <c r="H166" s="35">
        <v>6</v>
      </c>
      <c r="I166" s="20">
        <v>300</v>
      </c>
      <c r="J166" s="21">
        <f t="shared" si="9"/>
        <v>1800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3"/>
        <v>35</v>
      </c>
      <c r="C167" s="18">
        <v>44438</v>
      </c>
      <c r="D167" s="19" t="s">
        <v>18</v>
      </c>
      <c r="E167" s="19" t="s">
        <v>442</v>
      </c>
      <c r="F167" s="35">
        <v>70</v>
      </c>
      <c r="G167" s="35">
        <v>89</v>
      </c>
      <c r="H167" s="35">
        <v>19</v>
      </c>
      <c r="I167" s="20">
        <v>300</v>
      </c>
      <c r="J167" s="21">
        <f t="shared" si="9"/>
        <v>5700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3"/>
        <v>36</v>
      </c>
      <c r="C168" s="18">
        <v>44438</v>
      </c>
      <c r="D168" s="19" t="s">
        <v>18</v>
      </c>
      <c r="E168" s="19" t="s">
        <v>442</v>
      </c>
      <c r="F168" s="35">
        <v>75</v>
      </c>
      <c r="G168" s="35">
        <v>105</v>
      </c>
      <c r="H168" s="35">
        <v>30</v>
      </c>
      <c r="I168" s="20">
        <v>300</v>
      </c>
      <c r="J168" s="21">
        <f t="shared" si="9"/>
        <v>9000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3"/>
        <v>37</v>
      </c>
      <c r="C169" s="18">
        <v>44439</v>
      </c>
      <c r="D169" s="19" t="s">
        <v>18</v>
      </c>
      <c r="E169" s="19" t="s">
        <v>443</v>
      </c>
      <c r="F169" s="35">
        <v>75</v>
      </c>
      <c r="G169" s="35">
        <v>105</v>
      </c>
      <c r="H169" s="35">
        <v>30</v>
      </c>
      <c r="I169" s="20">
        <v>300</v>
      </c>
      <c r="J169" s="21">
        <f t="shared" si="9"/>
        <v>9000</v>
      </c>
      <c r="K169" s="7"/>
      <c r="V169" s="5">
        <f t="shared" si="10"/>
        <v>1</v>
      </c>
      <c r="W169" s="5">
        <f t="shared" si="11"/>
        <v>0</v>
      </c>
    </row>
    <row r="170" spans="1:23" s="36" customFormat="1" x14ac:dyDescent="0.3">
      <c r="A170" s="6"/>
      <c r="B170" s="17">
        <f t="shared" si="13"/>
        <v>38</v>
      </c>
      <c r="C170" s="18">
        <v>44439</v>
      </c>
      <c r="D170" s="19" t="s">
        <v>18</v>
      </c>
      <c r="E170" s="19" t="s">
        <v>443</v>
      </c>
      <c r="F170" s="35">
        <v>70</v>
      </c>
      <c r="G170" s="35">
        <v>100</v>
      </c>
      <c r="H170" s="35">
        <v>30</v>
      </c>
      <c r="I170" s="20">
        <v>300</v>
      </c>
      <c r="J170" s="21">
        <f t="shared" si="9"/>
        <v>9000</v>
      </c>
      <c r="K170" s="7"/>
      <c r="V170" s="5">
        <f t="shared" si="10"/>
        <v>1</v>
      </c>
      <c r="W170" s="5">
        <f t="shared" si="11"/>
        <v>0</v>
      </c>
    </row>
    <row r="171" spans="1:23" s="36" customFormat="1" x14ac:dyDescent="0.3">
      <c r="A171" s="6"/>
      <c r="B171" s="17">
        <f t="shared" si="13"/>
        <v>39</v>
      </c>
      <c r="C171" s="18"/>
      <c r="D171" s="19"/>
      <c r="E171" s="19"/>
      <c r="F171" s="35"/>
      <c r="G171" s="35"/>
      <c r="H171" s="35"/>
      <c r="I171" s="20"/>
      <c r="J171" s="21">
        <f t="shared" si="9"/>
        <v>0</v>
      </c>
      <c r="K171" s="7"/>
      <c r="V171" s="5">
        <f t="shared" si="10"/>
        <v>0</v>
      </c>
      <c r="W171" s="5">
        <f t="shared" si="11"/>
        <v>0</v>
      </c>
    </row>
    <row r="172" spans="1:23" s="36" customFormat="1" x14ac:dyDescent="0.3">
      <c r="A172" s="6"/>
      <c r="B172" s="17">
        <f t="shared" si="13"/>
        <v>40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x14ac:dyDescent="0.3">
      <c r="A173" s="6"/>
      <c r="B173" s="17">
        <f t="shared" si="13"/>
        <v>41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x14ac:dyDescent="0.3">
      <c r="A174" s="6"/>
      <c r="B174" s="17">
        <f t="shared" si="13"/>
        <v>42</v>
      </c>
      <c r="C174" s="18"/>
      <c r="D174" s="19"/>
      <c r="E174" s="19"/>
      <c r="F174" s="35"/>
      <c r="G174" s="35"/>
      <c r="H174" s="35"/>
      <c r="I174" s="20"/>
      <c r="J174" s="21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x14ac:dyDescent="0.3">
      <c r="A175" s="6"/>
      <c r="B175" s="17">
        <f t="shared" si="13"/>
        <v>43</v>
      </c>
      <c r="C175" s="18"/>
      <c r="D175" s="19"/>
      <c r="E175" s="19"/>
      <c r="F175" s="35"/>
      <c r="G175" s="35"/>
      <c r="H175" s="35"/>
      <c r="I175" s="20"/>
      <c r="J175" s="21">
        <f t="shared" si="9"/>
        <v>0</v>
      </c>
      <c r="K175" s="7"/>
      <c r="V175" s="5">
        <f t="shared" si="10"/>
        <v>0</v>
      </c>
      <c r="W175" s="5">
        <f t="shared" si="11"/>
        <v>0</v>
      </c>
    </row>
    <row r="176" spans="1:23" s="36" customFormat="1" x14ac:dyDescent="0.3">
      <c r="A176" s="6"/>
      <c r="B176" s="17">
        <f t="shared" si="13"/>
        <v>44</v>
      </c>
      <c r="C176" s="18"/>
      <c r="D176" s="19"/>
      <c r="E176" s="19"/>
      <c r="F176" s="35"/>
      <c r="G176" s="35"/>
      <c r="H176" s="35"/>
      <c r="I176" s="20"/>
      <c r="J176" s="21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x14ac:dyDescent="0.3">
      <c r="A177" s="6"/>
      <c r="B177" s="17">
        <f t="shared" si="13"/>
        <v>45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ht="15" thickBot="1" x14ac:dyDescent="0.35">
      <c r="A178" s="6"/>
      <c r="B178" s="95">
        <f t="shared" si="13"/>
        <v>46</v>
      </c>
      <c r="C178" s="79"/>
      <c r="D178" s="80"/>
      <c r="E178" s="80"/>
      <c r="F178" s="96"/>
      <c r="G178" s="96"/>
      <c r="H178" s="96"/>
      <c r="I178" s="81"/>
      <c r="J178" s="82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ht="24" thickBot="1" x14ac:dyDescent="0.5">
      <c r="A179" s="6"/>
      <c r="B179" s="165" t="s">
        <v>22</v>
      </c>
      <c r="C179" s="166"/>
      <c r="D179" s="166"/>
      <c r="E179" s="166"/>
      <c r="F179" s="166"/>
      <c r="G179" s="166"/>
      <c r="H179" s="167"/>
      <c r="I179" s="83" t="s">
        <v>23</v>
      </c>
      <c r="J179" s="84">
        <f>SUM(J133:J178)</f>
        <v>191910</v>
      </c>
      <c r="K179" s="7"/>
      <c r="L179" s="5"/>
      <c r="M179" s="5"/>
      <c r="N179" s="5"/>
      <c r="O179" s="5"/>
      <c r="P179" s="5"/>
      <c r="Q179" s="5"/>
      <c r="R179" s="5"/>
      <c r="V179" s="36">
        <f>SUM(V133:V178)</f>
        <v>34</v>
      </c>
      <c r="W179" s="36">
        <f>SUM(W133:W178)</f>
        <v>4</v>
      </c>
    </row>
    <row r="180" spans="1:23" s="36" customFormat="1" ht="30" customHeight="1" thickBot="1" x14ac:dyDescent="0.35">
      <c r="A180" s="30"/>
      <c r="B180" s="31"/>
      <c r="C180" s="31"/>
      <c r="D180" s="31"/>
      <c r="E180" s="31"/>
      <c r="F180" s="31"/>
      <c r="G180" s="31"/>
      <c r="H180" s="32"/>
      <c r="I180" s="31"/>
      <c r="J180" s="32"/>
      <c r="K180" s="33"/>
      <c r="L180" s="5"/>
      <c r="M180" s="5"/>
      <c r="N180" s="5"/>
      <c r="O180" s="5"/>
      <c r="P180" s="5"/>
      <c r="Q180" s="5"/>
      <c r="R180" s="5"/>
    </row>
  </sheetData>
  <mergeCells count="44">
    <mergeCell ref="B125:H125"/>
    <mergeCell ref="B129:J129"/>
    <mergeCell ref="B130:J130"/>
    <mergeCell ref="B131:J131"/>
    <mergeCell ref="B179:H17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59" r:id="rId1" xr:uid="{00000000-0004-0000-0D00-000000000000}"/>
    <hyperlink ref="B125" r:id="rId2" xr:uid="{00000000-0004-0000-0D00-000001000000}"/>
    <hyperlink ref="B179" r:id="rId3" xr:uid="{00000000-0004-0000-0D00-000002000000}"/>
    <hyperlink ref="M1" location="MASTER!A1" display="Back" xr:uid="{00000000-0004-0000-0D00-000003000000}"/>
    <hyperlink ref="M6:M7" location="'JUNE 2021'!A1" display="EXTRA STOCK FUTURE" xr:uid="{00000000-0004-0000-0D00-000004000000}"/>
  </hyperlinks>
  <pageMargins left="0" right="0" top="0" bottom="0" header="0" footer="0"/>
  <pageSetup paperSize="9" orientation="portrait" r:id="rId4"/>
  <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180"/>
  <sheetViews>
    <sheetView topLeftCell="A155" zoomScaleNormal="100" workbookViewId="0">
      <selection activeCell="N37" sqref="N37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44440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95" t="s">
        <v>107</v>
      </c>
      <c r="N4" s="111">
        <f>COUNT(C6:C58)</f>
        <v>39</v>
      </c>
      <c r="O4" s="113">
        <f>V59</f>
        <v>31</v>
      </c>
      <c r="P4" s="113">
        <f>W59</f>
        <v>8</v>
      </c>
      <c r="Q4" s="197">
        <f>N4-O4-P4</f>
        <v>0</v>
      </c>
      <c r="R4" s="199">
        <f>O4/N4</f>
        <v>0.79487179487179482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96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44440</v>
      </c>
      <c r="D6" s="90" t="s">
        <v>18</v>
      </c>
      <c r="E6" s="90" t="s">
        <v>247</v>
      </c>
      <c r="F6" s="90">
        <v>110</v>
      </c>
      <c r="G6" s="90">
        <v>210</v>
      </c>
      <c r="H6" s="91">
        <v>100</v>
      </c>
      <c r="I6" s="90">
        <v>100</v>
      </c>
      <c r="J6" s="92">
        <f t="shared" ref="J6:J58" si="0">H6*I6</f>
        <v>10000</v>
      </c>
      <c r="K6" s="7"/>
      <c r="M6" s="213" t="s">
        <v>108</v>
      </c>
      <c r="N6" s="112">
        <f>COUNT(C67:C124)</f>
        <v>42</v>
      </c>
      <c r="O6" s="114">
        <v>35</v>
      </c>
      <c r="P6" s="114">
        <v>7</v>
      </c>
      <c r="Q6" s="198">
        <v>0</v>
      </c>
      <c r="R6" s="203">
        <f t="shared" ref="R6" si="1">O6/N6</f>
        <v>0.83333333333333337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x14ac:dyDescent="0.3">
      <c r="A7" s="6"/>
      <c r="B7" s="17">
        <v>2</v>
      </c>
      <c r="C7" s="85">
        <v>44440</v>
      </c>
      <c r="D7" s="86" t="s">
        <v>18</v>
      </c>
      <c r="E7" s="86" t="s">
        <v>271</v>
      </c>
      <c r="F7" s="86">
        <v>120</v>
      </c>
      <c r="G7" s="86">
        <v>140</v>
      </c>
      <c r="H7" s="87">
        <v>20</v>
      </c>
      <c r="I7" s="86">
        <v>100</v>
      </c>
      <c r="J7" s="21">
        <f t="shared" si="0"/>
        <v>2000</v>
      </c>
      <c r="K7" s="7"/>
      <c r="M7" s="213"/>
      <c r="N7" s="112"/>
      <c r="O7" s="114"/>
      <c r="P7" s="114"/>
      <c r="Q7" s="198"/>
      <c r="R7" s="200"/>
      <c r="V7" s="5">
        <f t="shared" si="2"/>
        <v>1</v>
      </c>
      <c r="W7" s="5">
        <f t="shared" si="3"/>
        <v>0</v>
      </c>
    </row>
    <row r="8" spans="1:23" x14ac:dyDescent="0.3">
      <c r="A8" s="6"/>
      <c r="B8" s="88">
        <v>3</v>
      </c>
      <c r="C8" s="85">
        <v>44441</v>
      </c>
      <c r="D8" s="86" t="s">
        <v>18</v>
      </c>
      <c r="E8" s="86" t="s">
        <v>275</v>
      </c>
      <c r="F8" s="86">
        <v>100</v>
      </c>
      <c r="G8" s="86">
        <v>200</v>
      </c>
      <c r="H8" s="87">
        <v>100</v>
      </c>
      <c r="I8" s="86">
        <v>100</v>
      </c>
      <c r="J8" s="21">
        <f t="shared" si="0"/>
        <v>10000</v>
      </c>
      <c r="K8" s="7"/>
      <c r="M8" s="205" t="s">
        <v>194</v>
      </c>
      <c r="N8" s="112">
        <f>COUNT(C133:C178)</f>
        <v>38</v>
      </c>
      <c r="O8" s="114">
        <f>V179</f>
        <v>31</v>
      </c>
      <c r="P8" s="114">
        <f>W179</f>
        <v>7</v>
      </c>
      <c r="Q8" s="198">
        <f>N8-O8-P8</f>
        <v>0</v>
      </c>
      <c r="R8" s="203">
        <f t="shared" ref="R8:R10" si="4">O8/N8</f>
        <v>0.81578947368421051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44441</v>
      </c>
      <c r="D9" s="86" t="s">
        <v>18</v>
      </c>
      <c r="E9" s="86" t="s">
        <v>242</v>
      </c>
      <c r="F9" s="86">
        <v>130</v>
      </c>
      <c r="G9" s="86">
        <v>80</v>
      </c>
      <c r="H9" s="87">
        <v>-50</v>
      </c>
      <c r="I9" s="86">
        <v>100</v>
      </c>
      <c r="J9" s="21">
        <f t="shared" si="0"/>
        <v>-5000</v>
      </c>
      <c r="K9" s="7"/>
      <c r="M9" s="206"/>
      <c r="N9" s="184"/>
      <c r="O9" s="172"/>
      <c r="P9" s="172"/>
      <c r="Q9" s="174"/>
      <c r="R9" s="204"/>
      <c r="V9" s="5">
        <f t="shared" si="2"/>
        <v>0</v>
      </c>
      <c r="W9" s="5">
        <f t="shared" si="3"/>
        <v>1</v>
      </c>
    </row>
    <row r="10" spans="1:23" ht="16.5" customHeight="1" x14ac:dyDescent="0.3">
      <c r="A10" s="6"/>
      <c r="B10" s="88">
        <v>5</v>
      </c>
      <c r="C10" s="85">
        <v>44442</v>
      </c>
      <c r="D10" s="86" t="s">
        <v>18</v>
      </c>
      <c r="E10" s="86" t="s">
        <v>451</v>
      </c>
      <c r="F10" s="86">
        <v>140</v>
      </c>
      <c r="G10" s="86">
        <v>155</v>
      </c>
      <c r="H10" s="87">
        <v>15</v>
      </c>
      <c r="I10" s="86">
        <v>100</v>
      </c>
      <c r="J10" s="21">
        <f t="shared" si="0"/>
        <v>1500</v>
      </c>
      <c r="K10" s="7"/>
      <c r="M10" s="207" t="s">
        <v>19</v>
      </c>
      <c r="N10" s="149">
        <f>SUM(N4:N9)</f>
        <v>119</v>
      </c>
      <c r="O10" s="209">
        <f>SUM(O4:O9)</f>
        <v>97</v>
      </c>
      <c r="P10" s="209">
        <f>SUM(P4:P9)</f>
        <v>22</v>
      </c>
      <c r="Q10" s="211">
        <f>SUM(Q4:Q9)</f>
        <v>0</v>
      </c>
      <c r="R10" s="199">
        <f t="shared" si="4"/>
        <v>0.81512605042016806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44442</v>
      </c>
      <c r="D11" s="86" t="s">
        <v>18</v>
      </c>
      <c r="E11" s="86" t="s">
        <v>269</v>
      </c>
      <c r="F11" s="86">
        <v>140</v>
      </c>
      <c r="G11" s="86">
        <v>90</v>
      </c>
      <c r="H11" s="87">
        <v>-50</v>
      </c>
      <c r="I11" s="86">
        <v>100</v>
      </c>
      <c r="J11" s="21">
        <f t="shared" si="0"/>
        <v>-5000</v>
      </c>
      <c r="K11" s="7"/>
      <c r="M11" s="208"/>
      <c r="N11" s="150"/>
      <c r="O11" s="210"/>
      <c r="P11" s="210"/>
      <c r="Q11" s="212"/>
      <c r="R11" s="204"/>
      <c r="V11" s="5">
        <f t="shared" si="2"/>
        <v>0</v>
      </c>
      <c r="W11" s="5">
        <f t="shared" si="3"/>
        <v>1</v>
      </c>
    </row>
    <row r="12" spans="1:23" ht="15" customHeight="1" x14ac:dyDescent="0.3">
      <c r="A12" s="6"/>
      <c r="B12" s="88">
        <v>7</v>
      </c>
      <c r="C12" s="85">
        <v>44445</v>
      </c>
      <c r="D12" s="86" t="s">
        <v>18</v>
      </c>
      <c r="E12" s="86" t="s">
        <v>267</v>
      </c>
      <c r="F12" s="86">
        <v>140</v>
      </c>
      <c r="G12" s="86">
        <v>155</v>
      </c>
      <c r="H12" s="87">
        <v>15</v>
      </c>
      <c r="I12" s="86">
        <v>100</v>
      </c>
      <c r="J12" s="21">
        <f t="shared" si="0"/>
        <v>1500</v>
      </c>
      <c r="K12" s="7"/>
      <c r="M12" s="126" t="s">
        <v>20</v>
      </c>
      <c r="N12" s="130"/>
      <c r="O12" s="131"/>
      <c r="P12" s="138">
        <f>R10</f>
        <v>0.81512605042016806</v>
      </c>
      <c r="Q12" s="139"/>
      <c r="R12" s="137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44446</v>
      </c>
      <c r="D13" s="86" t="s">
        <v>18</v>
      </c>
      <c r="E13" s="86" t="s">
        <v>453</v>
      </c>
      <c r="F13" s="86">
        <v>150</v>
      </c>
      <c r="G13" s="86">
        <v>250</v>
      </c>
      <c r="H13" s="87">
        <v>100</v>
      </c>
      <c r="I13" s="86">
        <v>100</v>
      </c>
      <c r="J13" s="21">
        <f t="shared" si="0"/>
        <v>10000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44446</v>
      </c>
      <c r="D14" s="86" t="s">
        <v>18</v>
      </c>
      <c r="E14" s="86" t="s">
        <v>275</v>
      </c>
      <c r="F14" s="86">
        <v>130</v>
      </c>
      <c r="G14" s="86">
        <v>230</v>
      </c>
      <c r="H14" s="87">
        <v>100</v>
      </c>
      <c r="I14" s="86">
        <v>100</v>
      </c>
      <c r="J14" s="21">
        <f t="shared" si="0"/>
        <v>10000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44447</v>
      </c>
      <c r="D15" s="86" t="s">
        <v>18</v>
      </c>
      <c r="E15" s="86" t="s">
        <v>248</v>
      </c>
      <c r="F15" s="86">
        <v>110</v>
      </c>
      <c r="G15" s="86">
        <v>199</v>
      </c>
      <c r="H15" s="87">
        <f>199-110</f>
        <v>89</v>
      </c>
      <c r="I15" s="86">
        <v>100</v>
      </c>
      <c r="J15" s="21">
        <f t="shared" si="0"/>
        <v>8900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18">
        <v>44447</v>
      </c>
      <c r="D16" s="19" t="s">
        <v>18</v>
      </c>
      <c r="E16" s="19" t="s">
        <v>454</v>
      </c>
      <c r="F16" s="35">
        <v>140</v>
      </c>
      <c r="G16" s="35">
        <v>190</v>
      </c>
      <c r="H16" s="35">
        <v>50</v>
      </c>
      <c r="I16" s="20">
        <v>100</v>
      </c>
      <c r="J16" s="21">
        <f t="shared" si="0"/>
        <v>5000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18">
        <v>44448</v>
      </c>
      <c r="D17" s="19" t="s">
        <v>18</v>
      </c>
      <c r="E17" s="19" t="s">
        <v>454</v>
      </c>
      <c r="F17" s="35">
        <v>90</v>
      </c>
      <c r="G17" s="35">
        <v>105</v>
      </c>
      <c r="H17" s="35">
        <v>15</v>
      </c>
      <c r="I17" s="20">
        <v>100</v>
      </c>
      <c r="J17" s="21">
        <f t="shared" si="0"/>
        <v>1500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18">
        <v>44448</v>
      </c>
      <c r="D18" s="19" t="s">
        <v>18</v>
      </c>
      <c r="E18" s="19" t="s">
        <v>454</v>
      </c>
      <c r="F18" s="35">
        <v>70</v>
      </c>
      <c r="G18" s="35">
        <v>84</v>
      </c>
      <c r="H18" s="35">
        <f>84-70</f>
        <v>14</v>
      </c>
      <c r="I18" s="20">
        <v>100</v>
      </c>
      <c r="J18" s="21">
        <f t="shared" si="0"/>
        <v>1400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18">
        <v>44452</v>
      </c>
      <c r="D19" s="19" t="s">
        <v>18</v>
      </c>
      <c r="E19" s="19" t="s">
        <v>455</v>
      </c>
      <c r="F19" s="35">
        <v>140</v>
      </c>
      <c r="G19" s="35">
        <v>166</v>
      </c>
      <c r="H19" s="35">
        <v>26</v>
      </c>
      <c r="I19" s="20">
        <v>100</v>
      </c>
      <c r="J19" s="21">
        <f t="shared" si="0"/>
        <v>2600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18">
        <v>44453</v>
      </c>
      <c r="D20" s="19" t="s">
        <v>18</v>
      </c>
      <c r="E20" s="19" t="s">
        <v>271</v>
      </c>
      <c r="F20" s="35">
        <v>130</v>
      </c>
      <c r="G20" s="35">
        <v>80</v>
      </c>
      <c r="H20" s="78">
        <v>-50</v>
      </c>
      <c r="I20" s="20">
        <v>100</v>
      </c>
      <c r="J20" s="21">
        <f t="shared" si="0"/>
        <v>-5000</v>
      </c>
      <c r="K20" s="7"/>
      <c r="V20" s="5">
        <f t="shared" si="2"/>
        <v>0</v>
      </c>
      <c r="W20" s="5">
        <f t="shared" si="3"/>
        <v>1</v>
      </c>
    </row>
    <row r="21" spans="1:23" x14ac:dyDescent="0.3">
      <c r="A21" s="6"/>
      <c r="B21" s="17">
        <v>16</v>
      </c>
      <c r="C21" s="18">
        <v>44453</v>
      </c>
      <c r="D21" s="19" t="s">
        <v>18</v>
      </c>
      <c r="E21" s="19" t="s">
        <v>456</v>
      </c>
      <c r="F21" s="35">
        <v>110</v>
      </c>
      <c r="G21" s="35">
        <v>60</v>
      </c>
      <c r="H21" s="35">
        <v>-50</v>
      </c>
      <c r="I21" s="20">
        <v>100</v>
      </c>
      <c r="J21" s="21">
        <f t="shared" si="0"/>
        <v>-5000</v>
      </c>
      <c r="K21" s="7"/>
      <c r="O21" s="22"/>
      <c r="P21" s="22"/>
      <c r="Q21" s="22"/>
      <c r="R21" s="22"/>
      <c r="V21" s="5">
        <f t="shared" si="2"/>
        <v>0</v>
      </c>
      <c r="W21" s="5">
        <f t="shared" si="3"/>
        <v>1</v>
      </c>
    </row>
    <row r="22" spans="1:23" x14ac:dyDescent="0.3">
      <c r="A22" s="6"/>
      <c r="B22" s="88">
        <v>17</v>
      </c>
      <c r="C22" s="18">
        <v>44454</v>
      </c>
      <c r="D22" s="19" t="s">
        <v>18</v>
      </c>
      <c r="E22" s="19" t="s">
        <v>248</v>
      </c>
      <c r="F22" s="35">
        <v>100</v>
      </c>
      <c r="G22" s="35">
        <v>200</v>
      </c>
      <c r="H22" s="35">
        <v>100</v>
      </c>
      <c r="I22" s="20">
        <v>100</v>
      </c>
      <c r="J22" s="21">
        <f t="shared" si="0"/>
        <v>10000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44454</v>
      </c>
      <c r="D23" s="19" t="s">
        <v>18</v>
      </c>
      <c r="E23" s="19" t="s">
        <v>242</v>
      </c>
      <c r="F23" s="35">
        <v>100</v>
      </c>
      <c r="G23" s="35">
        <v>197</v>
      </c>
      <c r="H23" s="35">
        <v>97</v>
      </c>
      <c r="I23" s="20">
        <v>100</v>
      </c>
      <c r="J23" s="21">
        <f t="shared" si="0"/>
        <v>9700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44455</v>
      </c>
      <c r="D24" s="19" t="s">
        <v>18</v>
      </c>
      <c r="E24" s="19" t="s">
        <v>261</v>
      </c>
      <c r="F24" s="35">
        <v>60</v>
      </c>
      <c r="G24" s="35">
        <v>140</v>
      </c>
      <c r="H24" s="35">
        <v>80</v>
      </c>
      <c r="I24" s="20">
        <v>100</v>
      </c>
      <c r="J24" s="21">
        <f t="shared" si="0"/>
        <v>8000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44455</v>
      </c>
      <c r="D25" s="19" t="s">
        <v>18</v>
      </c>
      <c r="E25" s="19" t="s">
        <v>451</v>
      </c>
      <c r="F25" s="35">
        <v>80</v>
      </c>
      <c r="G25" s="35">
        <v>180</v>
      </c>
      <c r="H25" s="35">
        <v>100</v>
      </c>
      <c r="I25" s="20">
        <v>100</v>
      </c>
      <c r="J25" s="21">
        <f t="shared" si="0"/>
        <v>10000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44456</v>
      </c>
      <c r="D26" s="19" t="s">
        <v>18</v>
      </c>
      <c r="E26" s="19" t="s">
        <v>457</v>
      </c>
      <c r="F26" s="35">
        <v>150</v>
      </c>
      <c r="G26" s="35">
        <v>200</v>
      </c>
      <c r="H26" s="35">
        <v>50</v>
      </c>
      <c r="I26" s="20">
        <v>100</v>
      </c>
      <c r="J26" s="21">
        <f t="shared" si="0"/>
        <v>5000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44456</v>
      </c>
      <c r="D27" s="19" t="s">
        <v>18</v>
      </c>
      <c r="E27" s="19" t="s">
        <v>458</v>
      </c>
      <c r="F27" s="35">
        <v>150</v>
      </c>
      <c r="G27" s="35">
        <v>215</v>
      </c>
      <c r="H27" s="19">
        <f>215-150</f>
        <v>65</v>
      </c>
      <c r="I27" s="20">
        <v>100</v>
      </c>
      <c r="J27" s="21">
        <f t="shared" si="0"/>
        <v>6500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44459</v>
      </c>
      <c r="D28" s="19" t="s">
        <v>18</v>
      </c>
      <c r="E28" s="19" t="s">
        <v>459</v>
      </c>
      <c r="F28" s="35">
        <v>130</v>
      </c>
      <c r="G28" s="35">
        <v>230</v>
      </c>
      <c r="H28" s="19">
        <v>100</v>
      </c>
      <c r="I28" s="20">
        <v>100</v>
      </c>
      <c r="J28" s="21">
        <f t="shared" si="0"/>
        <v>10000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44459</v>
      </c>
      <c r="D29" s="19" t="s">
        <v>18</v>
      </c>
      <c r="E29" s="19" t="s">
        <v>459</v>
      </c>
      <c r="F29" s="20">
        <v>130</v>
      </c>
      <c r="G29" s="20">
        <v>162</v>
      </c>
      <c r="H29" s="19">
        <v>32</v>
      </c>
      <c r="I29" s="20">
        <v>100</v>
      </c>
      <c r="J29" s="21">
        <f t="shared" si="0"/>
        <v>3200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44460</v>
      </c>
      <c r="D30" s="25" t="s">
        <v>18</v>
      </c>
      <c r="E30" s="25" t="s">
        <v>460</v>
      </c>
      <c r="F30" s="26">
        <v>120</v>
      </c>
      <c r="G30" s="61">
        <v>205</v>
      </c>
      <c r="H30" s="61">
        <f>205-120</f>
        <v>85</v>
      </c>
      <c r="I30" s="26">
        <v>100</v>
      </c>
      <c r="J30" s="21">
        <f t="shared" si="0"/>
        <v>8500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44460</v>
      </c>
      <c r="D31" s="25" t="s">
        <v>18</v>
      </c>
      <c r="E31" s="25" t="s">
        <v>453</v>
      </c>
      <c r="F31" s="26">
        <v>130</v>
      </c>
      <c r="G31" s="61">
        <v>180</v>
      </c>
      <c r="H31" s="61">
        <v>50</v>
      </c>
      <c r="I31" s="26">
        <v>100</v>
      </c>
      <c r="J31" s="21">
        <f t="shared" si="0"/>
        <v>5000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44461</v>
      </c>
      <c r="D32" s="25" t="s">
        <v>18</v>
      </c>
      <c r="E32" s="25" t="s">
        <v>266</v>
      </c>
      <c r="F32" s="26">
        <v>130</v>
      </c>
      <c r="G32" s="61">
        <v>80</v>
      </c>
      <c r="H32" s="61">
        <v>-50</v>
      </c>
      <c r="I32" s="26">
        <v>100</v>
      </c>
      <c r="J32" s="21">
        <f t="shared" si="0"/>
        <v>-5000</v>
      </c>
      <c r="K32" s="7"/>
      <c r="V32" s="5">
        <f t="shared" si="2"/>
        <v>0</v>
      </c>
      <c r="W32" s="5">
        <f t="shared" si="3"/>
        <v>1</v>
      </c>
    </row>
    <row r="33" spans="1:23" x14ac:dyDescent="0.3">
      <c r="A33" s="6"/>
      <c r="B33" s="17">
        <v>28</v>
      </c>
      <c r="C33" s="24">
        <v>44462</v>
      </c>
      <c r="D33" s="25" t="s">
        <v>18</v>
      </c>
      <c r="E33" s="25" t="s">
        <v>266</v>
      </c>
      <c r="F33" s="26">
        <v>100</v>
      </c>
      <c r="G33" s="61">
        <v>200</v>
      </c>
      <c r="H33" s="61">
        <v>100</v>
      </c>
      <c r="I33" s="26">
        <v>100</v>
      </c>
      <c r="J33" s="21">
        <f t="shared" si="0"/>
        <v>10000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44462</v>
      </c>
      <c r="D34" s="25" t="s">
        <v>18</v>
      </c>
      <c r="E34" s="25" t="s">
        <v>452</v>
      </c>
      <c r="F34" s="26">
        <v>120</v>
      </c>
      <c r="G34" s="61">
        <v>70</v>
      </c>
      <c r="H34" s="61">
        <v>-50</v>
      </c>
      <c r="I34" s="26">
        <v>100</v>
      </c>
      <c r="J34" s="21">
        <f t="shared" si="0"/>
        <v>-5000</v>
      </c>
      <c r="K34" s="7"/>
      <c r="V34" s="5">
        <f t="shared" si="2"/>
        <v>0</v>
      </c>
      <c r="W34" s="5">
        <f t="shared" si="3"/>
        <v>1</v>
      </c>
    </row>
    <row r="35" spans="1:23" x14ac:dyDescent="0.3">
      <c r="A35" s="6"/>
      <c r="B35" s="17">
        <v>30</v>
      </c>
      <c r="C35" s="24">
        <v>44463</v>
      </c>
      <c r="D35" s="25" t="s">
        <v>18</v>
      </c>
      <c r="E35" s="25" t="s">
        <v>458</v>
      </c>
      <c r="F35" s="26">
        <v>150</v>
      </c>
      <c r="G35" s="61">
        <v>170</v>
      </c>
      <c r="H35" s="61">
        <v>20</v>
      </c>
      <c r="I35" s="26">
        <v>100</v>
      </c>
      <c r="J35" s="21">
        <f t="shared" si="0"/>
        <v>2000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44463</v>
      </c>
      <c r="D36" s="25" t="s">
        <v>18</v>
      </c>
      <c r="E36" s="25" t="s">
        <v>461</v>
      </c>
      <c r="F36" s="26">
        <v>140</v>
      </c>
      <c r="G36" s="61">
        <v>90</v>
      </c>
      <c r="H36" s="61">
        <v>-50</v>
      </c>
      <c r="I36" s="26">
        <v>100</v>
      </c>
      <c r="J36" s="21">
        <f t="shared" si="0"/>
        <v>-5000</v>
      </c>
      <c r="K36" s="7"/>
      <c r="V36" s="5">
        <f t="shared" si="2"/>
        <v>0</v>
      </c>
      <c r="W36" s="5">
        <f t="shared" si="3"/>
        <v>1</v>
      </c>
    </row>
    <row r="37" spans="1:23" x14ac:dyDescent="0.3">
      <c r="A37" s="6"/>
      <c r="B37" s="17">
        <v>32</v>
      </c>
      <c r="C37" s="24">
        <v>44466</v>
      </c>
      <c r="D37" s="25" t="s">
        <v>18</v>
      </c>
      <c r="E37" s="25" t="s">
        <v>462</v>
      </c>
      <c r="F37" s="26">
        <v>150</v>
      </c>
      <c r="G37" s="61">
        <v>175</v>
      </c>
      <c r="H37" s="61">
        <v>25</v>
      </c>
      <c r="I37" s="26">
        <v>100</v>
      </c>
      <c r="J37" s="21">
        <f t="shared" si="0"/>
        <v>2500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44466</v>
      </c>
      <c r="D38" s="25" t="s">
        <v>18</v>
      </c>
      <c r="E38" s="25" t="s">
        <v>463</v>
      </c>
      <c r="F38" s="26">
        <v>140</v>
      </c>
      <c r="G38" s="61">
        <v>90</v>
      </c>
      <c r="H38" s="61">
        <v>-50</v>
      </c>
      <c r="I38" s="26">
        <v>100</v>
      </c>
      <c r="J38" s="21">
        <f t="shared" si="0"/>
        <v>-5000</v>
      </c>
      <c r="K38" s="7"/>
      <c r="V38" s="5">
        <f t="shared" si="2"/>
        <v>0</v>
      </c>
      <c r="W38" s="5">
        <f t="shared" si="3"/>
        <v>1</v>
      </c>
    </row>
    <row r="39" spans="1:23" x14ac:dyDescent="0.3">
      <c r="A39" s="6"/>
      <c r="B39" s="17">
        <v>34</v>
      </c>
      <c r="C39" s="24">
        <v>44467</v>
      </c>
      <c r="D39" s="25" t="s">
        <v>18</v>
      </c>
      <c r="E39" s="25" t="s">
        <v>464</v>
      </c>
      <c r="F39" s="26">
        <v>130</v>
      </c>
      <c r="G39" s="61">
        <v>230</v>
      </c>
      <c r="H39" s="61">
        <v>100</v>
      </c>
      <c r="I39" s="26">
        <v>100</v>
      </c>
      <c r="J39" s="21">
        <f t="shared" si="0"/>
        <v>10000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44467</v>
      </c>
      <c r="D40" s="25" t="s">
        <v>18</v>
      </c>
      <c r="E40" s="25" t="s">
        <v>464</v>
      </c>
      <c r="F40" s="26">
        <v>150</v>
      </c>
      <c r="G40" s="61">
        <v>250</v>
      </c>
      <c r="H40" s="61">
        <v>100</v>
      </c>
      <c r="I40" s="26">
        <v>100</v>
      </c>
      <c r="J40" s="21">
        <f t="shared" si="0"/>
        <v>10000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24">
        <v>44468</v>
      </c>
      <c r="D41" s="25" t="s">
        <v>18</v>
      </c>
      <c r="E41" s="25" t="s">
        <v>459</v>
      </c>
      <c r="F41" s="26">
        <v>140</v>
      </c>
      <c r="G41" s="61">
        <v>179</v>
      </c>
      <c r="H41" s="61">
        <v>39</v>
      </c>
      <c r="I41" s="26">
        <v>100</v>
      </c>
      <c r="J41" s="21">
        <f t="shared" si="0"/>
        <v>3900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24">
        <v>44468</v>
      </c>
      <c r="D42" s="25" t="s">
        <v>18</v>
      </c>
      <c r="E42" s="25" t="s">
        <v>459</v>
      </c>
      <c r="F42" s="26">
        <v>140</v>
      </c>
      <c r="G42" s="61">
        <v>177</v>
      </c>
      <c r="H42" s="61">
        <v>37</v>
      </c>
      <c r="I42" s="26">
        <v>100</v>
      </c>
      <c r="J42" s="21">
        <f t="shared" si="0"/>
        <v>3700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17">
        <v>38</v>
      </c>
      <c r="C43" s="24">
        <v>44469</v>
      </c>
      <c r="D43" s="25" t="s">
        <v>18</v>
      </c>
      <c r="E43" s="25" t="s">
        <v>464</v>
      </c>
      <c r="F43" s="26">
        <v>120</v>
      </c>
      <c r="G43" s="61">
        <v>154</v>
      </c>
      <c r="H43" s="61">
        <v>34</v>
      </c>
      <c r="I43" s="26">
        <v>100</v>
      </c>
      <c r="J43" s="21">
        <f t="shared" si="0"/>
        <v>3400</v>
      </c>
      <c r="K43" s="7"/>
      <c r="V43" s="5">
        <f t="shared" si="2"/>
        <v>1</v>
      </c>
      <c r="W43" s="5">
        <f t="shared" si="3"/>
        <v>0</v>
      </c>
    </row>
    <row r="44" spans="1:23" x14ac:dyDescent="0.3">
      <c r="A44" s="6"/>
      <c r="B44" s="17">
        <v>39</v>
      </c>
      <c r="C44" s="24">
        <v>44469</v>
      </c>
      <c r="D44" s="25" t="s">
        <v>18</v>
      </c>
      <c r="E44" s="25" t="s">
        <v>465</v>
      </c>
      <c r="F44" s="26">
        <v>100</v>
      </c>
      <c r="G44" s="61">
        <v>150</v>
      </c>
      <c r="H44" s="61">
        <v>50</v>
      </c>
      <c r="I44" s="26">
        <v>100</v>
      </c>
      <c r="J44" s="21">
        <f t="shared" si="0"/>
        <v>5000</v>
      </c>
      <c r="K44" s="7"/>
      <c r="V44" s="5">
        <f t="shared" si="2"/>
        <v>1</v>
      </c>
      <c r="W44" s="5">
        <f t="shared" si="3"/>
        <v>0</v>
      </c>
    </row>
    <row r="45" spans="1:23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ht="15" thickBot="1" x14ac:dyDescent="0.35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ht="15" hidden="1" thickBot="1" x14ac:dyDescent="0.35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ht="15" hidden="1" thickBot="1" x14ac:dyDescent="0.35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ht="15" hidden="1" thickBot="1" x14ac:dyDescent="0.35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ht="15" hidden="1" thickBot="1" x14ac:dyDescent="0.35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t="15" hidden="1" thickBot="1" x14ac:dyDescent="0.35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t="15" hidden="1" thickBot="1" x14ac:dyDescent="0.35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t="15" hidden="1" thickBot="1" x14ac:dyDescent="0.35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t="15" hidden="1" thickBot="1" x14ac:dyDescent="0.35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t="15" hidden="1" thickBot="1" x14ac:dyDescent="0.35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t="15" hidden="1" thickBot="1" x14ac:dyDescent="0.35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t="15" hidden="1" thickBot="1" x14ac:dyDescent="0.35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hidden="1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150800</v>
      </c>
      <c r="K59" s="7"/>
      <c r="V59" s="5">
        <f>SUM(V6:V58)</f>
        <v>31</v>
      </c>
      <c r="W59" s="5">
        <f>SUM(W6:W58)</f>
        <v>8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449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44440</v>
      </c>
      <c r="D67" s="67" t="s">
        <v>18</v>
      </c>
      <c r="E67" s="67" t="s">
        <v>487</v>
      </c>
      <c r="F67" s="68">
        <v>1530</v>
      </c>
      <c r="G67" s="68">
        <v>1539</v>
      </c>
      <c r="H67" s="97">
        <v>9</v>
      </c>
      <c r="I67" s="68">
        <v>750</v>
      </c>
      <c r="J67" s="92">
        <f>H67*I67</f>
        <v>6750</v>
      </c>
      <c r="K67" s="7"/>
      <c r="V67" s="5">
        <f t="shared" ref="V67:V124" si="5">IF($J67&gt;0,1,0)</f>
        <v>1</v>
      </c>
      <c r="W67" s="5">
        <f t="shared" ref="W67:W124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44440</v>
      </c>
      <c r="D68" s="67" t="s">
        <v>18</v>
      </c>
      <c r="E68" s="67" t="s">
        <v>93</v>
      </c>
      <c r="F68" s="68">
        <v>1590</v>
      </c>
      <c r="G68" s="97">
        <v>1598</v>
      </c>
      <c r="H68" s="97">
        <v>8</v>
      </c>
      <c r="I68" s="20">
        <v>550</v>
      </c>
      <c r="J68" s="21">
        <f>H68*I68</f>
        <v>4400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4" si="7">B68+1</f>
        <v>3</v>
      </c>
      <c r="C69" s="18">
        <v>44441</v>
      </c>
      <c r="D69" s="19" t="s">
        <v>18</v>
      </c>
      <c r="E69" s="19" t="s">
        <v>447</v>
      </c>
      <c r="F69" s="35">
        <v>941</v>
      </c>
      <c r="G69" s="97">
        <v>950</v>
      </c>
      <c r="H69" s="35">
        <v>9</v>
      </c>
      <c r="I69" s="20">
        <v>650</v>
      </c>
      <c r="J69" s="21">
        <f>H69*I69</f>
        <v>5850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44441</v>
      </c>
      <c r="D70" s="19" t="s">
        <v>18</v>
      </c>
      <c r="E70" s="19" t="s">
        <v>398</v>
      </c>
      <c r="F70" s="35">
        <v>1595</v>
      </c>
      <c r="G70" s="97">
        <v>1580</v>
      </c>
      <c r="H70" s="35">
        <v>-15</v>
      </c>
      <c r="I70" s="20">
        <v>700</v>
      </c>
      <c r="J70" s="21">
        <f>H70*I70</f>
        <v>-10500</v>
      </c>
      <c r="K70" s="7"/>
      <c r="V70" s="5">
        <f t="shared" si="5"/>
        <v>0</v>
      </c>
      <c r="W70" s="5">
        <f t="shared" si="6"/>
        <v>1</v>
      </c>
    </row>
    <row r="71" spans="1:23" s="36" customFormat="1" x14ac:dyDescent="0.3">
      <c r="A71" s="6"/>
      <c r="B71" s="17">
        <f t="shared" si="7"/>
        <v>5</v>
      </c>
      <c r="C71" s="18">
        <v>44442</v>
      </c>
      <c r="D71" s="19" t="s">
        <v>18</v>
      </c>
      <c r="E71" s="19" t="s">
        <v>128</v>
      </c>
      <c r="F71" s="35">
        <v>2770</v>
      </c>
      <c r="G71" s="97">
        <v>2810</v>
      </c>
      <c r="H71" s="35">
        <f>2810-2770</f>
        <v>40</v>
      </c>
      <c r="I71" s="20">
        <v>300</v>
      </c>
      <c r="J71" s="21">
        <f>H71*I71</f>
        <v>12000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44442</v>
      </c>
      <c r="D72" s="19" t="s">
        <v>18</v>
      </c>
      <c r="E72" s="19" t="s">
        <v>167</v>
      </c>
      <c r="F72" s="20">
        <v>774</v>
      </c>
      <c r="G72" s="97">
        <v>777</v>
      </c>
      <c r="H72" s="35">
        <v>3</v>
      </c>
      <c r="I72" s="20">
        <v>1250</v>
      </c>
      <c r="J72" s="21">
        <f t="shared" ref="J72:J124" si="8">I72*H72</f>
        <v>3750</v>
      </c>
      <c r="K72" s="7"/>
      <c r="V72" s="5">
        <f t="shared" si="5"/>
        <v>1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>
        <v>44445</v>
      </c>
      <c r="D73" s="19" t="s">
        <v>18</v>
      </c>
      <c r="E73" s="19" t="s">
        <v>488</v>
      </c>
      <c r="F73" s="35">
        <v>1385</v>
      </c>
      <c r="G73" s="97">
        <v>1392</v>
      </c>
      <c r="H73" s="35">
        <v>7</v>
      </c>
      <c r="I73" s="20">
        <v>407</v>
      </c>
      <c r="J73" s="21">
        <f t="shared" si="8"/>
        <v>2849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44445</v>
      </c>
      <c r="D74" s="19" t="s">
        <v>69</v>
      </c>
      <c r="E74" s="19" t="s">
        <v>75</v>
      </c>
      <c r="F74" s="35">
        <v>723</v>
      </c>
      <c r="G74" s="97">
        <v>729</v>
      </c>
      <c r="H74" s="35">
        <v>6</v>
      </c>
      <c r="I74" s="20">
        <v>1375</v>
      </c>
      <c r="J74" s="21">
        <f t="shared" si="8"/>
        <v>8250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44446</v>
      </c>
      <c r="D75" s="19" t="s">
        <v>18</v>
      </c>
      <c r="E75" s="19" t="s">
        <v>71</v>
      </c>
      <c r="F75" s="35">
        <v>2450</v>
      </c>
      <c r="G75" s="97">
        <v>2430</v>
      </c>
      <c r="H75" s="35">
        <v>-20</v>
      </c>
      <c r="I75" s="20">
        <v>250</v>
      </c>
      <c r="J75" s="21">
        <f t="shared" si="8"/>
        <v>-5000</v>
      </c>
      <c r="K75" s="7"/>
      <c r="V75" s="5">
        <f t="shared" si="5"/>
        <v>0</v>
      </c>
      <c r="W75" s="5">
        <f t="shared" si="6"/>
        <v>1</v>
      </c>
    </row>
    <row r="76" spans="1:23" s="36" customFormat="1" x14ac:dyDescent="0.3">
      <c r="A76" s="6"/>
      <c r="B76" s="17">
        <f t="shared" si="7"/>
        <v>10</v>
      </c>
      <c r="C76" s="18">
        <v>44446</v>
      </c>
      <c r="D76" s="19" t="s">
        <v>18</v>
      </c>
      <c r="E76" s="19" t="s">
        <v>489</v>
      </c>
      <c r="F76" s="35">
        <v>3150</v>
      </c>
      <c r="G76" s="97">
        <v>3162</v>
      </c>
      <c r="H76" s="35">
        <v>12</v>
      </c>
      <c r="I76" s="20">
        <v>325</v>
      </c>
      <c r="J76" s="21">
        <f t="shared" si="8"/>
        <v>3900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>
        <v>44447</v>
      </c>
      <c r="D77" s="19" t="s">
        <v>18</v>
      </c>
      <c r="E77" s="19" t="s">
        <v>490</v>
      </c>
      <c r="F77" s="19">
        <v>766</v>
      </c>
      <c r="G77" s="97">
        <v>772</v>
      </c>
      <c r="H77" s="35">
        <f>772-766</f>
        <v>6</v>
      </c>
      <c r="I77" s="20">
        <v>1300</v>
      </c>
      <c r="J77" s="21">
        <f t="shared" si="8"/>
        <v>7800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>
        <v>44447</v>
      </c>
      <c r="D78" s="19" t="s">
        <v>18</v>
      </c>
      <c r="E78" s="19" t="s">
        <v>488</v>
      </c>
      <c r="F78" s="35">
        <v>1375</v>
      </c>
      <c r="G78" s="97">
        <v>1390</v>
      </c>
      <c r="H78" s="35">
        <v>15</v>
      </c>
      <c r="I78" s="20">
        <v>407</v>
      </c>
      <c r="J78" s="21">
        <f t="shared" si="8"/>
        <v>6105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44448</v>
      </c>
      <c r="D79" s="19" t="s">
        <v>18</v>
      </c>
      <c r="E79" s="19" t="s">
        <v>118</v>
      </c>
      <c r="F79" s="35">
        <v>570</v>
      </c>
      <c r="G79" s="97">
        <v>573</v>
      </c>
      <c r="H79" s="35">
        <v>3</v>
      </c>
      <c r="I79" s="20">
        <v>1375</v>
      </c>
      <c r="J79" s="21">
        <f t="shared" si="8"/>
        <v>4125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44448</v>
      </c>
      <c r="D80" s="19" t="s">
        <v>18</v>
      </c>
      <c r="E80" s="19" t="s">
        <v>491</v>
      </c>
      <c r="F80" s="77">
        <v>607</v>
      </c>
      <c r="G80" s="97">
        <v>609.70000000000005</v>
      </c>
      <c r="H80" s="78">
        <v>2.7</v>
      </c>
      <c r="I80" s="20">
        <v>1250</v>
      </c>
      <c r="J80" s="21">
        <f t="shared" si="8"/>
        <v>3375</v>
      </c>
      <c r="K80" s="7"/>
      <c r="V80" s="5">
        <f t="shared" si="5"/>
        <v>1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>
        <v>44452</v>
      </c>
      <c r="D81" s="19" t="s">
        <v>69</v>
      </c>
      <c r="E81" s="19" t="s">
        <v>376</v>
      </c>
      <c r="F81" s="35">
        <v>1810</v>
      </c>
      <c r="G81" s="97">
        <v>1800</v>
      </c>
      <c r="H81" s="78">
        <v>10</v>
      </c>
      <c r="I81" s="20">
        <v>400</v>
      </c>
      <c r="J81" s="21">
        <f t="shared" si="8"/>
        <v>4000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>
        <v>44452</v>
      </c>
      <c r="D82" s="19" t="s">
        <v>18</v>
      </c>
      <c r="E82" s="19" t="s">
        <v>492</v>
      </c>
      <c r="F82" s="35">
        <v>2620</v>
      </c>
      <c r="G82" s="97">
        <v>2590</v>
      </c>
      <c r="H82" s="78">
        <v>-20</v>
      </c>
      <c r="I82" s="20">
        <v>225</v>
      </c>
      <c r="J82" s="21">
        <f t="shared" si="8"/>
        <v>-4500</v>
      </c>
      <c r="K82" s="7"/>
      <c r="V82" s="5">
        <f t="shared" si="5"/>
        <v>0</v>
      </c>
      <c r="W82" s="5">
        <f t="shared" si="6"/>
        <v>1</v>
      </c>
    </row>
    <row r="83" spans="1:23" s="36" customFormat="1" x14ac:dyDescent="0.3">
      <c r="A83" s="6"/>
      <c r="B83" s="17">
        <f t="shared" si="7"/>
        <v>17</v>
      </c>
      <c r="C83" s="18">
        <v>44453</v>
      </c>
      <c r="D83" s="19" t="s">
        <v>18</v>
      </c>
      <c r="E83" s="19" t="s">
        <v>493</v>
      </c>
      <c r="F83" s="35">
        <v>498</v>
      </c>
      <c r="G83" s="97">
        <v>508</v>
      </c>
      <c r="H83" s="35">
        <f>508-498</f>
        <v>10</v>
      </c>
      <c r="I83" s="20">
        <v>1500</v>
      </c>
      <c r="J83" s="21">
        <f t="shared" si="8"/>
        <v>15000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>
        <v>44453</v>
      </c>
      <c r="D84" s="19" t="s">
        <v>18</v>
      </c>
      <c r="E84" s="19" t="s">
        <v>494</v>
      </c>
      <c r="F84" s="35">
        <v>557</v>
      </c>
      <c r="G84" s="97">
        <v>561</v>
      </c>
      <c r="H84" s="35">
        <v>4</v>
      </c>
      <c r="I84" s="20">
        <v>2200</v>
      </c>
      <c r="J84" s="21">
        <f t="shared" si="8"/>
        <v>8800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>
        <v>44454</v>
      </c>
      <c r="D85" s="19" t="s">
        <v>18</v>
      </c>
      <c r="E85" s="19" t="s">
        <v>75</v>
      </c>
      <c r="F85" s="35">
        <v>710</v>
      </c>
      <c r="G85" s="97">
        <v>716</v>
      </c>
      <c r="H85" s="35">
        <v>6</v>
      </c>
      <c r="I85" s="20">
        <v>1375</v>
      </c>
      <c r="J85" s="21">
        <f t="shared" si="8"/>
        <v>8250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>
        <v>44454</v>
      </c>
      <c r="D86" s="19" t="s">
        <v>18</v>
      </c>
      <c r="E86" s="19" t="s">
        <v>490</v>
      </c>
      <c r="F86" s="35">
        <v>760</v>
      </c>
      <c r="G86" s="97">
        <v>765</v>
      </c>
      <c r="H86" s="35">
        <v>5</v>
      </c>
      <c r="I86" s="20">
        <v>1300</v>
      </c>
      <c r="J86" s="21">
        <f t="shared" si="8"/>
        <v>6500</v>
      </c>
      <c r="K86" s="7"/>
      <c r="V86" s="5">
        <f t="shared" si="5"/>
        <v>1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>
        <v>44455</v>
      </c>
      <c r="D87" s="19" t="s">
        <v>18</v>
      </c>
      <c r="E87" s="19" t="s">
        <v>495</v>
      </c>
      <c r="F87" s="35">
        <v>950</v>
      </c>
      <c r="G87" s="97">
        <v>957</v>
      </c>
      <c r="H87" s="35">
        <v>7</v>
      </c>
      <c r="I87" s="20">
        <v>850</v>
      </c>
      <c r="J87" s="21">
        <f t="shared" si="8"/>
        <v>5950</v>
      </c>
      <c r="K87" s="7"/>
      <c r="V87" s="5">
        <f t="shared" si="5"/>
        <v>1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>
        <v>44455</v>
      </c>
      <c r="D88" s="19" t="s">
        <v>18</v>
      </c>
      <c r="E88" s="19" t="s">
        <v>87</v>
      </c>
      <c r="F88" s="35">
        <v>1100</v>
      </c>
      <c r="G88" s="97">
        <v>1120</v>
      </c>
      <c r="H88" s="35">
        <v>20</v>
      </c>
      <c r="I88" s="20">
        <v>900</v>
      </c>
      <c r="J88" s="21">
        <f t="shared" si="8"/>
        <v>18000</v>
      </c>
      <c r="K88" s="7"/>
      <c r="V88" s="5">
        <f t="shared" si="5"/>
        <v>1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>
        <v>44456</v>
      </c>
      <c r="D89" s="19" t="s">
        <v>18</v>
      </c>
      <c r="E89" s="19" t="s">
        <v>390</v>
      </c>
      <c r="F89" s="35">
        <v>4910</v>
      </c>
      <c r="G89" s="97">
        <v>4943</v>
      </c>
      <c r="H89" s="35">
        <f>4943-4910</f>
        <v>33</v>
      </c>
      <c r="I89" s="20">
        <v>250</v>
      </c>
      <c r="J89" s="21">
        <f t="shared" si="8"/>
        <v>8250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>
        <v>44456</v>
      </c>
      <c r="D90" s="19" t="s">
        <v>18</v>
      </c>
      <c r="E90" s="19" t="s">
        <v>181</v>
      </c>
      <c r="F90" s="35">
        <v>2100</v>
      </c>
      <c r="G90" s="97">
        <v>2140</v>
      </c>
      <c r="H90" s="35">
        <v>40</v>
      </c>
      <c r="I90" s="20">
        <v>500</v>
      </c>
      <c r="J90" s="21">
        <f t="shared" si="8"/>
        <v>20000</v>
      </c>
      <c r="K90" s="7"/>
      <c r="V90" s="5">
        <f t="shared" si="5"/>
        <v>1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>
        <v>44459</v>
      </c>
      <c r="D91" s="19" t="s">
        <v>18</v>
      </c>
      <c r="E91" s="19" t="s">
        <v>488</v>
      </c>
      <c r="F91" s="35">
        <v>1475</v>
      </c>
      <c r="G91" s="97">
        <v>1460</v>
      </c>
      <c r="H91" s="35">
        <v>-15</v>
      </c>
      <c r="I91" s="20">
        <v>407</v>
      </c>
      <c r="J91" s="21">
        <f t="shared" si="8"/>
        <v>-6105</v>
      </c>
      <c r="K91" s="7"/>
      <c r="V91" s="5">
        <f t="shared" si="5"/>
        <v>0</v>
      </c>
      <c r="W91" s="5">
        <f t="shared" si="6"/>
        <v>1</v>
      </c>
    </row>
    <row r="92" spans="1:23" s="36" customFormat="1" x14ac:dyDescent="0.3">
      <c r="A92" s="6"/>
      <c r="B92" s="17">
        <f t="shared" si="7"/>
        <v>26</v>
      </c>
      <c r="C92" s="18">
        <v>44459</v>
      </c>
      <c r="D92" s="19" t="s">
        <v>18</v>
      </c>
      <c r="E92" s="19" t="s">
        <v>496</v>
      </c>
      <c r="F92" s="35">
        <v>2600</v>
      </c>
      <c r="G92" s="97">
        <v>2625</v>
      </c>
      <c r="H92" s="35">
        <v>25</v>
      </c>
      <c r="I92" s="20">
        <v>300</v>
      </c>
      <c r="J92" s="21">
        <f t="shared" si="8"/>
        <v>7500</v>
      </c>
      <c r="K92" s="7"/>
      <c r="V92" s="5">
        <f t="shared" si="5"/>
        <v>1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>
        <v>44460</v>
      </c>
      <c r="D93" s="19" t="s">
        <v>18</v>
      </c>
      <c r="E93" s="19" t="s">
        <v>301</v>
      </c>
      <c r="F93" s="35">
        <v>734</v>
      </c>
      <c r="G93" s="97">
        <v>728</v>
      </c>
      <c r="H93" s="35">
        <v>-6</v>
      </c>
      <c r="I93" s="20">
        <v>1100</v>
      </c>
      <c r="J93" s="21">
        <f t="shared" si="8"/>
        <v>-6600</v>
      </c>
      <c r="K93" s="7"/>
      <c r="V93" s="5">
        <f t="shared" si="5"/>
        <v>0</v>
      </c>
      <c r="W93" s="5">
        <f t="shared" si="6"/>
        <v>1</v>
      </c>
    </row>
    <row r="94" spans="1:23" s="36" customFormat="1" x14ac:dyDescent="0.3">
      <c r="A94" s="6"/>
      <c r="B94" s="17">
        <f t="shared" si="7"/>
        <v>28</v>
      </c>
      <c r="C94" s="18">
        <v>44460</v>
      </c>
      <c r="D94" s="19" t="s">
        <v>18</v>
      </c>
      <c r="E94" s="19" t="s">
        <v>497</v>
      </c>
      <c r="F94" s="35">
        <v>6830</v>
      </c>
      <c r="G94" s="97">
        <v>6760</v>
      </c>
      <c r="H94" s="35">
        <f>6830-6760</f>
        <v>70</v>
      </c>
      <c r="I94" s="20">
        <v>100</v>
      </c>
      <c r="J94" s="21">
        <f t="shared" si="8"/>
        <v>7000</v>
      </c>
      <c r="K94" s="7"/>
      <c r="V94" s="5">
        <f t="shared" si="5"/>
        <v>1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>
        <v>44461</v>
      </c>
      <c r="D95" s="19" t="s">
        <v>18</v>
      </c>
      <c r="E95" s="19" t="s">
        <v>166</v>
      </c>
      <c r="F95" s="35">
        <v>1315</v>
      </c>
      <c r="G95" s="97">
        <v>1327</v>
      </c>
      <c r="H95" s="35">
        <v>12</v>
      </c>
      <c r="I95" s="20">
        <v>700</v>
      </c>
      <c r="J95" s="21">
        <f t="shared" si="8"/>
        <v>8400</v>
      </c>
      <c r="K95" s="7"/>
      <c r="V95" s="5">
        <f t="shared" si="5"/>
        <v>1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>
        <v>44461</v>
      </c>
      <c r="D96" s="19" t="s">
        <v>18</v>
      </c>
      <c r="E96" s="19" t="s">
        <v>294</v>
      </c>
      <c r="F96" s="35">
        <v>1788</v>
      </c>
      <c r="G96" s="97">
        <v>1794</v>
      </c>
      <c r="H96" s="35">
        <f>1794-1788</f>
        <v>6</v>
      </c>
      <c r="I96" s="20">
        <v>550</v>
      </c>
      <c r="J96" s="21">
        <f t="shared" si="8"/>
        <v>3300</v>
      </c>
      <c r="K96" s="7"/>
      <c r="V96" s="5">
        <f t="shared" si="5"/>
        <v>1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>
        <v>44462</v>
      </c>
      <c r="D97" s="19" t="s">
        <v>18</v>
      </c>
      <c r="E97" s="19" t="s">
        <v>254</v>
      </c>
      <c r="F97" s="35">
        <v>398</v>
      </c>
      <c r="G97" s="97">
        <v>402</v>
      </c>
      <c r="H97" s="35">
        <f>402-398</f>
        <v>4</v>
      </c>
      <c r="I97" s="20">
        <v>3300</v>
      </c>
      <c r="J97" s="21">
        <f t="shared" si="8"/>
        <v>13200</v>
      </c>
      <c r="K97" s="7"/>
      <c r="V97" s="5">
        <f t="shared" si="5"/>
        <v>1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>
        <v>44462</v>
      </c>
      <c r="D98" s="19" t="s">
        <v>18</v>
      </c>
      <c r="E98" s="19" t="s">
        <v>142</v>
      </c>
      <c r="F98" s="35">
        <v>1360</v>
      </c>
      <c r="G98" s="97">
        <v>1386</v>
      </c>
      <c r="H98" s="35">
        <f>1386-1360</f>
        <v>26</v>
      </c>
      <c r="I98" s="20">
        <v>400</v>
      </c>
      <c r="J98" s="21">
        <f t="shared" si="8"/>
        <v>10400</v>
      </c>
      <c r="K98" s="7"/>
      <c r="V98" s="5">
        <f t="shared" si="5"/>
        <v>1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>
        <v>44463</v>
      </c>
      <c r="D99" s="19" t="s">
        <v>18</v>
      </c>
      <c r="E99" s="19" t="s">
        <v>497</v>
      </c>
      <c r="F99" s="35">
        <v>6880</v>
      </c>
      <c r="G99" s="97">
        <v>6960</v>
      </c>
      <c r="H99" s="35">
        <v>80</v>
      </c>
      <c r="I99" s="20">
        <v>100</v>
      </c>
      <c r="J99" s="21">
        <f t="shared" si="8"/>
        <v>8000</v>
      </c>
      <c r="K99" s="7"/>
      <c r="V99" s="5">
        <f t="shared" si="5"/>
        <v>1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>
        <v>44463</v>
      </c>
      <c r="D100" s="19" t="s">
        <v>18</v>
      </c>
      <c r="E100" s="19" t="s">
        <v>498</v>
      </c>
      <c r="F100" s="35">
        <v>138.5</v>
      </c>
      <c r="G100" s="97">
        <v>137</v>
      </c>
      <c r="H100" s="35">
        <v>-1.5</v>
      </c>
      <c r="I100" s="20">
        <v>7700</v>
      </c>
      <c r="J100" s="21">
        <f t="shared" si="8"/>
        <v>-11550</v>
      </c>
      <c r="K100" s="7"/>
      <c r="V100" s="5">
        <f t="shared" si="5"/>
        <v>0</v>
      </c>
      <c r="W100" s="5">
        <f t="shared" si="6"/>
        <v>1</v>
      </c>
    </row>
    <row r="101" spans="1:23" s="36" customFormat="1" x14ac:dyDescent="0.3">
      <c r="A101" s="6"/>
      <c r="B101" s="17">
        <v>35</v>
      </c>
      <c r="C101" s="18">
        <v>44466</v>
      </c>
      <c r="D101" s="19" t="s">
        <v>18</v>
      </c>
      <c r="E101" s="19" t="s">
        <v>499</v>
      </c>
      <c r="F101" s="35">
        <v>548</v>
      </c>
      <c r="G101" s="97">
        <v>551.20000000000005</v>
      </c>
      <c r="H101" s="35">
        <f>551.2-548</f>
        <v>3.2000000000000455</v>
      </c>
      <c r="I101" s="20">
        <v>1400</v>
      </c>
      <c r="J101" s="21">
        <f t="shared" si="8"/>
        <v>4480.0000000000637</v>
      </c>
      <c r="K101" s="7"/>
      <c r="V101" s="5">
        <f t="shared" si="5"/>
        <v>1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>
        <v>44466</v>
      </c>
      <c r="D102" s="19" t="s">
        <v>18</v>
      </c>
      <c r="E102" s="19" t="s">
        <v>279</v>
      </c>
      <c r="F102" s="35">
        <v>922</v>
      </c>
      <c r="G102" s="97">
        <v>912</v>
      </c>
      <c r="H102" s="35">
        <v>-10</v>
      </c>
      <c r="I102" s="20">
        <v>1000</v>
      </c>
      <c r="J102" s="21">
        <f t="shared" si="8"/>
        <v>-10000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>
        <v>44467</v>
      </c>
      <c r="D103" s="19" t="s">
        <v>18</v>
      </c>
      <c r="E103" s="19" t="s">
        <v>373</v>
      </c>
      <c r="F103" s="35">
        <v>2115</v>
      </c>
      <c r="G103" s="97">
        <v>2139</v>
      </c>
      <c r="H103" s="35">
        <f>2139-2115</f>
        <v>24</v>
      </c>
      <c r="I103" s="20">
        <v>375</v>
      </c>
      <c r="J103" s="21">
        <f t="shared" si="8"/>
        <v>9000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>
        <v>44467</v>
      </c>
      <c r="D104" s="19" t="s">
        <v>18</v>
      </c>
      <c r="E104" s="19" t="s">
        <v>119</v>
      </c>
      <c r="F104" s="35">
        <v>1285</v>
      </c>
      <c r="G104" s="97">
        <v>1295</v>
      </c>
      <c r="H104" s="35">
        <v>10</v>
      </c>
      <c r="I104" s="20">
        <v>850</v>
      </c>
      <c r="J104" s="21">
        <f t="shared" si="8"/>
        <v>8500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>
        <v>44468</v>
      </c>
      <c r="D105" s="19" t="s">
        <v>18</v>
      </c>
      <c r="E105" s="19" t="s">
        <v>500</v>
      </c>
      <c r="F105" s="35">
        <v>510</v>
      </c>
      <c r="G105" s="97">
        <v>522</v>
      </c>
      <c r="H105" s="35">
        <f>522-510</f>
        <v>12</v>
      </c>
      <c r="I105" s="20">
        <v>1500</v>
      </c>
      <c r="J105" s="21">
        <f t="shared" si="8"/>
        <v>18000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>
        <v>44468</v>
      </c>
      <c r="D106" s="19" t="s">
        <v>18</v>
      </c>
      <c r="E106" s="19" t="s">
        <v>201</v>
      </c>
      <c r="F106" s="35">
        <v>730</v>
      </c>
      <c r="G106" s="97">
        <v>738</v>
      </c>
      <c r="H106" s="35">
        <v>8</v>
      </c>
      <c r="I106" s="20">
        <v>650</v>
      </c>
      <c r="J106" s="21">
        <f t="shared" si="8"/>
        <v>5200</v>
      </c>
      <c r="K106" s="7"/>
      <c r="V106" s="5">
        <f t="shared" si="5"/>
        <v>1</v>
      </c>
      <c r="W106" s="5">
        <f t="shared" si="6"/>
        <v>0</v>
      </c>
    </row>
    <row r="107" spans="1:23" s="36" customFormat="1" x14ac:dyDescent="0.3">
      <c r="A107" s="6"/>
      <c r="B107" s="17">
        <v>41</v>
      </c>
      <c r="C107" s="18">
        <v>44469</v>
      </c>
      <c r="D107" s="19" t="s">
        <v>18</v>
      </c>
      <c r="E107" s="19" t="s">
        <v>445</v>
      </c>
      <c r="F107" s="35">
        <v>1170</v>
      </c>
      <c r="G107" s="97">
        <v>1180</v>
      </c>
      <c r="H107" s="35">
        <v>10</v>
      </c>
      <c r="I107" s="20">
        <v>500</v>
      </c>
      <c r="J107" s="21">
        <f t="shared" si="8"/>
        <v>5000</v>
      </c>
      <c r="K107" s="7"/>
      <c r="V107" s="5">
        <f t="shared" si="5"/>
        <v>1</v>
      </c>
      <c r="W107" s="5">
        <f t="shared" si="6"/>
        <v>0</v>
      </c>
    </row>
    <row r="108" spans="1:23" s="36" customFormat="1" ht="15" thickBot="1" x14ac:dyDescent="0.35">
      <c r="A108" s="6"/>
      <c r="B108" s="17">
        <f t="shared" si="7"/>
        <v>42</v>
      </c>
      <c r="C108" s="18">
        <v>44469</v>
      </c>
      <c r="D108" s="19" t="s">
        <v>18</v>
      </c>
      <c r="E108" s="19" t="s">
        <v>414</v>
      </c>
      <c r="F108" s="35">
        <v>1225</v>
      </c>
      <c r="G108" s="35">
        <v>1242</v>
      </c>
      <c r="H108" s="35">
        <f>1242-1225</f>
        <v>17</v>
      </c>
      <c r="I108" s="20">
        <v>500</v>
      </c>
      <c r="J108" s="21">
        <f t="shared" si="8"/>
        <v>8500</v>
      </c>
      <c r="K108" s="7"/>
      <c r="V108" s="5">
        <f t="shared" si="5"/>
        <v>1</v>
      </c>
      <c r="W108" s="5">
        <f t="shared" si="6"/>
        <v>0</v>
      </c>
    </row>
    <row r="109" spans="1:23" s="36" customFormat="1" ht="15" hidden="1" thickBot="1" x14ac:dyDescent="0.35">
      <c r="A109" s="6"/>
      <c r="B109" s="17">
        <f t="shared" si="7"/>
        <v>43</v>
      </c>
      <c r="C109" s="18"/>
      <c r="D109" s="19"/>
      <c r="E109" s="19"/>
      <c r="F109" s="35"/>
      <c r="G109" s="35"/>
      <c r="H109" s="35"/>
      <c r="I109" s="20"/>
      <c r="J109" s="21">
        <f t="shared" si="8"/>
        <v>0</v>
      </c>
      <c r="K109" s="7"/>
      <c r="V109" s="5">
        <f t="shared" si="5"/>
        <v>0</v>
      </c>
      <c r="W109" s="5">
        <f t="shared" si="6"/>
        <v>0</v>
      </c>
    </row>
    <row r="110" spans="1:23" s="36" customFormat="1" ht="15" hidden="1" thickBot="1" x14ac:dyDescent="0.35">
      <c r="A110" s="6"/>
      <c r="B110" s="17">
        <f t="shared" si="7"/>
        <v>44</v>
      </c>
      <c r="C110" s="18"/>
      <c r="D110" s="19"/>
      <c r="E110" s="19"/>
      <c r="F110" s="35"/>
      <c r="G110" s="35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t="15" hidden="1" thickBot="1" x14ac:dyDescent="0.35">
      <c r="A111" s="6"/>
      <c r="B111" s="17">
        <f t="shared" si="7"/>
        <v>45</v>
      </c>
      <c r="C111" s="18"/>
      <c r="D111" s="19"/>
      <c r="E111" s="19"/>
      <c r="F111" s="35"/>
      <c r="G111" s="35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t="15" hidden="1" thickBot="1" x14ac:dyDescent="0.35">
      <c r="A112" s="6"/>
      <c r="B112" s="17">
        <f t="shared" si="7"/>
        <v>46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t="15" hidden="1" thickBot="1" x14ac:dyDescent="0.35">
      <c r="A113" s="6"/>
      <c r="B113" s="17">
        <f t="shared" si="7"/>
        <v>47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t="15" hidden="1" thickBot="1" x14ac:dyDescent="0.35">
      <c r="A114" s="6"/>
      <c r="B114" s="17">
        <f t="shared" si="7"/>
        <v>48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t="15" hidden="1" thickBot="1" x14ac:dyDescent="0.35">
      <c r="A115" s="6"/>
      <c r="B115" s="17">
        <f t="shared" si="7"/>
        <v>49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t="15" hidden="1" thickBot="1" x14ac:dyDescent="0.35">
      <c r="A116" s="6"/>
      <c r="B116" s="17">
        <f t="shared" si="7"/>
        <v>50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t="15" hidden="1" thickBot="1" x14ac:dyDescent="0.35">
      <c r="A117" s="6"/>
      <c r="B117" s="17">
        <f t="shared" si="7"/>
        <v>51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t="15" hidden="1" thickBot="1" x14ac:dyDescent="0.35">
      <c r="A118" s="6"/>
      <c r="B118" s="17">
        <f t="shared" si="7"/>
        <v>52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t="15" hidden="1" thickBot="1" x14ac:dyDescent="0.35">
      <c r="A119" s="6"/>
      <c r="B119" s="17">
        <f t="shared" si="7"/>
        <v>53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hidden="1" thickBot="1" x14ac:dyDescent="0.35">
      <c r="A120" s="6"/>
      <c r="B120" s="17">
        <f t="shared" si="7"/>
        <v>54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15" hidden="1" thickBot="1" x14ac:dyDescent="0.35">
      <c r="A121" s="6"/>
      <c r="B121" s="17">
        <f t="shared" si="7"/>
        <v>55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56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15" hidden="1" thickBot="1" x14ac:dyDescent="0.35">
      <c r="A123" s="6"/>
      <c r="B123" s="17">
        <f t="shared" si="7"/>
        <v>57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hidden="1" thickBot="1" x14ac:dyDescent="0.35">
      <c r="A124" s="6"/>
      <c r="B124" s="17">
        <f t="shared" si="7"/>
        <v>58</v>
      </c>
      <c r="C124" s="79"/>
      <c r="D124" s="80"/>
      <c r="E124" s="80"/>
      <c r="F124" s="81"/>
      <c r="G124" s="81"/>
      <c r="H124" s="80"/>
      <c r="I124" s="81"/>
      <c r="J124" s="82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24" thickBot="1" x14ac:dyDescent="0.5">
      <c r="A125" s="6"/>
      <c r="B125" s="144" t="s">
        <v>22</v>
      </c>
      <c r="C125" s="145"/>
      <c r="D125" s="145"/>
      <c r="E125" s="145"/>
      <c r="F125" s="145"/>
      <c r="G125" s="145"/>
      <c r="H125" s="146"/>
      <c r="I125" s="83" t="s">
        <v>23</v>
      </c>
      <c r="J125" s="84">
        <f>SUM(J67:J124)</f>
        <v>226129.00000000006</v>
      </c>
      <c r="K125" s="7"/>
      <c r="L125" s="5"/>
      <c r="M125" s="5"/>
      <c r="N125" s="5"/>
      <c r="O125" s="5"/>
      <c r="P125" s="5"/>
      <c r="Q125" s="5"/>
      <c r="R125" s="5"/>
      <c r="V125" s="36">
        <f>SUM(V67:V124)</f>
        <v>32</v>
      </c>
      <c r="W125" s="36">
        <f>SUM(W67:W124)</f>
        <v>6</v>
      </c>
    </row>
    <row r="126" spans="1:23" s="36" customFormat="1" ht="30" customHeight="1" thickBot="1" x14ac:dyDescent="0.35">
      <c r="A126" s="30"/>
      <c r="B126" s="31"/>
      <c r="C126" s="31"/>
      <c r="D126" s="31"/>
      <c r="E126" s="31"/>
      <c r="F126" s="31"/>
      <c r="G126" s="31"/>
      <c r="H126" s="32"/>
      <c r="I126" s="31"/>
      <c r="J126" s="32"/>
      <c r="K126" s="33"/>
      <c r="L126" s="5"/>
      <c r="M126" s="5"/>
      <c r="N126" s="5"/>
      <c r="O126" s="5"/>
      <c r="P126" s="5"/>
      <c r="Q126" s="5"/>
      <c r="R126" s="5"/>
    </row>
    <row r="127" spans="1:23" ht="15" thickBot="1" x14ac:dyDescent="0.35"/>
    <row r="128" spans="1:23" s="36" customFormat="1" ht="30" customHeight="1" thickBot="1" x14ac:dyDescent="0.35">
      <c r="A128" s="1"/>
      <c r="B128" s="2"/>
      <c r="C128" s="2"/>
      <c r="D128" s="2"/>
      <c r="E128" s="2"/>
      <c r="F128" s="2"/>
      <c r="G128" s="2"/>
      <c r="H128" s="3"/>
      <c r="I128" s="2"/>
      <c r="J128" s="3"/>
      <c r="K128" s="4"/>
    </row>
    <row r="129" spans="1:23" s="36" customFormat="1" ht="25.2" thickBot="1" x14ac:dyDescent="0.35">
      <c r="A129" s="6" t="s">
        <v>1</v>
      </c>
      <c r="B129" s="119" t="s">
        <v>2</v>
      </c>
      <c r="C129" s="120"/>
      <c r="D129" s="120"/>
      <c r="E129" s="120"/>
      <c r="F129" s="120"/>
      <c r="G129" s="120"/>
      <c r="H129" s="120"/>
      <c r="I129" s="120"/>
      <c r="J129" s="121"/>
      <c r="K129" s="7"/>
    </row>
    <row r="130" spans="1:23" s="36" customFormat="1" ht="16.2" thickBot="1" x14ac:dyDescent="0.35">
      <c r="A130" s="6"/>
      <c r="B130" s="168" t="s">
        <v>450</v>
      </c>
      <c r="C130" s="169"/>
      <c r="D130" s="169"/>
      <c r="E130" s="169"/>
      <c r="F130" s="169"/>
      <c r="G130" s="169"/>
      <c r="H130" s="169"/>
      <c r="I130" s="169"/>
      <c r="J130" s="170"/>
      <c r="K130" s="7"/>
      <c r="L130" s="22"/>
    </row>
    <row r="131" spans="1:23" s="36" customFormat="1" ht="16.2" thickBot="1" x14ac:dyDescent="0.35">
      <c r="A131" s="6"/>
      <c r="B131" s="106" t="s">
        <v>215</v>
      </c>
      <c r="C131" s="107"/>
      <c r="D131" s="107"/>
      <c r="E131" s="107"/>
      <c r="F131" s="107"/>
      <c r="G131" s="107"/>
      <c r="H131" s="107"/>
      <c r="I131" s="107"/>
      <c r="J131" s="108"/>
      <c r="K131" s="7"/>
    </row>
    <row r="132" spans="1:23" s="22" customFormat="1" ht="15" thickBot="1" x14ac:dyDescent="0.35">
      <c r="A132" s="69"/>
      <c r="B132" s="70" t="s">
        <v>9</v>
      </c>
      <c r="C132" s="71" t="s">
        <v>10</v>
      </c>
      <c r="D132" s="72" t="s">
        <v>11</v>
      </c>
      <c r="E132" s="72" t="s">
        <v>12</v>
      </c>
      <c r="F132" s="73" t="s">
        <v>65</v>
      </c>
      <c r="G132" s="73" t="s">
        <v>66</v>
      </c>
      <c r="H132" s="74" t="s">
        <v>67</v>
      </c>
      <c r="I132" s="73" t="s">
        <v>68</v>
      </c>
      <c r="J132" s="75" t="s">
        <v>17</v>
      </c>
      <c r="K132" s="76"/>
      <c r="L132" s="36"/>
      <c r="M132" s="36"/>
      <c r="N132" s="36"/>
      <c r="O132" s="36" t="s">
        <v>21</v>
      </c>
      <c r="P132" s="36"/>
      <c r="Q132" s="36"/>
      <c r="R132" s="36"/>
      <c r="V132" s="5" t="s">
        <v>5</v>
      </c>
      <c r="W132" s="5" t="s">
        <v>6</v>
      </c>
    </row>
    <row r="133" spans="1:23" s="36" customFormat="1" x14ac:dyDescent="0.3">
      <c r="A133" s="6"/>
      <c r="B133" s="14">
        <v>1</v>
      </c>
      <c r="C133" s="93">
        <v>44440</v>
      </c>
      <c r="D133" s="94" t="s">
        <v>18</v>
      </c>
      <c r="E133" s="94" t="s">
        <v>466</v>
      </c>
      <c r="F133" s="60">
        <v>85</v>
      </c>
      <c r="G133" s="60">
        <v>105</v>
      </c>
      <c r="H133" s="60">
        <f>105-85</f>
        <v>20</v>
      </c>
      <c r="I133" s="15">
        <v>300</v>
      </c>
      <c r="J133" s="16">
        <f t="shared" ref="J133:J178" si="9">I133*H133</f>
        <v>6000</v>
      </c>
      <c r="K133" s="7"/>
      <c r="V133" s="5">
        <f t="shared" ref="V133:V178" si="10">IF($J133&gt;0,1,0)</f>
        <v>1</v>
      </c>
      <c r="W133" s="5">
        <f t="shared" ref="W133:W178" si="11">IF($J133&lt;0,1,0)</f>
        <v>0</v>
      </c>
    </row>
    <row r="134" spans="1:23" s="36" customFormat="1" x14ac:dyDescent="0.3">
      <c r="A134" s="6"/>
      <c r="B134" s="17">
        <f>B133+1</f>
        <v>2</v>
      </c>
      <c r="C134" s="18">
        <v>44440</v>
      </c>
      <c r="D134" s="19" t="s">
        <v>18</v>
      </c>
      <c r="E134" s="19" t="s">
        <v>467</v>
      </c>
      <c r="F134" s="35">
        <v>75</v>
      </c>
      <c r="G134" s="35">
        <v>90</v>
      </c>
      <c r="H134" s="35">
        <v>15</v>
      </c>
      <c r="I134" s="20">
        <v>300</v>
      </c>
      <c r="J134" s="21">
        <f t="shared" si="9"/>
        <v>4500</v>
      </c>
      <c r="K134" s="7"/>
      <c r="L134" s="36" t="s">
        <v>21</v>
      </c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ref="B135:B155" si="12">B134+1</f>
        <v>3</v>
      </c>
      <c r="C135" s="18">
        <v>44441</v>
      </c>
      <c r="D135" s="19" t="s">
        <v>18</v>
      </c>
      <c r="E135" s="19" t="s">
        <v>468</v>
      </c>
      <c r="F135" s="35">
        <v>80</v>
      </c>
      <c r="G135" s="35">
        <v>86</v>
      </c>
      <c r="H135" s="35">
        <v>6</v>
      </c>
      <c r="I135" s="20">
        <v>300</v>
      </c>
      <c r="J135" s="21">
        <f t="shared" si="9"/>
        <v>1800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4</v>
      </c>
      <c r="C136" s="18">
        <v>44441</v>
      </c>
      <c r="D136" s="19" t="s">
        <v>18</v>
      </c>
      <c r="E136" s="19" t="s">
        <v>468</v>
      </c>
      <c r="F136" s="35">
        <v>40</v>
      </c>
      <c r="G136" s="35">
        <v>70</v>
      </c>
      <c r="H136" s="35">
        <v>30</v>
      </c>
      <c r="I136" s="20">
        <v>300</v>
      </c>
      <c r="J136" s="21">
        <f t="shared" si="9"/>
        <v>9000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5</v>
      </c>
      <c r="C137" s="18">
        <v>44442</v>
      </c>
      <c r="D137" s="19" t="s">
        <v>18</v>
      </c>
      <c r="E137" s="19" t="s">
        <v>469</v>
      </c>
      <c r="F137" s="35">
        <v>80</v>
      </c>
      <c r="G137" s="35">
        <v>88</v>
      </c>
      <c r="H137" s="35">
        <v>8</v>
      </c>
      <c r="I137" s="20">
        <v>300</v>
      </c>
      <c r="J137" s="21">
        <f t="shared" si="9"/>
        <v>2400</v>
      </c>
      <c r="K137" s="7"/>
      <c r="V137" s="5">
        <f t="shared" si="10"/>
        <v>1</v>
      </c>
      <c r="W137" s="5">
        <f t="shared" si="11"/>
        <v>0</v>
      </c>
    </row>
    <row r="138" spans="1:23" s="36" customFormat="1" x14ac:dyDescent="0.3">
      <c r="A138" s="6"/>
      <c r="B138" s="17">
        <f t="shared" si="12"/>
        <v>6</v>
      </c>
      <c r="C138" s="18">
        <v>44442</v>
      </c>
      <c r="D138" s="19" t="s">
        <v>18</v>
      </c>
      <c r="E138" s="19" t="s">
        <v>469</v>
      </c>
      <c r="F138" s="20">
        <v>70</v>
      </c>
      <c r="G138" s="35">
        <v>90</v>
      </c>
      <c r="H138" s="35">
        <v>20</v>
      </c>
      <c r="I138" s="20">
        <v>300</v>
      </c>
      <c r="J138" s="21">
        <f t="shared" si="9"/>
        <v>6000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7</v>
      </c>
      <c r="C139" s="18">
        <v>44445</v>
      </c>
      <c r="D139" s="19" t="s">
        <v>18</v>
      </c>
      <c r="E139" s="19" t="s">
        <v>470</v>
      </c>
      <c r="F139" s="35">
        <v>75</v>
      </c>
      <c r="G139" s="35">
        <v>60</v>
      </c>
      <c r="H139" s="35">
        <v>-15</v>
      </c>
      <c r="I139" s="20">
        <v>300</v>
      </c>
      <c r="J139" s="21">
        <f t="shared" si="9"/>
        <v>-4500</v>
      </c>
      <c r="K139" s="7"/>
      <c r="V139" s="5">
        <f t="shared" si="10"/>
        <v>0</v>
      </c>
      <c r="W139" s="5">
        <f t="shared" si="11"/>
        <v>1</v>
      </c>
    </row>
    <row r="140" spans="1:23" s="36" customFormat="1" x14ac:dyDescent="0.3">
      <c r="A140" s="6"/>
      <c r="B140" s="17">
        <f t="shared" si="12"/>
        <v>8</v>
      </c>
      <c r="C140" s="18">
        <v>44446</v>
      </c>
      <c r="D140" s="19" t="s">
        <v>18</v>
      </c>
      <c r="E140" s="19" t="s">
        <v>471</v>
      </c>
      <c r="F140" s="35">
        <v>85</v>
      </c>
      <c r="G140" s="35">
        <v>114</v>
      </c>
      <c r="H140" s="35">
        <f>114-85</f>
        <v>29</v>
      </c>
      <c r="I140" s="20">
        <v>300</v>
      </c>
      <c r="J140" s="21">
        <f t="shared" si="9"/>
        <v>8700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9</v>
      </c>
      <c r="C141" s="18">
        <v>44446</v>
      </c>
      <c r="D141" s="19" t="s">
        <v>18</v>
      </c>
      <c r="E141" s="19" t="s">
        <v>469</v>
      </c>
      <c r="F141" s="35">
        <v>70</v>
      </c>
      <c r="G141" s="35">
        <v>100</v>
      </c>
      <c r="H141" s="35">
        <v>30</v>
      </c>
      <c r="I141" s="20">
        <v>300</v>
      </c>
      <c r="J141" s="21">
        <f t="shared" si="9"/>
        <v>9000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10</v>
      </c>
      <c r="C142" s="18">
        <v>44447</v>
      </c>
      <c r="D142" s="19" t="s">
        <v>18</v>
      </c>
      <c r="E142" s="19" t="s">
        <v>469</v>
      </c>
      <c r="F142" s="35">
        <v>70</v>
      </c>
      <c r="G142" s="35">
        <v>80</v>
      </c>
      <c r="H142" s="35">
        <v>10</v>
      </c>
      <c r="I142" s="20">
        <v>300</v>
      </c>
      <c r="J142" s="21">
        <f t="shared" si="9"/>
        <v>3000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11</v>
      </c>
      <c r="C143" s="18">
        <v>44447</v>
      </c>
      <c r="D143" s="19" t="s">
        <v>18</v>
      </c>
      <c r="E143" s="19" t="s">
        <v>472</v>
      </c>
      <c r="F143" s="19">
        <v>60</v>
      </c>
      <c r="G143" s="35">
        <v>80</v>
      </c>
      <c r="H143" s="35">
        <v>20</v>
      </c>
      <c r="I143" s="20">
        <v>300</v>
      </c>
      <c r="J143" s="21">
        <f t="shared" si="9"/>
        <v>6000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12</v>
      </c>
      <c r="C144" s="18">
        <v>44448</v>
      </c>
      <c r="D144" s="19" t="s">
        <v>18</v>
      </c>
      <c r="E144" s="19" t="s">
        <v>471</v>
      </c>
      <c r="F144" s="35">
        <v>50</v>
      </c>
      <c r="G144" s="35">
        <v>40</v>
      </c>
      <c r="H144" s="35">
        <v>-10</v>
      </c>
      <c r="I144" s="20">
        <v>300</v>
      </c>
      <c r="J144" s="21">
        <f t="shared" si="9"/>
        <v>-3000</v>
      </c>
      <c r="K144" s="7"/>
      <c r="V144" s="5">
        <f t="shared" si="10"/>
        <v>0</v>
      </c>
      <c r="W144" s="5">
        <f t="shared" si="11"/>
        <v>1</v>
      </c>
    </row>
    <row r="145" spans="1:23" s="36" customFormat="1" x14ac:dyDescent="0.3">
      <c r="A145" s="6"/>
      <c r="B145" s="17">
        <f t="shared" si="12"/>
        <v>13</v>
      </c>
      <c r="C145" s="18">
        <v>44448</v>
      </c>
      <c r="D145" s="19" t="s">
        <v>18</v>
      </c>
      <c r="E145" s="19" t="s">
        <v>471</v>
      </c>
      <c r="F145" s="35">
        <v>40</v>
      </c>
      <c r="G145" s="35">
        <v>55</v>
      </c>
      <c r="H145" s="35">
        <v>15</v>
      </c>
      <c r="I145" s="20">
        <v>300</v>
      </c>
      <c r="J145" s="21">
        <f t="shared" si="9"/>
        <v>4500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14</v>
      </c>
      <c r="C146" s="18">
        <v>44452</v>
      </c>
      <c r="D146" s="19" t="s">
        <v>18</v>
      </c>
      <c r="E146" s="19" t="s">
        <v>473</v>
      </c>
      <c r="F146" s="77">
        <v>55</v>
      </c>
      <c r="G146" s="35">
        <v>40</v>
      </c>
      <c r="H146" s="78">
        <v>-15</v>
      </c>
      <c r="I146" s="20">
        <v>300</v>
      </c>
      <c r="J146" s="21">
        <f t="shared" si="9"/>
        <v>-4500</v>
      </c>
      <c r="K146" s="7"/>
      <c r="V146" s="5">
        <f t="shared" si="10"/>
        <v>0</v>
      </c>
      <c r="W146" s="5">
        <f t="shared" si="11"/>
        <v>1</v>
      </c>
    </row>
    <row r="147" spans="1:23" s="36" customFormat="1" x14ac:dyDescent="0.3">
      <c r="A147" s="6"/>
      <c r="B147" s="17">
        <f t="shared" si="12"/>
        <v>15</v>
      </c>
      <c r="C147" s="18">
        <v>44452</v>
      </c>
      <c r="D147" s="19" t="s">
        <v>18</v>
      </c>
      <c r="E147" s="19" t="s">
        <v>473</v>
      </c>
      <c r="F147" s="35">
        <v>65</v>
      </c>
      <c r="G147" s="35">
        <v>80</v>
      </c>
      <c r="H147" s="78">
        <v>15</v>
      </c>
      <c r="I147" s="20">
        <v>300</v>
      </c>
      <c r="J147" s="21">
        <f t="shared" si="9"/>
        <v>4500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16</v>
      </c>
      <c r="C148" s="18">
        <v>44453</v>
      </c>
      <c r="D148" s="19" t="s">
        <v>18</v>
      </c>
      <c r="E148" s="19" t="s">
        <v>474</v>
      </c>
      <c r="F148" s="35">
        <v>75</v>
      </c>
      <c r="G148" s="35">
        <v>80</v>
      </c>
      <c r="H148" s="78">
        <v>5</v>
      </c>
      <c r="I148" s="20">
        <v>300</v>
      </c>
      <c r="J148" s="21">
        <f t="shared" si="9"/>
        <v>1500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17</v>
      </c>
      <c r="C149" s="18">
        <v>44453</v>
      </c>
      <c r="D149" s="19" t="s">
        <v>18</v>
      </c>
      <c r="E149" s="19" t="s">
        <v>475</v>
      </c>
      <c r="F149" s="35">
        <v>75</v>
      </c>
      <c r="G149" s="35">
        <v>79</v>
      </c>
      <c r="H149" s="78">
        <v>4</v>
      </c>
      <c r="I149" s="20">
        <v>300</v>
      </c>
      <c r="J149" s="21">
        <f t="shared" si="9"/>
        <v>1200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18</v>
      </c>
      <c r="C150" s="18">
        <v>44454</v>
      </c>
      <c r="D150" s="19" t="s">
        <v>18</v>
      </c>
      <c r="E150" s="19" t="s">
        <v>474</v>
      </c>
      <c r="F150" s="35">
        <v>75</v>
      </c>
      <c r="G150" s="35">
        <v>105</v>
      </c>
      <c r="H150" s="78">
        <v>30</v>
      </c>
      <c r="I150" s="20">
        <v>300</v>
      </c>
      <c r="J150" s="21">
        <f t="shared" si="9"/>
        <v>9000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19</v>
      </c>
      <c r="C151" s="18">
        <v>44454</v>
      </c>
      <c r="D151" s="19" t="s">
        <v>18</v>
      </c>
      <c r="E151" s="19" t="s">
        <v>474</v>
      </c>
      <c r="F151" s="35">
        <v>60</v>
      </c>
      <c r="G151" s="35">
        <v>90</v>
      </c>
      <c r="H151" s="78">
        <v>30</v>
      </c>
      <c r="I151" s="20">
        <v>300</v>
      </c>
      <c r="J151" s="21">
        <f t="shared" si="9"/>
        <v>9000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20</v>
      </c>
      <c r="C152" s="18">
        <v>44455</v>
      </c>
      <c r="D152" s="19" t="s">
        <v>18</v>
      </c>
      <c r="E152" s="19" t="s">
        <v>476</v>
      </c>
      <c r="F152" s="35">
        <v>50</v>
      </c>
      <c r="G152" s="35">
        <v>80</v>
      </c>
      <c r="H152" s="35">
        <v>30</v>
      </c>
      <c r="I152" s="20">
        <v>300</v>
      </c>
      <c r="J152" s="21">
        <f t="shared" si="9"/>
        <v>9000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21</v>
      </c>
      <c r="C153" s="18">
        <v>44455</v>
      </c>
      <c r="D153" s="19" t="s">
        <v>18</v>
      </c>
      <c r="E153" s="19" t="s">
        <v>476</v>
      </c>
      <c r="F153" s="35">
        <v>60</v>
      </c>
      <c r="G153" s="35">
        <v>90</v>
      </c>
      <c r="H153" s="35">
        <v>30</v>
      </c>
      <c r="I153" s="20">
        <v>300</v>
      </c>
      <c r="J153" s="21">
        <f t="shared" si="9"/>
        <v>9000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2"/>
        <v>22</v>
      </c>
      <c r="C154" s="18">
        <v>44456</v>
      </c>
      <c r="D154" s="19" t="s">
        <v>18</v>
      </c>
      <c r="E154" s="19" t="s">
        <v>477</v>
      </c>
      <c r="F154" s="35">
        <v>85</v>
      </c>
      <c r="G154" s="35">
        <v>70</v>
      </c>
      <c r="H154" s="35">
        <v>-15</v>
      </c>
      <c r="I154" s="20">
        <v>300</v>
      </c>
      <c r="J154" s="21">
        <f t="shared" si="9"/>
        <v>-4500</v>
      </c>
      <c r="K154" s="7"/>
      <c r="V154" s="5">
        <f t="shared" si="10"/>
        <v>0</v>
      </c>
      <c r="W154" s="5">
        <f t="shared" si="11"/>
        <v>1</v>
      </c>
    </row>
    <row r="155" spans="1:23" s="36" customFormat="1" x14ac:dyDescent="0.3">
      <c r="A155" s="6"/>
      <c r="B155" s="17">
        <f t="shared" si="12"/>
        <v>23</v>
      </c>
      <c r="C155" s="18">
        <v>44456</v>
      </c>
      <c r="D155" s="19" t="s">
        <v>18</v>
      </c>
      <c r="E155" s="19" t="s">
        <v>478</v>
      </c>
      <c r="F155" s="35">
        <v>85</v>
      </c>
      <c r="G155" s="35">
        <v>115</v>
      </c>
      <c r="H155" s="35">
        <v>30</v>
      </c>
      <c r="I155" s="20">
        <v>300</v>
      </c>
      <c r="J155" s="21">
        <f t="shared" si="9"/>
        <v>9000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>B155+1</f>
        <v>24</v>
      </c>
      <c r="C156" s="18">
        <v>44459</v>
      </c>
      <c r="D156" s="19" t="s">
        <v>18</v>
      </c>
      <c r="E156" s="19" t="s">
        <v>479</v>
      </c>
      <c r="F156" s="35">
        <v>80</v>
      </c>
      <c r="G156" s="35">
        <v>110</v>
      </c>
      <c r="H156" s="35">
        <v>30</v>
      </c>
      <c r="I156" s="20">
        <v>300</v>
      </c>
      <c r="J156" s="21">
        <f t="shared" si="9"/>
        <v>9000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ref="B157:B178" si="13">B156+1</f>
        <v>25</v>
      </c>
      <c r="C157" s="18">
        <v>44459</v>
      </c>
      <c r="D157" s="19" t="s">
        <v>18</v>
      </c>
      <c r="E157" s="19" t="s">
        <v>479</v>
      </c>
      <c r="F157" s="35">
        <v>90</v>
      </c>
      <c r="G157" s="35">
        <v>98</v>
      </c>
      <c r="H157" s="35">
        <v>8</v>
      </c>
      <c r="I157" s="20">
        <v>300</v>
      </c>
      <c r="J157" s="21">
        <f t="shared" si="9"/>
        <v>2400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3"/>
        <v>26</v>
      </c>
      <c r="C158" s="18">
        <v>44460</v>
      </c>
      <c r="D158" s="19" t="s">
        <v>18</v>
      </c>
      <c r="E158" s="19" t="s">
        <v>476</v>
      </c>
      <c r="F158" s="35">
        <v>85</v>
      </c>
      <c r="G158" s="35">
        <v>90</v>
      </c>
      <c r="H158" s="35">
        <v>5</v>
      </c>
      <c r="I158" s="20">
        <v>300</v>
      </c>
      <c r="J158" s="21">
        <f t="shared" si="9"/>
        <v>1500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3"/>
        <v>27</v>
      </c>
      <c r="C159" s="18">
        <v>44460</v>
      </c>
      <c r="D159" s="19" t="s">
        <v>18</v>
      </c>
      <c r="E159" s="19" t="s">
        <v>471</v>
      </c>
      <c r="F159" s="35">
        <v>95</v>
      </c>
      <c r="G159" s="35">
        <v>110</v>
      </c>
      <c r="H159" s="35">
        <v>15</v>
      </c>
      <c r="I159" s="20">
        <v>300</v>
      </c>
      <c r="J159" s="21">
        <f t="shared" si="9"/>
        <v>4500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 t="shared" si="13"/>
        <v>28</v>
      </c>
      <c r="C160" s="18">
        <v>44461</v>
      </c>
      <c r="D160" s="19" t="s">
        <v>18</v>
      </c>
      <c r="E160" s="19" t="s">
        <v>480</v>
      </c>
      <c r="F160" s="35">
        <v>65</v>
      </c>
      <c r="G160" s="35">
        <v>71</v>
      </c>
      <c r="H160" s="35">
        <v>6</v>
      </c>
      <c r="I160" s="20">
        <v>300</v>
      </c>
      <c r="J160" s="21">
        <f t="shared" si="9"/>
        <v>1800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si="13"/>
        <v>29</v>
      </c>
      <c r="C161" s="18">
        <v>44462</v>
      </c>
      <c r="D161" s="19" t="s">
        <v>18</v>
      </c>
      <c r="E161" s="19" t="s">
        <v>481</v>
      </c>
      <c r="F161" s="35">
        <v>60</v>
      </c>
      <c r="G161" s="35">
        <v>90</v>
      </c>
      <c r="H161" s="35">
        <v>30</v>
      </c>
      <c r="I161" s="20">
        <v>300</v>
      </c>
      <c r="J161" s="21">
        <f t="shared" si="9"/>
        <v>9000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30</v>
      </c>
      <c r="C162" s="18">
        <v>44462</v>
      </c>
      <c r="D162" s="19" t="s">
        <v>18</v>
      </c>
      <c r="E162" s="19" t="s">
        <v>482</v>
      </c>
      <c r="F162" s="35">
        <v>60</v>
      </c>
      <c r="G162" s="35">
        <v>90</v>
      </c>
      <c r="H162" s="35">
        <v>30</v>
      </c>
      <c r="I162" s="20">
        <v>300</v>
      </c>
      <c r="J162" s="21">
        <f t="shared" si="9"/>
        <v>9000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31</v>
      </c>
      <c r="C163" s="18">
        <v>44463</v>
      </c>
      <c r="D163" s="19" t="s">
        <v>18</v>
      </c>
      <c r="E163" s="19" t="s">
        <v>483</v>
      </c>
      <c r="F163" s="35">
        <v>95</v>
      </c>
      <c r="G163" s="35">
        <v>100</v>
      </c>
      <c r="H163" s="35">
        <v>5</v>
      </c>
      <c r="I163" s="20">
        <v>300</v>
      </c>
      <c r="J163" s="21">
        <f t="shared" si="9"/>
        <v>1500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32</v>
      </c>
      <c r="C164" s="18">
        <v>44466</v>
      </c>
      <c r="D164" s="19" t="s">
        <v>18</v>
      </c>
      <c r="E164" s="19" t="s">
        <v>484</v>
      </c>
      <c r="F164" s="35">
        <v>100</v>
      </c>
      <c r="G164" s="35">
        <v>85</v>
      </c>
      <c r="H164" s="35">
        <v>-15</v>
      </c>
      <c r="I164" s="20">
        <v>300</v>
      </c>
      <c r="J164" s="21">
        <f t="shared" si="9"/>
        <v>-4500</v>
      </c>
      <c r="K164" s="7"/>
      <c r="V164" s="5">
        <f t="shared" si="10"/>
        <v>0</v>
      </c>
      <c r="W164" s="5">
        <f t="shared" si="11"/>
        <v>1</v>
      </c>
    </row>
    <row r="165" spans="1:23" s="36" customFormat="1" x14ac:dyDescent="0.3">
      <c r="A165" s="6"/>
      <c r="B165" s="17">
        <f t="shared" si="13"/>
        <v>33</v>
      </c>
      <c r="C165" s="18">
        <v>44467</v>
      </c>
      <c r="D165" s="19" t="s">
        <v>18</v>
      </c>
      <c r="E165" s="19" t="s">
        <v>483</v>
      </c>
      <c r="F165" s="35">
        <v>75</v>
      </c>
      <c r="G165" s="35">
        <v>105</v>
      </c>
      <c r="H165" s="35">
        <v>30</v>
      </c>
      <c r="I165" s="20">
        <v>300</v>
      </c>
      <c r="J165" s="21">
        <f t="shared" si="9"/>
        <v>9000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3"/>
        <v>34</v>
      </c>
      <c r="C166" s="18">
        <v>44467</v>
      </c>
      <c r="D166" s="19" t="s">
        <v>18</v>
      </c>
      <c r="E166" s="19" t="s">
        <v>485</v>
      </c>
      <c r="F166" s="35">
        <v>85</v>
      </c>
      <c r="G166" s="35">
        <v>105</v>
      </c>
      <c r="H166" s="35">
        <v>30</v>
      </c>
      <c r="I166" s="20">
        <v>300</v>
      </c>
      <c r="J166" s="21">
        <f t="shared" si="9"/>
        <v>9000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3"/>
        <v>35</v>
      </c>
      <c r="C167" s="18">
        <v>44468</v>
      </c>
      <c r="D167" s="19" t="s">
        <v>18</v>
      </c>
      <c r="E167" s="19" t="s">
        <v>482</v>
      </c>
      <c r="F167" s="35">
        <v>75</v>
      </c>
      <c r="G167" s="35">
        <v>60</v>
      </c>
      <c r="H167" s="35">
        <v>-15</v>
      </c>
      <c r="I167" s="20">
        <v>300</v>
      </c>
      <c r="J167" s="21">
        <f t="shared" si="9"/>
        <v>-4500</v>
      </c>
      <c r="K167" s="7"/>
      <c r="V167" s="5">
        <f t="shared" si="10"/>
        <v>0</v>
      </c>
      <c r="W167" s="5">
        <f t="shared" si="11"/>
        <v>1</v>
      </c>
    </row>
    <row r="168" spans="1:23" s="36" customFormat="1" x14ac:dyDescent="0.3">
      <c r="A168" s="6"/>
      <c r="B168" s="17">
        <f t="shared" si="13"/>
        <v>36</v>
      </c>
      <c r="C168" s="18">
        <v>44468</v>
      </c>
      <c r="D168" s="19" t="s">
        <v>18</v>
      </c>
      <c r="E168" s="19" t="s">
        <v>482</v>
      </c>
      <c r="F168" s="35">
        <v>70</v>
      </c>
      <c r="G168" s="35">
        <v>100</v>
      </c>
      <c r="H168" s="35">
        <v>30</v>
      </c>
      <c r="I168" s="20">
        <v>300</v>
      </c>
      <c r="J168" s="21">
        <f t="shared" si="9"/>
        <v>9000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3"/>
        <v>37</v>
      </c>
      <c r="C169" s="18">
        <v>44469</v>
      </c>
      <c r="D169" s="19" t="s">
        <v>18</v>
      </c>
      <c r="E169" s="19" t="s">
        <v>486</v>
      </c>
      <c r="F169" s="35">
        <v>40</v>
      </c>
      <c r="G169" s="35">
        <v>25</v>
      </c>
      <c r="H169" s="35">
        <v>-15</v>
      </c>
      <c r="I169" s="20">
        <v>300</v>
      </c>
      <c r="J169" s="21">
        <f t="shared" si="9"/>
        <v>-4500</v>
      </c>
      <c r="K169" s="7"/>
      <c r="V169" s="5">
        <f t="shared" si="10"/>
        <v>0</v>
      </c>
      <c r="W169" s="5">
        <f t="shared" si="11"/>
        <v>1</v>
      </c>
    </row>
    <row r="170" spans="1:23" s="36" customFormat="1" x14ac:dyDescent="0.3">
      <c r="A170" s="6"/>
      <c r="B170" s="17">
        <f t="shared" si="13"/>
        <v>38</v>
      </c>
      <c r="C170" s="18">
        <v>44469</v>
      </c>
      <c r="D170" s="19" t="s">
        <v>18</v>
      </c>
      <c r="E170" s="19" t="s">
        <v>486</v>
      </c>
      <c r="F170" s="35">
        <v>50</v>
      </c>
      <c r="G170" s="35">
        <v>64</v>
      </c>
      <c r="H170" s="35">
        <v>14</v>
      </c>
      <c r="I170" s="20">
        <v>300</v>
      </c>
      <c r="J170" s="21">
        <f t="shared" si="9"/>
        <v>4200</v>
      </c>
      <c r="K170" s="7"/>
      <c r="V170" s="5">
        <f t="shared" si="10"/>
        <v>1</v>
      </c>
      <c r="W170" s="5">
        <f t="shared" si="11"/>
        <v>0</v>
      </c>
    </row>
    <row r="171" spans="1:23" s="36" customFormat="1" x14ac:dyDescent="0.3">
      <c r="A171" s="6"/>
      <c r="B171" s="17">
        <f t="shared" si="13"/>
        <v>39</v>
      </c>
      <c r="C171" s="18"/>
      <c r="D171" s="19"/>
      <c r="E171" s="19"/>
      <c r="F171" s="35"/>
      <c r="G171" s="35"/>
      <c r="H171" s="35"/>
      <c r="I171" s="20"/>
      <c r="J171" s="21">
        <f t="shared" si="9"/>
        <v>0</v>
      </c>
      <c r="K171" s="7"/>
      <c r="V171" s="5">
        <f t="shared" si="10"/>
        <v>0</v>
      </c>
      <c r="W171" s="5">
        <f t="shared" si="11"/>
        <v>0</v>
      </c>
    </row>
    <row r="172" spans="1:23" s="36" customFormat="1" x14ac:dyDescent="0.3">
      <c r="A172" s="6"/>
      <c r="B172" s="17">
        <f t="shared" si="13"/>
        <v>40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x14ac:dyDescent="0.3">
      <c r="A173" s="6"/>
      <c r="B173" s="17">
        <f t="shared" si="13"/>
        <v>41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x14ac:dyDescent="0.3">
      <c r="A174" s="6"/>
      <c r="B174" s="17">
        <f t="shared" si="13"/>
        <v>42</v>
      </c>
      <c r="C174" s="18"/>
      <c r="D174" s="19"/>
      <c r="E174" s="19"/>
      <c r="F174" s="35"/>
      <c r="G174" s="35"/>
      <c r="H174" s="35"/>
      <c r="I174" s="20"/>
      <c r="J174" s="21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x14ac:dyDescent="0.3">
      <c r="A175" s="6"/>
      <c r="B175" s="17">
        <f t="shared" si="13"/>
        <v>43</v>
      </c>
      <c r="C175" s="18"/>
      <c r="D175" s="19"/>
      <c r="E175" s="19"/>
      <c r="F175" s="35"/>
      <c r="G175" s="35"/>
      <c r="H175" s="35"/>
      <c r="I175" s="20"/>
      <c r="J175" s="21">
        <f t="shared" si="9"/>
        <v>0</v>
      </c>
      <c r="K175" s="7"/>
      <c r="V175" s="5">
        <f t="shared" si="10"/>
        <v>0</v>
      </c>
      <c r="W175" s="5">
        <f t="shared" si="11"/>
        <v>0</v>
      </c>
    </row>
    <row r="176" spans="1:23" s="36" customFormat="1" x14ac:dyDescent="0.3">
      <c r="A176" s="6"/>
      <c r="B176" s="17">
        <f t="shared" si="13"/>
        <v>44</v>
      </c>
      <c r="C176" s="18"/>
      <c r="D176" s="19"/>
      <c r="E176" s="19"/>
      <c r="F176" s="35"/>
      <c r="G176" s="35"/>
      <c r="H176" s="35"/>
      <c r="I176" s="20"/>
      <c r="J176" s="21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x14ac:dyDescent="0.3">
      <c r="A177" s="6"/>
      <c r="B177" s="17">
        <f t="shared" si="13"/>
        <v>45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ht="15" thickBot="1" x14ac:dyDescent="0.35">
      <c r="A178" s="6"/>
      <c r="B178" s="95">
        <f t="shared" si="13"/>
        <v>46</v>
      </c>
      <c r="C178" s="79"/>
      <c r="D178" s="80"/>
      <c r="E178" s="80"/>
      <c r="F178" s="96"/>
      <c r="G178" s="96"/>
      <c r="H178" s="96"/>
      <c r="I178" s="81"/>
      <c r="J178" s="82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ht="24" thickBot="1" x14ac:dyDescent="0.5">
      <c r="A179" s="6"/>
      <c r="B179" s="165" t="s">
        <v>22</v>
      </c>
      <c r="C179" s="166"/>
      <c r="D179" s="166"/>
      <c r="E179" s="166"/>
      <c r="F179" s="166"/>
      <c r="G179" s="166"/>
      <c r="H179" s="167"/>
      <c r="I179" s="83" t="s">
        <v>23</v>
      </c>
      <c r="J179" s="84">
        <f>SUM(J133:J178)</f>
        <v>153000</v>
      </c>
      <c r="K179" s="7"/>
      <c r="L179" s="5"/>
      <c r="M179" s="5"/>
      <c r="N179" s="5"/>
      <c r="O179" s="5"/>
      <c r="P179" s="5"/>
      <c r="Q179" s="5"/>
      <c r="R179" s="5"/>
      <c r="V179" s="36">
        <f>SUM(V133:V178)</f>
        <v>31</v>
      </c>
      <c r="W179" s="36">
        <f>SUM(W133:W178)</f>
        <v>7</v>
      </c>
    </row>
    <row r="180" spans="1:23" s="36" customFormat="1" ht="30" customHeight="1" thickBot="1" x14ac:dyDescent="0.35">
      <c r="A180" s="30"/>
      <c r="B180" s="31"/>
      <c r="C180" s="31"/>
      <c r="D180" s="31"/>
      <c r="E180" s="31"/>
      <c r="F180" s="31"/>
      <c r="G180" s="31"/>
      <c r="H180" s="32"/>
      <c r="I180" s="31"/>
      <c r="J180" s="32"/>
      <c r="K180" s="33"/>
      <c r="L180" s="5"/>
      <c r="M180" s="5"/>
      <c r="N180" s="5"/>
      <c r="O180" s="5"/>
      <c r="P180" s="5"/>
      <c r="Q180" s="5"/>
      <c r="R180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B125:H125"/>
    <mergeCell ref="B129:J129"/>
    <mergeCell ref="B130:J130"/>
    <mergeCell ref="B131:J131"/>
    <mergeCell ref="B179:H179"/>
  </mergeCells>
  <hyperlinks>
    <hyperlink ref="B59" r:id="rId1" xr:uid="{00000000-0004-0000-0E00-000000000000}"/>
    <hyperlink ref="B125" r:id="rId2" xr:uid="{00000000-0004-0000-0E00-000001000000}"/>
    <hyperlink ref="B179" r:id="rId3" xr:uid="{00000000-0004-0000-0E00-000002000000}"/>
    <hyperlink ref="M1" location="MASTER!A1" display="Back" xr:uid="{00000000-0004-0000-0E00-000003000000}"/>
    <hyperlink ref="M6:M7" location="'JUNE 2021'!A1" display="EXTRA STOCK FUTURE" xr:uid="{00000000-0004-0000-0E00-000004000000}"/>
  </hyperlinks>
  <pageMargins left="0" right="0" top="0" bottom="0" header="0" footer="0"/>
  <pageSetup paperSize="9" orientation="portrait" r:id="rId4"/>
  <drawing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180"/>
  <sheetViews>
    <sheetView zoomScaleNormal="100" workbookViewId="0"/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44470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95" t="s">
        <v>107</v>
      </c>
      <c r="N4" s="111">
        <f>COUNT(C6:C58)</f>
        <v>32</v>
      </c>
      <c r="O4" s="113">
        <f>V59</f>
        <v>30</v>
      </c>
      <c r="P4" s="113">
        <f>W59</f>
        <v>2</v>
      </c>
      <c r="Q4" s="197">
        <f>N4-O4-P4</f>
        <v>0</v>
      </c>
      <c r="R4" s="199">
        <f>O4/N4</f>
        <v>0.9375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96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44473</v>
      </c>
      <c r="D6" s="90" t="s">
        <v>18</v>
      </c>
      <c r="E6" s="90" t="s">
        <v>459</v>
      </c>
      <c r="F6" s="90">
        <v>140</v>
      </c>
      <c r="G6" s="90">
        <v>172</v>
      </c>
      <c r="H6" s="91">
        <v>32</v>
      </c>
      <c r="I6" s="90">
        <v>100</v>
      </c>
      <c r="J6" s="92">
        <f t="shared" ref="J6:J58" si="0">H6*I6</f>
        <v>3200</v>
      </c>
      <c r="K6" s="7"/>
      <c r="M6" s="213" t="s">
        <v>108</v>
      </c>
      <c r="N6" s="112">
        <f>COUNT(C67:C124)</f>
        <v>37</v>
      </c>
      <c r="O6" s="114">
        <v>34</v>
      </c>
      <c r="P6" s="114">
        <v>3</v>
      </c>
      <c r="Q6" s="198">
        <v>0</v>
      </c>
      <c r="R6" s="203">
        <f t="shared" ref="R6" si="1">O6/N6</f>
        <v>0.91891891891891897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x14ac:dyDescent="0.3">
      <c r="A7" s="6"/>
      <c r="B7" s="17">
        <v>2</v>
      </c>
      <c r="C7" s="85">
        <v>44473</v>
      </c>
      <c r="D7" s="86" t="s">
        <v>18</v>
      </c>
      <c r="E7" s="86" t="s">
        <v>459</v>
      </c>
      <c r="F7" s="86">
        <v>140</v>
      </c>
      <c r="G7" s="86">
        <v>157</v>
      </c>
      <c r="H7" s="87">
        <v>17</v>
      </c>
      <c r="I7" s="86">
        <v>100</v>
      </c>
      <c r="J7" s="21">
        <f t="shared" si="0"/>
        <v>1700</v>
      </c>
      <c r="K7" s="7"/>
      <c r="M7" s="213"/>
      <c r="N7" s="112"/>
      <c r="O7" s="114"/>
      <c r="P7" s="114"/>
      <c r="Q7" s="198"/>
      <c r="R7" s="200"/>
      <c r="V7" s="5">
        <f t="shared" si="2"/>
        <v>1</v>
      </c>
      <c r="W7" s="5">
        <f t="shared" si="3"/>
        <v>0</v>
      </c>
    </row>
    <row r="8" spans="1:23" x14ac:dyDescent="0.3">
      <c r="A8" s="6"/>
      <c r="B8" s="88">
        <v>3</v>
      </c>
      <c r="C8" s="85">
        <v>44474</v>
      </c>
      <c r="D8" s="86" t="s">
        <v>18</v>
      </c>
      <c r="E8" s="86" t="s">
        <v>503</v>
      </c>
      <c r="F8" s="86">
        <v>140</v>
      </c>
      <c r="G8" s="86">
        <v>226</v>
      </c>
      <c r="H8" s="87">
        <f>226-140</f>
        <v>86</v>
      </c>
      <c r="I8" s="86">
        <v>100</v>
      </c>
      <c r="J8" s="21">
        <f t="shared" si="0"/>
        <v>8600</v>
      </c>
      <c r="K8" s="7"/>
      <c r="M8" s="205" t="s">
        <v>194</v>
      </c>
      <c r="N8" s="112">
        <f>COUNT(C133:C178)</f>
        <v>36</v>
      </c>
      <c r="O8" s="114">
        <f>V179</f>
        <v>29</v>
      </c>
      <c r="P8" s="114">
        <f>W179</f>
        <v>7</v>
      </c>
      <c r="Q8" s="198">
        <f>N8-O8-P8</f>
        <v>0</v>
      </c>
      <c r="R8" s="203">
        <f t="shared" ref="R8:R10" si="4">O8/N8</f>
        <v>0.80555555555555558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44474</v>
      </c>
      <c r="D9" s="86" t="s">
        <v>18</v>
      </c>
      <c r="E9" s="86" t="s">
        <v>504</v>
      </c>
      <c r="F9" s="86">
        <v>110</v>
      </c>
      <c r="G9" s="86">
        <v>183</v>
      </c>
      <c r="H9" s="87">
        <f>183-110</f>
        <v>73</v>
      </c>
      <c r="I9" s="86">
        <v>100</v>
      </c>
      <c r="J9" s="21">
        <f t="shared" si="0"/>
        <v>7300</v>
      </c>
      <c r="K9" s="7"/>
      <c r="M9" s="206"/>
      <c r="N9" s="184"/>
      <c r="O9" s="172"/>
      <c r="P9" s="172"/>
      <c r="Q9" s="174"/>
      <c r="R9" s="204"/>
      <c r="V9" s="5">
        <f t="shared" si="2"/>
        <v>1</v>
      </c>
      <c r="W9" s="5">
        <f t="shared" si="3"/>
        <v>0</v>
      </c>
    </row>
    <row r="10" spans="1:23" ht="16.5" customHeight="1" x14ac:dyDescent="0.3">
      <c r="A10" s="6"/>
      <c r="B10" s="88">
        <v>5</v>
      </c>
      <c r="C10" s="85">
        <v>44475</v>
      </c>
      <c r="D10" s="86" t="s">
        <v>18</v>
      </c>
      <c r="E10" s="86" t="s">
        <v>505</v>
      </c>
      <c r="F10" s="86">
        <v>120</v>
      </c>
      <c r="G10" s="86">
        <v>187</v>
      </c>
      <c r="H10" s="87">
        <f>187-120</f>
        <v>67</v>
      </c>
      <c r="I10" s="86">
        <v>100</v>
      </c>
      <c r="J10" s="21">
        <f t="shared" si="0"/>
        <v>6700</v>
      </c>
      <c r="K10" s="7"/>
      <c r="M10" s="207" t="s">
        <v>19</v>
      </c>
      <c r="N10" s="149">
        <f>SUM(N4:N9)</f>
        <v>105</v>
      </c>
      <c r="O10" s="209">
        <f>SUM(O4:O9)</f>
        <v>93</v>
      </c>
      <c r="P10" s="209">
        <f>SUM(P4:P9)</f>
        <v>12</v>
      </c>
      <c r="Q10" s="211">
        <f>SUM(Q4:Q9)</f>
        <v>0</v>
      </c>
      <c r="R10" s="199">
        <f t="shared" si="4"/>
        <v>0.88571428571428568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44476</v>
      </c>
      <c r="D11" s="86" t="s">
        <v>18</v>
      </c>
      <c r="E11" s="86" t="s">
        <v>504</v>
      </c>
      <c r="F11" s="86">
        <v>80</v>
      </c>
      <c r="G11" s="86">
        <v>98</v>
      </c>
      <c r="H11" s="87">
        <v>18</v>
      </c>
      <c r="I11" s="86">
        <v>100</v>
      </c>
      <c r="J11" s="21">
        <f t="shared" si="0"/>
        <v>1800</v>
      </c>
      <c r="K11" s="7"/>
      <c r="M11" s="208"/>
      <c r="N11" s="150"/>
      <c r="O11" s="210"/>
      <c r="P11" s="210"/>
      <c r="Q11" s="212"/>
      <c r="R11" s="204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44476</v>
      </c>
      <c r="D12" s="86" t="s">
        <v>18</v>
      </c>
      <c r="E12" s="86" t="s">
        <v>504</v>
      </c>
      <c r="F12" s="86">
        <v>35</v>
      </c>
      <c r="G12" s="86">
        <v>46</v>
      </c>
      <c r="H12" s="87">
        <f>46-35</f>
        <v>11</v>
      </c>
      <c r="I12" s="86">
        <v>100</v>
      </c>
      <c r="J12" s="21">
        <f t="shared" si="0"/>
        <v>1100</v>
      </c>
      <c r="K12" s="7"/>
      <c r="M12" s="126" t="s">
        <v>20</v>
      </c>
      <c r="N12" s="130"/>
      <c r="O12" s="131"/>
      <c r="P12" s="138">
        <f>R10</f>
        <v>0.88571428571428568</v>
      </c>
      <c r="Q12" s="139"/>
      <c r="R12" s="137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44477</v>
      </c>
      <c r="D13" s="86" t="s">
        <v>18</v>
      </c>
      <c r="E13" s="86" t="s">
        <v>457</v>
      </c>
      <c r="F13" s="86">
        <v>130</v>
      </c>
      <c r="G13" s="86">
        <v>178</v>
      </c>
      <c r="H13" s="87">
        <f>178-130</f>
        <v>48</v>
      </c>
      <c r="I13" s="86">
        <v>100</v>
      </c>
      <c r="J13" s="21">
        <f t="shared" si="0"/>
        <v>4800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44480</v>
      </c>
      <c r="D14" s="86" t="s">
        <v>18</v>
      </c>
      <c r="E14" s="86" t="s">
        <v>507</v>
      </c>
      <c r="F14" s="86">
        <v>140</v>
      </c>
      <c r="G14" s="86">
        <v>240</v>
      </c>
      <c r="H14" s="87">
        <v>100</v>
      </c>
      <c r="I14" s="86">
        <v>100</v>
      </c>
      <c r="J14" s="21">
        <f t="shared" si="0"/>
        <v>10000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44480</v>
      </c>
      <c r="D15" s="86" t="s">
        <v>18</v>
      </c>
      <c r="E15" s="86" t="s">
        <v>457</v>
      </c>
      <c r="F15" s="86">
        <v>150</v>
      </c>
      <c r="G15" s="86">
        <v>250</v>
      </c>
      <c r="H15" s="87">
        <v>100</v>
      </c>
      <c r="I15" s="86">
        <v>100</v>
      </c>
      <c r="J15" s="21">
        <f t="shared" si="0"/>
        <v>10000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18">
        <v>44481</v>
      </c>
      <c r="D16" s="19" t="s">
        <v>18</v>
      </c>
      <c r="E16" s="19" t="s">
        <v>457</v>
      </c>
      <c r="F16" s="35">
        <v>140</v>
      </c>
      <c r="G16" s="35">
        <v>220</v>
      </c>
      <c r="H16" s="35">
        <f>220-140</f>
        <v>80</v>
      </c>
      <c r="I16" s="20">
        <v>100</v>
      </c>
      <c r="J16" s="21">
        <f t="shared" si="0"/>
        <v>8000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18">
        <v>44482</v>
      </c>
      <c r="D17" s="19" t="s">
        <v>18</v>
      </c>
      <c r="E17" s="19" t="s">
        <v>506</v>
      </c>
      <c r="F17" s="35">
        <v>120</v>
      </c>
      <c r="G17" s="35">
        <v>70</v>
      </c>
      <c r="H17" s="35">
        <v>-50</v>
      </c>
      <c r="I17" s="20">
        <v>100</v>
      </c>
      <c r="J17" s="21">
        <f t="shared" si="0"/>
        <v>-5000</v>
      </c>
      <c r="K17" s="7"/>
      <c r="V17" s="5">
        <f t="shared" si="2"/>
        <v>0</v>
      </c>
      <c r="W17" s="5">
        <f t="shared" si="3"/>
        <v>1</v>
      </c>
    </row>
    <row r="18" spans="1:23" x14ac:dyDescent="0.3">
      <c r="A18" s="6"/>
      <c r="B18" s="88">
        <v>13</v>
      </c>
      <c r="C18" s="18">
        <v>44482</v>
      </c>
      <c r="D18" s="19" t="s">
        <v>18</v>
      </c>
      <c r="E18" s="19" t="s">
        <v>462</v>
      </c>
      <c r="F18" s="35">
        <v>130</v>
      </c>
      <c r="G18" s="35">
        <v>160</v>
      </c>
      <c r="H18" s="35">
        <v>30</v>
      </c>
      <c r="I18" s="20">
        <v>100</v>
      </c>
      <c r="J18" s="21">
        <f t="shared" si="0"/>
        <v>3000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18">
        <v>44483</v>
      </c>
      <c r="D19" s="19" t="s">
        <v>18</v>
      </c>
      <c r="E19" s="19" t="s">
        <v>462</v>
      </c>
      <c r="F19" s="35">
        <v>130</v>
      </c>
      <c r="G19" s="35">
        <v>160</v>
      </c>
      <c r="H19" s="35">
        <v>30</v>
      </c>
      <c r="I19" s="20">
        <v>100</v>
      </c>
      <c r="J19" s="21">
        <f t="shared" si="0"/>
        <v>3000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18">
        <v>44487</v>
      </c>
      <c r="D20" s="19" t="s">
        <v>18</v>
      </c>
      <c r="E20" s="19" t="s">
        <v>508</v>
      </c>
      <c r="F20" s="35">
        <v>150</v>
      </c>
      <c r="G20" s="35">
        <v>200</v>
      </c>
      <c r="H20" s="78">
        <v>50</v>
      </c>
      <c r="I20" s="20">
        <v>100</v>
      </c>
      <c r="J20" s="21">
        <f t="shared" si="0"/>
        <v>5000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18">
        <v>44487</v>
      </c>
      <c r="D21" s="19" t="s">
        <v>18</v>
      </c>
      <c r="E21" s="19" t="s">
        <v>509</v>
      </c>
      <c r="F21" s="35">
        <v>120</v>
      </c>
      <c r="G21" s="35">
        <v>170</v>
      </c>
      <c r="H21" s="35">
        <v>50</v>
      </c>
      <c r="I21" s="20">
        <v>100</v>
      </c>
      <c r="J21" s="21">
        <f t="shared" si="0"/>
        <v>5000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44488</v>
      </c>
      <c r="D22" s="19" t="s">
        <v>18</v>
      </c>
      <c r="E22" s="19" t="s">
        <v>510</v>
      </c>
      <c r="F22" s="35">
        <v>150</v>
      </c>
      <c r="G22" s="35">
        <v>225</v>
      </c>
      <c r="H22" s="35">
        <f>225-150</f>
        <v>75</v>
      </c>
      <c r="I22" s="20">
        <v>100</v>
      </c>
      <c r="J22" s="21">
        <f t="shared" si="0"/>
        <v>7500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44488</v>
      </c>
      <c r="D23" s="19" t="s">
        <v>18</v>
      </c>
      <c r="E23" s="19" t="s">
        <v>511</v>
      </c>
      <c r="F23" s="35">
        <v>150</v>
      </c>
      <c r="G23" s="35">
        <v>165</v>
      </c>
      <c r="H23" s="35">
        <v>15</v>
      </c>
      <c r="I23" s="20">
        <v>100</v>
      </c>
      <c r="J23" s="21">
        <f t="shared" si="0"/>
        <v>1500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44489</v>
      </c>
      <c r="D24" s="19" t="s">
        <v>18</v>
      </c>
      <c r="E24" s="19" t="s">
        <v>512</v>
      </c>
      <c r="F24" s="35">
        <v>120</v>
      </c>
      <c r="G24" s="35">
        <v>210</v>
      </c>
      <c r="H24" s="35">
        <f>210-120</f>
        <v>90</v>
      </c>
      <c r="I24" s="20">
        <v>100</v>
      </c>
      <c r="J24" s="21">
        <f t="shared" si="0"/>
        <v>9000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44489</v>
      </c>
      <c r="D25" s="19" t="s">
        <v>18</v>
      </c>
      <c r="E25" s="19" t="s">
        <v>513</v>
      </c>
      <c r="F25" s="35">
        <v>130</v>
      </c>
      <c r="G25" s="35">
        <v>180</v>
      </c>
      <c r="H25" s="35">
        <v>50</v>
      </c>
      <c r="I25" s="20">
        <v>100</v>
      </c>
      <c r="J25" s="21">
        <f t="shared" si="0"/>
        <v>5000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44490</v>
      </c>
      <c r="D26" s="19" t="s">
        <v>18</v>
      </c>
      <c r="E26" s="19" t="s">
        <v>514</v>
      </c>
      <c r="F26" s="35">
        <v>130</v>
      </c>
      <c r="G26" s="35">
        <v>145</v>
      </c>
      <c r="H26" s="35">
        <v>15</v>
      </c>
      <c r="I26" s="20">
        <v>100</v>
      </c>
      <c r="J26" s="21">
        <f t="shared" si="0"/>
        <v>1500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44491</v>
      </c>
      <c r="D27" s="19" t="s">
        <v>18</v>
      </c>
      <c r="E27" s="19" t="s">
        <v>515</v>
      </c>
      <c r="F27" s="35">
        <v>150</v>
      </c>
      <c r="G27" s="35">
        <v>240</v>
      </c>
      <c r="H27" s="19">
        <f>240-150</f>
        <v>90</v>
      </c>
      <c r="I27" s="20">
        <v>100</v>
      </c>
      <c r="J27" s="21">
        <f t="shared" si="0"/>
        <v>9000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44491</v>
      </c>
      <c r="D28" s="19" t="s">
        <v>18</v>
      </c>
      <c r="E28" s="19" t="s">
        <v>516</v>
      </c>
      <c r="F28" s="35">
        <v>140</v>
      </c>
      <c r="G28" s="35">
        <v>155</v>
      </c>
      <c r="H28" s="19">
        <v>15</v>
      </c>
      <c r="I28" s="20">
        <v>100</v>
      </c>
      <c r="J28" s="21">
        <f t="shared" si="0"/>
        <v>1500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44494</v>
      </c>
      <c r="D29" s="19" t="s">
        <v>18</v>
      </c>
      <c r="E29" s="19" t="s">
        <v>517</v>
      </c>
      <c r="F29" s="20">
        <v>140</v>
      </c>
      <c r="G29" s="20">
        <v>240</v>
      </c>
      <c r="H29" s="19">
        <v>100</v>
      </c>
      <c r="I29" s="20">
        <v>100</v>
      </c>
      <c r="J29" s="21">
        <f t="shared" si="0"/>
        <v>10000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44494</v>
      </c>
      <c r="D30" s="25" t="s">
        <v>18</v>
      </c>
      <c r="E30" s="25" t="s">
        <v>518</v>
      </c>
      <c r="F30" s="26">
        <v>130</v>
      </c>
      <c r="G30" s="61">
        <v>230</v>
      </c>
      <c r="H30" s="61">
        <v>100</v>
      </c>
      <c r="I30" s="26">
        <v>100</v>
      </c>
      <c r="J30" s="21">
        <f t="shared" si="0"/>
        <v>10000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44495</v>
      </c>
      <c r="D31" s="25" t="s">
        <v>18</v>
      </c>
      <c r="E31" s="25" t="s">
        <v>519</v>
      </c>
      <c r="F31" s="26">
        <v>150</v>
      </c>
      <c r="G31" s="61">
        <v>100</v>
      </c>
      <c r="H31" s="61">
        <v>-50</v>
      </c>
      <c r="I31" s="26">
        <v>100</v>
      </c>
      <c r="J31" s="21">
        <f t="shared" si="0"/>
        <v>-5000</v>
      </c>
      <c r="K31" s="7"/>
      <c r="V31" s="5">
        <f t="shared" si="2"/>
        <v>0</v>
      </c>
      <c r="W31" s="5">
        <f t="shared" si="3"/>
        <v>1</v>
      </c>
    </row>
    <row r="32" spans="1:23" x14ac:dyDescent="0.3">
      <c r="A32" s="6"/>
      <c r="B32" s="88">
        <v>27</v>
      </c>
      <c r="C32" s="24">
        <v>44495</v>
      </c>
      <c r="D32" s="25" t="s">
        <v>18</v>
      </c>
      <c r="E32" s="25" t="s">
        <v>520</v>
      </c>
      <c r="F32" s="26">
        <v>130</v>
      </c>
      <c r="G32" s="61">
        <v>230</v>
      </c>
      <c r="H32" s="61">
        <v>100</v>
      </c>
      <c r="I32" s="26">
        <v>100</v>
      </c>
      <c r="J32" s="21">
        <f t="shared" si="0"/>
        <v>10000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44496</v>
      </c>
      <c r="D33" s="25" t="s">
        <v>18</v>
      </c>
      <c r="E33" s="25" t="s">
        <v>518</v>
      </c>
      <c r="F33" s="26">
        <v>130</v>
      </c>
      <c r="G33" s="61">
        <v>145</v>
      </c>
      <c r="H33" s="61">
        <v>15</v>
      </c>
      <c r="I33" s="26">
        <v>100</v>
      </c>
      <c r="J33" s="21">
        <f t="shared" si="0"/>
        <v>1500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44497</v>
      </c>
      <c r="D34" s="25" t="s">
        <v>18</v>
      </c>
      <c r="E34" s="25" t="s">
        <v>521</v>
      </c>
      <c r="F34" s="26">
        <v>150</v>
      </c>
      <c r="G34" s="61">
        <v>250</v>
      </c>
      <c r="H34" s="61">
        <v>100</v>
      </c>
      <c r="I34" s="26">
        <v>100</v>
      </c>
      <c r="J34" s="21">
        <f t="shared" si="0"/>
        <v>10000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44497</v>
      </c>
      <c r="D35" s="25" t="s">
        <v>18</v>
      </c>
      <c r="E35" s="25" t="s">
        <v>522</v>
      </c>
      <c r="F35" s="26">
        <v>150</v>
      </c>
      <c r="G35" s="61">
        <v>250</v>
      </c>
      <c r="H35" s="61">
        <v>100</v>
      </c>
      <c r="I35" s="26">
        <v>100</v>
      </c>
      <c r="J35" s="21">
        <f t="shared" si="0"/>
        <v>10000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44498</v>
      </c>
      <c r="D36" s="25" t="s">
        <v>18</v>
      </c>
      <c r="E36" s="25" t="s">
        <v>509</v>
      </c>
      <c r="F36" s="26">
        <v>140</v>
      </c>
      <c r="G36" s="61">
        <v>220</v>
      </c>
      <c r="H36" s="61">
        <f>220-140</f>
        <v>80</v>
      </c>
      <c r="I36" s="26">
        <v>100</v>
      </c>
      <c r="J36" s="21">
        <f t="shared" si="0"/>
        <v>8000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44498</v>
      </c>
      <c r="D37" s="25" t="s">
        <v>18</v>
      </c>
      <c r="E37" s="25" t="s">
        <v>523</v>
      </c>
      <c r="F37" s="26">
        <v>140</v>
      </c>
      <c r="G37" s="61">
        <v>240</v>
      </c>
      <c r="H37" s="61">
        <v>100</v>
      </c>
      <c r="I37" s="26">
        <v>100</v>
      </c>
      <c r="J37" s="21">
        <f t="shared" si="0"/>
        <v>10000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/>
      <c r="D38" s="25"/>
      <c r="E38" s="25"/>
      <c r="F38" s="26"/>
      <c r="G38" s="61"/>
      <c r="H38" s="61"/>
      <c r="I38" s="26"/>
      <c r="J38" s="21">
        <f t="shared" si="0"/>
        <v>0</v>
      </c>
      <c r="K38" s="7"/>
      <c r="V38" s="5">
        <f t="shared" si="2"/>
        <v>0</v>
      </c>
      <c r="W38" s="5">
        <f t="shared" si="3"/>
        <v>0</v>
      </c>
    </row>
    <row r="39" spans="1:23" x14ac:dyDescent="0.3">
      <c r="A39" s="6"/>
      <c r="B39" s="17">
        <v>34</v>
      </c>
      <c r="C39" s="24"/>
      <c r="D39" s="25"/>
      <c r="E39" s="25"/>
      <c r="F39" s="26"/>
      <c r="G39" s="61"/>
      <c r="H39" s="61"/>
      <c r="I39" s="26"/>
      <c r="J39" s="21">
        <f t="shared" si="0"/>
        <v>0</v>
      </c>
      <c r="K39" s="7"/>
      <c r="V39" s="5">
        <f t="shared" si="2"/>
        <v>0</v>
      </c>
      <c r="W39" s="5">
        <f t="shared" si="3"/>
        <v>0</v>
      </c>
    </row>
    <row r="40" spans="1:23" x14ac:dyDescent="0.3">
      <c r="A40" s="6"/>
      <c r="B40" s="88">
        <v>35</v>
      </c>
      <c r="C40" s="24"/>
      <c r="D40" s="25"/>
      <c r="E40" s="25"/>
      <c r="F40" s="26"/>
      <c r="G40" s="61"/>
      <c r="H40" s="61"/>
      <c r="I40" s="26"/>
      <c r="J40" s="21">
        <f t="shared" si="0"/>
        <v>0</v>
      </c>
      <c r="K40" s="7"/>
      <c r="V40" s="5">
        <f t="shared" si="2"/>
        <v>0</v>
      </c>
      <c r="W40" s="5">
        <f t="shared" si="3"/>
        <v>0</v>
      </c>
    </row>
    <row r="41" spans="1:23" x14ac:dyDescent="0.3">
      <c r="A41" s="6"/>
      <c r="B41" s="17">
        <v>36</v>
      </c>
      <c r="C41" s="24"/>
      <c r="D41" s="25"/>
      <c r="E41" s="25"/>
      <c r="F41" s="26"/>
      <c r="G41" s="61"/>
      <c r="H41" s="61"/>
      <c r="I41" s="26"/>
      <c r="J41" s="21">
        <f t="shared" si="0"/>
        <v>0</v>
      </c>
      <c r="K41" s="7"/>
      <c r="V41" s="5">
        <f t="shared" si="2"/>
        <v>0</v>
      </c>
      <c r="W41" s="5">
        <f t="shared" si="3"/>
        <v>0</v>
      </c>
    </row>
    <row r="42" spans="1:23" x14ac:dyDescent="0.3">
      <c r="A42" s="6"/>
      <c r="B42" s="17">
        <v>37</v>
      </c>
      <c r="C42" s="24"/>
      <c r="D42" s="25"/>
      <c r="E42" s="25"/>
      <c r="F42" s="26"/>
      <c r="G42" s="61"/>
      <c r="H42" s="61"/>
      <c r="I42" s="26"/>
      <c r="J42" s="21">
        <f t="shared" si="0"/>
        <v>0</v>
      </c>
      <c r="K42" s="7"/>
      <c r="V42" s="5">
        <f t="shared" si="2"/>
        <v>0</v>
      </c>
      <c r="W42" s="5">
        <f t="shared" si="3"/>
        <v>0</v>
      </c>
    </row>
    <row r="43" spans="1:23" x14ac:dyDescent="0.3">
      <c r="A43" s="6"/>
      <c r="B43" s="17">
        <v>38</v>
      </c>
      <c r="C43" s="24"/>
      <c r="D43" s="25"/>
      <c r="E43" s="25"/>
      <c r="F43" s="26"/>
      <c r="G43" s="61"/>
      <c r="H43" s="61"/>
      <c r="I43" s="26"/>
      <c r="J43" s="21">
        <f t="shared" si="0"/>
        <v>0</v>
      </c>
      <c r="K43" s="7"/>
      <c r="V43" s="5">
        <f t="shared" si="2"/>
        <v>0</v>
      </c>
      <c r="W43" s="5">
        <f t="shared" si="3"/>
        <v>0</v>
      </c>
    </row>
    <row r="44" spans="1:23" x14ac:dyDescent="0.3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ht="15" thickBot="1" x14ac:dyDescent="0.35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ht="15" hidden="1" thickBot="1" x14ac:dyDescent="0.35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ht="15" hidden="1" thickBot="1" x14ac:dyDescent="0.35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ht="15" hidden="1" thickBot="1" x14ac:dyDescent="0.35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ht="15" hidden="1" thickBot="1" x14ac:dyDescent="0.35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t="15" hidden="1" thickBot="1" x14ac:dyDescent="0.35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t="15" hidden="1" thickBot="1" x14ac:dyDescent="0.35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t="15" hidden="1" thickBot="1" x14ac:dyDescent="0.35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t="15" hidden="1" thickBot="1" x14ac:dyDescent="0.35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t="15" hidden="1" thickBot="1" x14ac:dyDescent="0.35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t="15" hidden="1" thickBot="1" x14ac:dyDescent="0.35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t="15" hidden="1" thickBot="1" x14ac:dyDescent="0.35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hidden="1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173700</v>
      </c>
      <c r="K59" s="7"/>
      <c r="V59" s="5">
        <f>SUM(V6:V58)</f>
        <v>30</v>
      </c>
      <c r="W59" s="5">
        <f>SUM(W6:W58)</f>
        <v>2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501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44473</v>
      </c>
      <c r="D67" s="67" t="s">
        <v>18</v>
      </c>
      <c r="E67" s="67" t="s">
        <v>542</v>
      </c>
      <c r="F67" s="68">
        <v>980</v>
      </c>
      <c r="G67" s="68">
        <v>970</v>
      </c>
      <c r="H67" s="97">
        <v>-10</v>
      </c>
      <c r="I67" s="68">
        <v>850</v>
      </c>
      <c r="J67" s="92">
        <f>H67*I67</f>
        <v>-8500</v>
      </c>
      <c r="K67" s="7"/>
      <c r="V67" s="5">
        <f t="shared" ref="V67:V124" si="5">IF($J67&gt;0,1,0)</f>
        <v>0</v>
      </c>
      <c r="W67" s="5">
        <f t="shared" ref="W67:W124" si="6">IF($J67&lt;0,1,0)</f>
        <v>1</v>
      </c>
    </row>
    <row r="68" spans="1:23" s="36" customFormat="1" x14ac:dyDescent="0.3">
      <c r="A68" s="6"/>
      <c r="B68" s="17">
        <f>B67+1</f>
        <v>2</v>
      </c>
      <c r="C68" s="66">
        <v>44473</v>
      </c>
      <c r="D68" s="67" t="s">
        <v>18</v>
      </c>
      <c r="E68" s="67" t="s">
        <v>93</v>
      </c>
      <c r="F68" s="68">
        <v>1592</v>
      </c>
      <c r="G68" s="97">
        <v>1604</v>
      </c>
      <c r="H68" s="97">
        <f>1604-1592</f>
        <v>12</v>
      </c>
      <c r="I68" s="20">
        <v>550</v>
      </c>
      <c r="J68" s="21">
        <f>H68*I68</f>
        <v>6600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4" si="7">B68+1</f>
        <v>3</v>
      </c>
      <c r="C69" s="18">
        <v>44474</v>
      </c>
      <c r="D69" s="19" t="s">
        <v>18</v>
      </c>
      <c r="E69" s="19" t="s">
        <v>288</v>
      </c>
      <c r="F69" s="35">
        <v>1236</v>
      </c>
      <c r="G69" s="97">
        <v>1256</v>
      </c>
      <c r="H69" s="35">
        <v>20</v>
      </c>
      <c r="I69" s="20">
        <v>750</v>
      </c>
      <c r="J69" s="21">
        <f>H69*I69</f>
        <v>15000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44474</v>
      </c>
      <c r="D70" s="19" t="s">
        <v>18</v>
      </c>
      <c r="E70" s="19" t="s">
        <v>93</v>
      </c>
      <c r="F70" s="35">
        <v>1585</v>
      </c>
      <c r="G70" s="97">
        <v>1595</v>
      </c>
      <c r="H70" s="35">
        <v>10</v>
      </c>
      <c r="I70" s="20">
        <v>550</v>
      </c>
      <c r="J70" s="21">
        <f>H70*I70</f>
        <v>5500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44475</v>
      </c>
      <c r="D71" s="19" t="s">
        <v>18</v>
      </c>
      <c r="E71" s="19" t="s">
        <v>487</v>
      </c>
      <c r="F71" s="35">
        <v>1538</v>
      </c>
      <c r="G71" s="97">
        <v>1525</v>
      </c>
      <c r="H71" s="35">
        <f>1538-1525</f>
        <v>13</v>
      </c>
      <c r="I71" s="20">
        <v>375</v>
      </c>
      <c r="J71" s="21">
        <f>H71*I71</f>
        <v>4875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44476</v>
      </c>
      <c r="D72" s="19" t="s">
        <v>18</v>
      </c>
      <c r="E72" s="19" t="s">
        <v>543</v>
      </c>
      <c r="F72" s="20">
        <v>1022</v>
      </c>
      <c r="G72" s="97">
        <v>1026</v>
      </c>
      <c r="H72" s="35">
        <v>4</v>
      </c>
      <c r="I72" s="20">
        <v>850</v>
      </c>
      <c r="J72" s="21">
        <f t="shared" ref="J72:J124" si="8">I72*H72</f>
        <v>3400</v>
      </c>
      <c r="K72" s="7"/>
      <c r="V72" s="5">
        <f t="shared" si="5"/>
        <v>1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>
        <v>44476</v>
      </c>
      <c r="D73" s="19" t="s">
        <v>18</v>
      </c>
      <c r="E73" s="19" t="s">
        <v>301</v>
      </c>
      <c r="F73" s="35">
        <v>733</v>
      </c>
      <c r="G73" s="97">
        <v>725</v>
      </c>
      <c r="H73" s="35">
        <v>-8</v>
      </c>
      <c r="I73" s="20">
        <v>1100</v>
      </c>
      <c r="J73" s="21">
        <f t="shared" si="8"/>
        <v>-8800</v>
      </c>
      <c r="K73" s="7"/>
      <c r="V73" s="5">
        <f t="shared" si="5"/>
        <v>0</v>
      </c>
      <c r="W73" s="5">
        <f t="shared" si="6"/>
        <v>1</v>
      </c>
    </row>
    <row r="74" spans="1:23" s="36" customFormat="1" x14ac:dyDescent="0.3">
      <c r="A74" s="6"/>
      <c r="B74" s="17">
        <f t="shared" si="7"/>
        <v>8</v>
      </c>
      <c r="C74" s="18">
        <v>44477</v>
      </c>
      <c r="D74" s="19" t="s">
        <v>18</v>
      </c>
      <c r="E74" s="19" t="s">
        <v>489</v>
      </c>
      <c r="F74" s="35">
        <v>4880</v>
      </c>
      <c r="G74" s="97">
        <v>4960</v>
      </c>
      <c r="H74" s="35">
        <f>4960-4880</f>
        <v>80</v>
      </c>
      <c r="I74" s="20">
        <v>1625</v>
      </c>
      <c r="J74" s="21">
        <f t="shared" si="8"/>
        <v>130000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44477</v>
      </c>
      <c r="D75" s="19" t="s">
        <v>18</v>
      </c>
      <c r="E75" s="19" t="s">
        <v>544</v>
      </c>
      <c r="F75" s="35">
        <v>1950</v>
      </c>
      <c r="G75" s="97">
        <v>1965</v>
      </c>
      <c r="H75" s="35">
        <f>1965-1950</f>
        <v>15</v>
      </c>
      <c r="I75" s="20">
        <v>350</v>
      </c>
      <c r="J75" s="21">
        <f t="shared" si="8"/>
        <v>5250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44480</v>
      </c>
      <c r="D76" s="19" t="s">
        <v>18</v>
      </c>
      <c r="E76" s="19" t="s">
        <v>444</v>
      </c>
      <c r="F76" s="35">
        <v>2875</v>
      </c>
      <c r="G76" s="97">
        <v>2900</v>
      </c>
      <c r="H76" s="35">
        <f>2900-2875</f>
        <v>25</v>
      </c>
      <c r="I76" s="20">
        <v>350</v>
      </c>
      <c r="J76" s="21">
        <f t="shared" si="8"/>
        <v>8750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>
        <v>44480</v>
      </c>
      <c r="D77" s="19" t="s">
        <v>18</v>
      </c>
      <c r="E77" s="19" t="s">
        <v>304</v>
      </c>
      <c r="F77" s="19">
        <v>567</v>
      </c>
      <c r="G77" s="97">
        <v>574</v>
      </c>
      <c r="H77" s="35">
        <f>574-567</f>
        <v>7</v>
      </c>
      <c r="I77" s="20">
        <v>2000</v>
      </c>
      <c r="J77" s="21">
        <f t="shared" si="8"/>
        <v>14000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>
        <v>44481</v>
      </c>
      <c r="D78" s="19" t="s">
        <v>18</v>
      </c>
      <c r="E78" s="19" t="s">
        <v>93</v>
      </c>
      <c r="F78" s="35">
        <v>1630</v>
      </c>
      <c r="G78" s="97">
        <v>1638</v>
      </c>
      <c r="H78" s="35">
        <v>8</v>
      </c>
      <c r="I78" s="20">
        <v>550</v>
      </c>
      <c r="J78" s="21">
        <f t="shared" si="8"/>
        <v>4400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44481</v>
      </c>
      <c r="D79" s="19" t="s">
        <v>18</v>
      </c>
      <c r="E79" s="19" t="s">
        <v>487</v>
      </c>
      <c r="F79" s="35">
        <v>1540</v>
      </c>
      <c r="G79" s="97">
        <v>1560</v>
      </c>
      <c r="H79" s="35">
        <v>20</v>
      </c>
      <c r="I79" s="20">
        <v>375</v>
      </c>
      <c r="J79" s="21">
        <f t="shared" si="8"/>
        <v>7500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44482</v>
      </c>
      <c r="D80" s="19" t="s">
        <v>18</v>
      </c>
      <c r="E80" s="19" t="s">
        <v>93</v>
      </c>
      <c r="F80" s="77">
        <v>1635</v>
      </c>
      <c r="G80" s="97">
        <v>1645</v>
      </c>
      <c r="H80" s="78">
        <v>10</v>
      </c>
      <c r="I80" s="20">
        <v>550</v>
      </c>
      <c r="J80" s="21">
        <f t="shared" si="8"/>
        <v>5500</v>
      </c>
      <c r="K80" s="7"/>
      <c r="V80" s="5">
        <f t="shared" si="5"/>
        <v>1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>
        <v>44482</v>
      </c>
      <c r="D81" s="19" t="s">
        <v>18</v>
      </c>
      <c r="E81" s="19" t="s">
        <v>373</v>
      </c>
      <c r="F81" s="35">
        <v>2580</v>
      </c>
      <c r="G81" s="97">
        <v>2600</v>
      </c>
      <c r="H81" s="78">
        <f>2600-2580</f>
        <v>20</v>
      </c>
      <c r="I81" s="20">
        <v>375</v>
      </c>
      <c r="J81" s="21">
        <f t="shared" si="8"/>
        <v>7500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>
        <v>44483</v>
      </c>
      <c r="D82" s="19" t="s">
        <v>18</v>
      </c>
      <c r="E82" s="19" t="s">
        <v>545</v>
      </c>
      <c r="F82" s="35">
        <v>1410</v>
      </c>
      <c r="G82" s="97">
        <v>1440</v>
      </c>
      <c r="H82" s="78">
        <v>30</v>
      </c>
      <c r="I82" s="20">
        <v>475</v>
      </c>
      <c r="J82" s="21">
        <f t="shared" si="8"/>
        <v>14250</v>
      </c>
      <c r="K82" s="7"/>
      <c r="V82" s="5">
        <f t="shared" si="5"/>
        <v>1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>
        <v>44483</v>
      </c>
      <c r="D83" s="19" t="s">
        <v>18</v>
      </c>
      <c r="E83" s="19" t="s">
        <v>181</v>
      </c>
      <c r="F83" s="35">
        <v>2070</v>
      </c>
      <c r="G83" s="97">
        <v>2090</v>
      </c>
      <c r="H83" s="35">
        <v>20</v>
      </c>
      <c r="I83" s="20">
        <v>500</v>
      </c>
      <c r="J83" s="21">
        <f t="shared" si="8"/>
        <v>10000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>
        <v>44487</v>
      </c>
      <c r="D84" s="19" t="s">
        <v>18</v>
      </c>
      <c r="E84" s="19" t="s">
        <v>543</v>
      </c>
      <c r="F84" s="35">
        <v>1005</v>
      </c>
      <c r="G84" s="97">
        <v>1020</v>
      </c>
      <c r="H84" s="35">
        <v>15</v>
      </c>
      <c r="I84" s="20">
        <v>850</v>
      </c>
      <c r="J84" s="21">
        <f t="shared" si="8"/>
        <v>12750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>
        <v>44487</v>
      </c>
      <c r="D85" s="19" t="s">
        <v>18</v>
      </c>
      <c r="E85" s="19" t="s">
        <v>445</v>
      </c>
      <c r="F85" s="35">
        <v>1230</v>
      </c>
      <c r="G85" s="97">
        <v>1240</v>
      </c>
      <c r="H85" s="35">
        <v>10</v>
      </c>
      <c r="I85" s="20">
        <v>500</v>
      </c>
      <c r="J85" s="21">
        <f t="shared" si="8"/>
        <v>5000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>
        <v>44488</v>
      </c>
      <c r="D86" s="19" t="s">
        <v>18</v>
      </c>
      <c r="E86" s="19" t="s">
        <v>93</v>
      </c>
      <c r="F86" s="35">
        <v>2830</v>
      </c>
      <c r="G86" s="97">
        <v>2810</v>
      </c>
      <c r="H86" s="35">
        <v>-20</v>
      </c>
      <c r="I86" s="20">
        <v>550</v>
      </c>
      <c r="J86" s="21">
        <f t="shared" si="8"/>
        <v>-11000</v>
      </c>
      <c r="K86" s="7"/>
      <c r="V86" s="5">
        <f t="shared" si="5"/>
        <v>0</v>
      </c>
      <c r="W86" s="5">
        <f t="shared" si="6"/>
        <v>1</v>
      </c>
    </row>
    <row r="87" spans="1:23" s="36" customFormat="1" x14ac:dyDescent="0.3">
      <c r="A87" s="6"/>
      <c r="B87" s="17">
        <f t="shared" si="7"/>
        <v>21</v>
      </c>
      <c r="C87" s="18">
        <v>44488</v>
      </c>
      <c r="D87" s="19" t="s">
        <v>18</v>
      </c>
      <c r="E87" s="19" t="s">
        <v>398</v>
      </c>
      <c r="F87" s="35">
        <v>1680</v>
      </c>
      <c r="G87" s="97">
        <v>1710</v>
      </c>
      <c r="H87" s="35">
        <f>1710-1680</f>
        <v>30</v>
      </c>
      <c r="I87" s="20">
        <v>350</v>
      </c>
      <c r="J87" s="21">
        <f t="shared" si="8"/>
        <v>10500</v>
      </c>
      <c r="K87" s="7"/>
      <c r="V87" s="5">
        <f t="shared" si="5"/>
        <v>1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>
        <v>44489</v>
      </c>
      <c r="D88" s="19" t="s">
        <v>18</v>
      </c>
      <c r="E88" s="19" t="s">
        <v>301</v>
      </c>
      <c r="F88" s="35">
        <v>707</v>
      </c>
      <c r="G88" s="97">
        <v>711</v>
      </c>
      <c r="H88" s="35">
        <v>4</v>
      </c>
      <c r="I88" s="20">
        <v>1100</v>
      </c>
      <c r="J88" s="21">
        <f t="shared" si="8"/>
        <v>4400</v>
      </c>
      <c r="K88" s="7"/>
      <c r="V88" s="5">
        <f t="shared" si="5"/>
        <v>1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>
        <v>44489</v>
      </c>
      <c r="D89" s="19" t="s">
        <v>18</v>
      </c>
      <c r="E89" s="19" t="s">
        <v>546</v>
      </c>
      <c r="F89" s="35">
        <v>835</v>
      </c>
      <c r="G89" s="97">
        <v>842</v>
      </c>
      <c r="H89" s="35">
        <f>842-835</f>
        <v>7</v>
      </c>
      <c r="I89" s="20">
        <v>700</v>
      </c>
      <c r="J89" s="21">
        <f t="shared" si="8"/>
        <v>4900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>
        <v>44490</v>
      </c>
      <c r="D90" s="19" t="s">
        <v>18</v>
      </c>
      <c r="E90" s="19" t="s">
        <v>547</v>
      </c>
      <c r="F90" s="35">
        <v>575</v>
      </c>
      <c r="G90" s="97">
        <v>579</v>
      </c>
      <c r="H90" s="35">
        <f>579-575</f>
        <v>4</v>
      </c>
      <c r="I90" s="20">
        <v>675</v>
      </c>
      <c r="J90" s="21">
        <f t="shared" si="8"/>
        <v>2700</v>
      </c>
      <c r="K90" s="7"/>
      <c r="V90" s="5">
        <f t="shared" si="5"/>
        <v>1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>
        <v>44490</v>
      </c>
      <c r="D91" s="19" t="s">
        <v>18</v>
      </c>
      <c r="E91" s="19" t="s">
        <v>548</v>
      </c>
      <c r="F91" s="35">
        <v>607</v>
      </c>
      <c r="G91" s="97">
        <v>620</v>
      </c>
      <c r="H91" s="35">
        <f>620-607</f>
        <v>13</v>
      </c>
      <c r="I91" s="20">
        <v>1250</v>
      </c>
      <c r="J91" s="21">
        <f t="shared" si="8"/>
        <v>16250</v>
      </c>
      <c r="K91" s="7"/>
      <c r="V91" s="5">
        <f t="shared" si="5"/>
        <v>1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>
        <v>44491</v>
      </c>
      <c r="D92" s="19" t="s">
        <v>18</v>
      </c>
      <c r="E92" s="19" t="s">
        <v>445</v>
      </c>
      <c r="F92" s="35">
        <v>1200</v>
      </c>
      <c r="G92" s="97">
        <v>1215</v>
      </c>
      <c r="H92" s="35">
        <v>15</v>
      </c>
      <c r="I92" s="20">
        <v>500</v>
      </c>
      <c r="J92" s="21">
        <f t="shared" si="8"/>
        <v>7500</v>
      </c>
      <c r="K92" s="7"/>
      <c r="V92" s="5">
        <f t="shared" si="5"/>
        <v>1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>
        <v>44491</v>
      </c>
      <c r="D93" s="19" t="s">
        <v>18</v>
      </c>
      <c r="E93" s="19" t="s">
        <v>376</v>
      </c>
      <c r="F93" s="35">
        <v>2150</v>
      </c>
      <c r="G93" s="97">
        <v>2190</v>
      </c>
      <c r="H93" s="35">
        <f>2190-2150</f>
        <v>40</v>
      </c>
      <c r="I93" s="20">
        <v>400</v>
      </c>
      <c r="J93" s="21">
        <f t="shared" si="8"/>
        <v>16000</v>
      </c>
      <c r="K93" s="7"/>
      <c r="V93" s="5">
        <f t="shared" si="5"/>
        <v>1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>
        <v>44494</v>
      </c>
      <c r="D94" s="19" t="s">
        <v>18</v>
      </c>
      <c r="E94" s="19" t="s">
        <v>488</v>
      </c>
      <c r="F94" s="35">
        <v>1675</v>
      </c>
      <c r="G94" s="97">
        <v>1708</v>
      </c>
      <c r="H94" s="35">
        <f>1708-1675</f>
        <v>33</v>
      </c>
      <c r="I94" s="20">
        <v>407</v>
      </c>
      <c r="J94" s="21">
        <f t="shared" si="8"/>
        <v>13431</v>
      </c>
      <c r="K94" s="7"/>
      <c r="V94" s="5">
        <f t="shared" si="5"/>
        <v>1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>
        <v>44494</v>
      </c>
      <c r="D95" s="19" t="s">
        <v>18</v>
      </c>
      <c r="E95" s="19" t="s">
        <v>70</v>
      </c>
      <c r="F95" s="35">
        <v>842</v>
      </c>
      <c r="G95" s="97">
        <v>855</v>
      </c>
      <c r="H95" s="35">
        <f>855-842</f>
        <v>13</v>
      </c>
      <c r="I95" s="20">
        <v>1200</v>
      </c>
      <c r="J95" s="21">
        <f t="shared" si="8"/>
        <v>15600</v>
      </c>
      <c r="K95" s="7"/>
      <c r="V95" s="5">
        <f t="shared" si="5"/>
        <v>1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>
        <v>44495</v>
      </c>
      <c r="D96" s="19" t="s">
        <v>18</v>
      </c>
      <c r="E96" s="19" t="s">
        <v>390</v>
      </c>
      <c r="F96" s="35">
        <v>4230</v>
      </c>
      <c r="G96" s="97">
        <v>4290</v>
      </c>
      <c r="H96" s="35">
        <v>60</v>
      </c>
      <c r="I96" s="20">
        <v>125</v>
      </c>
      <c r="J96" s="21">
        <f t="shared" si="8"/>
        <v>7500</v>
      </c>
      <c r="K96" s="7"/>
      <c r="V96" s="5">
        <f t="shared" si="5"/>
        <v>1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>
        <v>44495</v>
      </c>
      <c r="D97" s="19" t="s">
        <v>18</v>
      </c>
      <c r="E97" s="19" t="s">
        <v>375</v>
      </c>
      <c r="F97" s="35">
        <v>1730</v>
      </c>
      <c r="G97" s="97">
        <v>1760</v>
      </c>
      <c r="H97" s="35">
        <v>30</v>
      </c>
      <c r="I97" s="20">
        <v>475</v>
      </c>
      <c r="J97" s="21">
        <f t="shared" si="8"/>
        <v>14250</v>
      </c>
      <c r="K97" s="7"/>
      <c r="V97" s="5">
        <f t="shared" si="5"/>
        <v>1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>
        <v>44496</v>
      </c>
      <c r="D98" s="19" t="s">
        <v>18</v>
      </c>
      <c r="E98" s="19" t="s">
        <v>549</v>
      </c>
      <c r="F98" s="35">
        <v>887</v>
      </c>
      <c r="G98" s="97">
        <v>901</v>
      </c>
      <c r="H98" s="35">
        <f>901-887</f>
        <v>14</v>
      </c>
      <c r="I98" s="20">
        <v>600</v>
      </c>
      <c r="J98" s="21">
        <f t="shared" si="8"/>
        <v>8400</v>
      </c>
      <c r="K98" s="7"/>
      <c r="V98" s="5">
        <f t="shared" si="5"/>
        <v>1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>
        <v>44496</v>
      </c>
      <c r="D99" s="19" t="s">
        <v>18</v>
      </c>
      <c r="E99" s="19" t="s">
        <v>294</v>
      </c>
      <c r="F99" s="35">
        <v>2010</v>
      </c>
      <c r="G99" s="97">
        <v>2023</v>
      </c>
      <c r="H99" s="35">
        <f>2023-2010</f>
        <v>13</v>
      </c>
      <c r="I99" s="20">
        <v>550</v>
      </c>
      <c r="J99" s="21">
        <f t="shared" si="8"/>
        <v>7150</v>
      </c>
      <c r="K99" s="7"/>
      <c r="V99" s="5">
        <f t="shared" si="5"/>
        <v>1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>
        <v>44497</v>
      </c>
      <c r="D100" s="19" t="s">
        <v>18</v>
      </c>
      <c r="E100" s="19" t="s">
        <v>550</v>
      </c>
      <c r="F100" s="35">
        <v>303</v>
      </c>
      <c r="G100" s="97">
        <v>311</v>
      </c>
      <c r="H100" s="35">
        <f>311-303</f>
        <v>8</v>
      </c>
      <c r="I100" s="20">
        <v>1800</v>
      </c>
      <c r="J100" s="21">
        <f t="shared" si="8"/>
        <v>14400</v>
      </c>
      <c r="K100" s="7"/>
      <c r="V100" s="5">
        <f t="shared" si="5"/>
        <v>1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>
        <v>44497</v>
      </c>
      <c r="D101" s="19" t="s">
        <v>18</v>
      </c>
      <c r="E101" s="19" t="s">
        <v>500</v>
      </c>
      <c r="F101" s="35">
        <v>526</v>
      </c>
      <c r="G101" s="97">
        <v>537</v>
      </c>
      <c r="H101" s="35">
        <f>537-526</f>
        <v>11</v>
      </c>
      <c r="I101" s="20">
        <v>1500</v>
      </c>
      <c r="J101" s="21">
        <f t="shared" si="8"/>
        <v>16500</v>
      </c>
      <c r="K101" s="7"/>
      <c r="V101" s="5">
        <f t="shared" si="5"/>
        <v>1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>
        <v>44498</v>
      </c>
      <c r="D102" s="19" t="s">
        <v>18</v>
      </c>
      <c r="E102" s="19" t="s">
        <v>75</v>
      </c>
      <c r="F102" s="35">
        <v>799</v>
      </c>
      <c r="G102" s="97">
        <v>807</v>
      </c>
      <c r="H102" s="35">
        <f>807-799</f>
        <v>8</v>
      </c>
      <c r="I102" s="20">
        <v>1375</v>
      </c>
      <c r="J102" s="21">
        <f t="shared" si="8"/>
        <v>11000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>
        <v>44498</v>
      </c>
      <c r="D103" s="19" t="s">
        <v>18</v>
      </c>
      <c r="E103" s="19" t="s">
        <v>542</v>
      </c>
      <c r="F103" s="35">
        <v>940</v>
      </c>
      <c r="G103" s="97">
        <v>950</v>
      </c>
      <c r="H103" s="35">
        <v>10</v>
      </c>
      <c r="I103" s="20">
        <v>850</v>
      </c>
      <c r="J103" s="21">
        <f t="shared" si="8"/>
        <v>8500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>
        <f t="shared" si="5"/>
        <v>0</v>
      </c>
      <c r="W106" s="5">
        <f t="shared" si="6"/>
        <v>0</v>
      </c>
    </row>
    <row r="107" spans="1:23" s="36" customFormat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>
        <f t="shared" si="5"/>
        <v>0</v>
      </c>
      <c r="W107" s="5">
        <f t="shared" si="6"/>
        <v>0</v>
      </c>
    </row>
    <row r="108" spans="1:23" s="36" customFormat="1" ht="15" thickBot="1" x14ac:dyDescent="0.35">
      <c r="A108" s="6"/>
      <c r="B108" s="17">
        <f t="shared" si="7"/>
        <v>42</v>
      </c>
      <c r="C108" s="18"/>
      <c r="D108" s="19"/>
      <c r="E108" s="19"/>
      <c r="F108" s="35"/>
      <c r="G108" s="35"/>
      <c r="H108" s="35"/>
      <c r="I108" s="20"/>
      <c r="J108" s="21">
        <f t="shared" si="8"/>
        <v>0</v>
      </c>
      <c r="K108" s="7"/>
      <c r="V108" s="5">
        <f t="shared" si="5"/>
        <v>0</v>
      </c>
      <c r="W108" s="5">
        <f t="shared" si="6"/>
        <v>0</v>
      </c>
    </row>
    <row r="109" spans="1:23" s="36" customFormat="1" ht="15" hidden="1" thickBot="1" x14ac:dyDescent="0.35">
      <c r="A109" s="6"/>
      <c r="B109" s="17">
        <f t="shared" si="7"/>
        <v>43</v>
      </c>
      <c r="C109" s="18"/>
      <c r="D109" s="19"/>
      <c r="E109" s="19"/>
      <c r="F109" s="35"/>
      <c r="G109" s="35"/>
      <c r="H109" s="35"/>
      <c r="I109" s="20"/>
      <c r="J109" s="21">
        <f t="shared" si="8"/>
        <v>0</v>
      </c>
      <c r="K109" s="7"/>
      <c r="V109" s="5">
        <f t="shared" si="5"/>
        <v>0</v>
      </c>
      <c r="W109" s="5">
        <f t="shared" si="6"/>
        <v>0</v>
      </c>
    </row>
    <row r="110" spans="1:23" s="36" customFormat="1" ht="15" hidden="1" thickBot="1" x14ac:dyDescent="0.35">
      <c r="A110" s="6"/>
      <c r="B110" s="17">
        <f t="shared" si="7"/>
        <v>44</v>
      </c>
      <c r="C110" s="18"/>
      <c r="D110" s="19"/>
      <c r="E110" s="19"/>
      <c r="F110" s="35"/>
      <c r="G110" s="35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t="15" hidden="1" thickBot="1" x14ac:dyDescent="0.35">
      <c r="A111" s="6"/>
      <c r="B111" s="17">
        <f t="shared" si="7"/>
        <v>45</v>
      </c>
      <c r="C111" s="18"/>
      <c r="D111" s="19"/>
      <c r="E111" s="19"/>
      <c r="F111" s="35"/>
      <c r="G111" s="35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t="15" hidden="1" thickBot="1" x14ac:dyDescent="0.35">
      <c r="A112" s="6"/>
      <c r="B112" s="17">
        <f t="shared" si="7"/>
        <v>46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t="15" hidden="1" thickBot="1" x14ac:dyDescent="0.35">
      <c r="A113" s="6"/>
      <c r="B113" s="17">
        <f t="shared" si="7"/>
        <v>47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t="15" hidden="1" thickBot="1" x14ac:dyDescent="0.35">
      <c r="A114" s="6"/>
      <c r="B114" s="17">
        <f t="shared" si="7"/>
        <v>48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t="15" hidden="1" thickBot="1" x14ac:dyDescent="0.35">
      <c r="A115" s="6"/>
      <c r="B115" s="17">
        <f t="shared" si="7"/>
        <v>49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t="15" hidden="1" thickBot="1" x14ac:dyDescent="0.35">
      <c r="A116" s="6"/>
      <c r="B116" s="17">
        <f t="shared" si="7"/>
        <v>50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t="15" hidden="1" thickBot="1" x14ac:dyDescent="0.35">
      <c r="A117" s="6"/>
      <c r="B117" s="17">
        <f t="shared" si="7"/>
        <v>51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t="15" hidden="1" thickBot="1" x14ac:dyDescent="0.35">
      <c r="A118" s="6"/>
      <c r="B118" s="17">
        <f t="shared" si="7"/>
        <v>52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t="15" hidden="1" thickBot="1" x14ac:dyDescent="0.35">
      <c r="A119" s="6"/>
      <c r="B119" s="17">
        <f t="shared" si="7"/>
        <v>53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hidden="1" thickBot="1" x14ac:dyDescent="0.35">
      <c r="A120" s="6"/>
      <c r="B120" s="17">
        <f t="shared" si="7"/>
        <v>54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15" hidden="1" thickBot="1" x14ac:dyDescent="0.35">
      <c r="A121" s="6"/>
      <c r="B121" s="17">
        <f t="shared" si="7"/>
        <v>55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56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15" hidden="1" thickBot="1" x14ac:dyDescent="0.35">
      <c r="A123" s="6"/>
      <c r="B123" s="17">
        <f t="shared" si="7"/>
        <v>57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hidden="1" thickBot="1" x14ac:dyDescent="0.35">
      <c r="A124" s="6"/>
      <c r="B124" s="17">
        <f t="shared" si="7"/>
        <v>58</v>
      </c>
      <c r="C124" s="79"/>
      <c r="D124" s="80"/>
      <c r="E124" s="80"/>
      <c r="F124" s="81"/>
      <c r="G124" s="81"/>
      <c r="H124" s="80"/>
      <c r="I124" s="81"/>
      <c r="J124" s="82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24" thickBot="1" x14ac:dyDescent="0.5">
      <c r="A125" s="6"/>
      <c r="B125" s="144" t="s">
        <v>22</v>
      </c>
      <c r="C125" s="145"/>
      <c r="D125" s="145"/>
      <c r="E125" s="145"/>
      <c r="F125" s="145"/>
      <c r="G125" s="145"/>
      <c r="H125" s="146"/>
      <c r="I125" s="83" t="s">
        <v>23</v>
      </c>
      <c r="J125" s="84">
        <f>SUM(J67:J124)</f>
        <v>410956</v>
      </c>
      <c r="K125" s="7"/>
      <c r="L125" s="5"/>
      <c r="M125" s="5"/>
      <c r="N125" s="5"/>
      <c r="O125" s="5"/>
      <c r="P125" s="5"/>
      <c r="Q125" s="5"/>
      <c r="R125" s="5"/>
      <c r="V125" s="36">
        <f>SUM(V67:V124)</f>
        <v>32</v>
      </c>
      <c r="W125" s="36">
        <f>SUM(W67:W124)</f>
        <v>3</v>
      </c>
    </row>
    <row r="126" spans="1:23" s="36" customFormat="1" ht="30" customHeight="1" thickBot="1" x14ac:dyDescent="0.35">
      <c r="A126" s="30"/>
      <c r="B126" s="31"/>
      <c r="C126" s="31"/>
      <c r="D126" s="31"/>
      <c r="E126" s="31"/>
      <c r="F126" s="31"/>
      <c r="G126" s="31"/>
      <c r="H126" s="32"/>
      <c r="I126" s="31"/>
      <c r="J126" s="32"/>
      <c r="K126" s="33"/>
      <c r="L126" s="5"/>
      <c r="M126" s="5"/>
      <c r="N126" s="5"/>
      <c r="O126" s="5"/>
      <c r="P126" s="5"/>
      <c r="Q126" s="5"/>
      <c r="R126" s="5"/>
    </row>
    <row r="127" spans="1:23" ht="15" thickBot="1" x14ac:dyDescent="0.35"/>
    <row r="128" spans="1:23" s="36" customFormat="1" ht="30" customHeight="1" thickBot="1" x14ac:dyDescent="0.35">
      <c r="A128" s="1"/>
      <c r="B128" s="2"/>
      <c r="C128" s="2"/>
      <c r="D128" s="2"/>
      <c r="E128" s="2"/>
      <c r="F128" s="2"/>
      <c r="G128" s="2"/>
      <c r="H128" s="3"/>
      <c r="I128" s="2"/>
      <c r="J128" s="3"/>
      <c r="K128" s="4"/>
    </row>
    <row r="129" spans="1:23" s="36" customFormat="1" ht="25.2" thickBot="1" x14ac:dyDescent="0.35">
      <c r="A129" s="6" t="s">
        <v>1</v>
      </c>
      <c r="B129" s="119" t="s">
        <v>2</v>
      </c>
      <c r="C129" s="120"/>
      <c r="D129" s="120"/>
      <c r="E129" s="120"/>
      <c r="F129" s="120"/>
      <c r="G129" s="120"/>
      <c r="H129" s="120"/>
      <c r="I129" s="120"/>
      <c r="J129" s="121"/>
      <c r="K129" s="7"/>
    </row>
    <row r="130" spans="1:23" s="36" customFormat="1" ht="16.2" thickBot="1" x14ac:dyDescent="0.35">
      <c r="A130" s="6"/>
      <c r="B130" s="168" t="s">
        <v>502</v>
      </c>
      <c r="C130" s="169"/>
      <c r="D130" s="169"/>
      <c r="E130" s="169"/>
      <c r="F130" s="169"/>
      <c r="G130" s="169"/>
      <c r="H130" s="169"/>
      <c r="I130" s="169"/>
      <c r="J130" s="170"/>
      <c r="K130" s="7"/>
      <c r="L130" s="22"/>
    </row>
    <row r="131" spans="1:23" s="36" customFormat="1" ht="16.2" thickBot="1" x14ac:dyDescent="0.35">
      <c r="A131" s="6"/>
      <c r="B131" s="106" t="s">
        <v>215</v>
      </c>
      <c r="C131" s="107"/>
      <c r="D131" s="107"/>
      <c r="E131" s="107"/>
      <c r="F131" s="107"/>
      <c r="G131" s="107"/>
      <c r="H131" s="107"/>
      <c r="I131" s="107"/>
      <c r="J131" s="108"/>
      <c r="K131" s="7"/>
    </row>
    <row r="132" spans="1:23" s="22" customFormat="1" ht="15" thickBot="1" x14ac:dyDescent="0.35">
      <c r="A132" s="69"/>
      <c r="B132" s="70" t="s">
        <v>9</v>
      </c>
      <c r="C132" s="71" t="s">
        <v>10</v>
      </c>
      <c r="D132" s="72" t="s">
        <v>11</v>
      </c>
      <c r="E132" s="72" t="s">
        <v>12</v>
      </c>
      <c r="F132" s="73" t="s">
        <v>65</v>
      </c>
      <c r="G132" s="73" t="s">
        <v>66</v>
      </c>
      <c r="H132" s="74" t="s">
        <v>67</v>
      </c>
      <c r="I132" s="73" t="s">
        <v>68</v>
      </c>
      <c r="J132" s="75" t="s">
        <v>17</v>
      </c>
      <c r="K132" s="76"/>
      <c r="L132" s="36"/>
      <c r="M132" s="36"/>
      <c r="N132" s="36"/>
      <c r="O132" s="36" t="s">
        <v>21</v>
      </c>
      <c r="P132" s="36"/>
      <c r="Q132" s="36"/>
      <c r="R132" s="36"/>
      <c r="V132" s="5" t="s">
        <v>5</v>
      </c>
      <c r="W132" s="5" t="s">
        <v>6</v>
      </c>
    </row>
    <row r="133" spans="1:23" s="36" customFormat="1" x14ac:dyDescent="0.3">
      <c r="A133" s="6"/>
      <c r="B133" s="14">
        <v>1</v>
      </c>
      <c r="C133" s="93">
        <v>44473</v>
      </c>
      <c r="D133" s="94" t="s">
        <v>18</v>
      </c>
      <c r="E133" s="94" t="s">
        <v>481</v>
      </c>
      <c r="F133" s="60">
        <v>100</v>
      </c>
      <c r="G133" s="60">
        <v>130</v>
      </c>
      <c r="H133" s="60">
        <v>30</v>
      </c>
      <c r="I133" s="15">
        <v>300</v>
      </c>
      <c r="J133" s="16">
        <f t="shared" ref="J133:J178" si="9">I133*H133</f>
        <v>9000</v>
      </c>
      <c r="K133" s="7"/>
      <c r="V133" s="5">
        <f t="shared" ref="V133:V178" si="10">IF($J133&gt;0,1,0)</f>
        <v>1</v>
      </c>
      <c r="W133" s="5">
        <f t="shared" ref="W133:W178" si="11">IF($J133&lt;0,1,0)</f>
        <v>0</v>
      </c>
    </row>
    <row r="134" spans="1:23" s="36" customFormat="1" x14ac:dyDescent="0.3">
      <c r="A134" s="6"/>
      <c r="B134" s="17">
        <f>B133+1</f>
        <v>2</v>
      </c>
      <c r="C134" s="18">
        <v>44473</v>
      </c>
      <c r="D134" s="19" t="s">
        <v>18</v>
      </c>
      <c r="E134" s="19" t="s">
        <v>524</v>
      </c>
      <c r="F134" s="35">
        <v>80</v>
      </c>
      <c r="G134" s="35">
        <v>86</v>
      </c>
      <c r="H134" s="35">
        <v>6</v>
      </c>
      <c r="I134" s="20">
        <v>300</v>
      </c>
      <c r="J134" s="21">
        <f t="shared" si="9"/>
        <v>1800</v>
      </c>
      <c r="K134" s="7"/>
      <c r="L134" s="36" t="s">
        <v>21</v>
      </c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ref="B135:B155" si="12">B134+1</f>
        <v>3</v>
      </c>
      <c r="C135" s="18">
        <v>44474</v>
      </c>
      <c r="D135" s="19" t="s">
        <v>18</v>
      </c>
      <c r="E135" s="19" t="s">
        <v>482</v>
      </c>
      <c r="F135" s="35">
        <v>80</v>
      </c>
      <c r="G135" s="35">
        <v>90</v>
      </c>
      <c r="H135" s="35">
        <v>10</v>
      </c>
      <c r="I135" s="20">
        <v>300</v>
      </c>
      <c r="J135" s="21">
        <f t="shared" si="9"/>
        <v>3000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4</v>
      </c>
      <c r="C136" s="18">
        <v>44474</v>
      </c>
      <c r="D136" s="19" t="s">
        <v>18</v>
      </c>
      <c r="E136" s="19" t="s">
        <v>482</v>
      </c>
      <c r="F136" s="35">
        <v>85</v>
      </c>
      <c r="G136" s="35">
        <v>115</v>
      </c>
      <c r="H136" s="35">
        <v>30</v>
      </c>
      <c r="I136" s="20">
        <v>300</v>
      </c>
      <c r="J136" s="21">
        <f t="shared" si="9"/>
        <v>9000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5</v>
      </c>
      <c r="C137" s="18">
        <v>44475</v>
      </c>
      <c r="D137" s="19" t="s">
        <v>18</v>
      </c>
      <c r="E137" s="19" t="s">
        <v>525</v>
      </c>
      <c r="F137" s="35">
        <v>65</v>
      </c>
      <c r="G137" s="35">
        <v>50</v>
      </c>
      <c r="H137" s="35">
        <v>-15</v>
      </c>
      <c r="I137" s="20">
        <v>300</v>
      </c>
      <c r="J137" s="21">
        <f t="shared" si="9"/>
        <v>-4500</v>
      </c>
      <c r="K137" s="7"/>
      <c r="V137" s="5">
        <f t="shared" si="10"/>
        <v>0</v>
      </c>
      <c r="W137" s="5">
        <f t="shared" si="11"/>
        <v>1</v>
      </c>
    </row>
    <row r="138" spans="1:23" s="36" customFormat="1" x14ac:dyDescent="0.3">
      <c r="A138" s="6"/>
      <c r="B138" s="17">
        <f t="shared" si="12"/>
        <v>6</v>
      </c>
      <c r="C138" s="18">
        <v>44475</v>
      </c>
      <c r="D138" s="19" t="s">
        <v>18</v>
      </c>
      <c r="E138" s="19" t="s">
        <v>477</v>
      </c>
      <c r="F138" s="20">
        <v>100</v>
      </c>
      <c r="G138" s="35">
        <v>105</v>
      </c>
      <c r="H138" s="35">
        <v>5</v>
      </c>
      <c r="I138" s="20">
        <v>300</v>
      </c>
      <c r="J138" s="21">
        <f t="shared" si="9"/>
        <v>1500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7</v>
      </c>
      <c r="C139" s="18">
        <v>44476</v>
      </c>
      <c r="D139" s="19" t="s">
        <v>18</v>
      </c>
      <c r="E139" s="19" t="s">
        <v>477</v>
      </c>
      <c r="F139" s="35">
        <v>45</v>
      </c>
      <c r="G139" s="35">
        <v>72</v>
      </c>
      <c r="H139" s="35">
        <f>72-45</f>
        <v>27</v>
      </c>
      <c r="I139" s="20">
        <v>300</v>
      </c>
      <c r="J139" s="21">
        <f t="shared" si="9"/>
        <v>8100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8</v>
      </c>
      <c r="C140" s="18">
        <v>44476</v>
      </c>
      <c r="D140" s="19" t="s">
        <v>18</v>
      </c>
      <c r="E140" s="19" t="s">
        <v>524</v>
      </c>
      <c r="F140" s="35">
        <v>75</v>
      </c>
      <c r="G140" s="35">
        <v>55</v>
      </c>
      <c r="H140" s="35">
        <v>-20</v>
      </c>
      <c r="I140" s="20">
        <v>300</v>
      </c>
      <c r="J140" s="21">
        <f t="shared" si="9"/>
        <v>-6000</v>
      </c>
      <c r="K140" s="7"/>
      <c r="V140" s="5">
        <f t="shared" si="10"/>
        <v>0</v>
      </c>
      <c r="W140" s="5">
        <f t="shared" si="11"/>
        <v>1</v>
      </c>
    </row>
    <row r="141" spans="1:23" s="36" customFormat="1" x14ac:dyDescent="0.3">
      <c r="A141" s="6"/>
      <c r="B141" s="17">
        <f t="shared" si="12"/>
        <v>9</v>
      </c>
      <c r="C141" s="18">
        <v>44477</v>
      </c>
      <c r="D141" s="19" t="s">
        <v>18</v>
      </c>
      <c r="E141" s="19" t="s">
        <v>484</v>
      </c>
      <c r="F141" s="35">
        <v>75</v>
      </c>
      <c r="G141" s="35">
        <v>100</v>
      </c>
      <c r="H141" s="35">
        <f>100-75</f>
        <v>25</v>
      </c>
      <c r="I141" s="20">
        <v>300</v>
      </c>
      <c r="J141" s="21">
        <f t="shared" si="9"/>
        <v>7500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10</v>
      </c>
      <c r="C142" s="18">
        <v>44477</v>
      </c>
      <c r="D142" s="19" t="s">
        <v>18</v>
      </c>
      <c r="E142" s="19" t="s">
        <v>526</v>
      </c>
      <c r="F142" s="35">
        <v>85</v>
      </c>
      <c r="G142" s="35">
        <v>92</v>
      </c>
      <c r="H142" s="35">
        <f>92-85</f>
        <v>7</v>
      </c>
      <c r="I142" s="20">
        <v>300</v>
      </c>
      <c r="J142" s="21">
        <f t="shared" si="9"/>
        <v>2100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11</v>
      </c>
      <c r="C143" s="18">
        <v>44480</v>
      </c>
      <c r="D143" s="19" t="s">
        <v>18</v>
      </c>
      <c r="E143" s="19" t="s">
        <v>484</v>
      </c>
      <c r="F143" s="19">
        <v>95</v>
      </c>
      <c r="G143" s="35">
        <v>115</v>
      </c>
      <c r="H143" s="35">
        <f>115-95</f>
        <v>20</v>
      </c>
      <c r="I143" s="20">
        <v>300</v>
      </c>
      <c r="J143" s="21">
        <f t="shared" si="9"/>
        <v>6000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12</v>
      </c>
      <c r="C144" s="18">
        <v>44480</v>
      </c>
      <c r="D144" s="19" t="s">
        <v>18</v>
      </c>
      <c r="E144" s="19" t="s">
        <v>527</v>
      </c>
      <c r="F144" s="35">
        <v>85</v>
      </c>
      <c r="G144" s="35">
        <v>93</v>
      </c>
      <c r="H144" s="35">
        <f>93-85</f>
        <v>8</v>
      </c>
      <c r="I144" s="20">
        <v>300</v>
      </c>
      <c r="J144" s="21">
        <f t="shared" si="9"/>
        <v>2400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13</v>
      </c>
      <c r="C145" s="18">
        <v>44481</v>
      </c>
      <c r="D145" s="19" t="s">
        <v>18</v>
      </c>
      <c r="E145" s="19" t="s">
        <v>484</v>
      </c>
      <c r="F145" s="35">
        <v>85</v>
      </c>
      <c r="G145" s="35">
        <v>92</v>
      </c>
      <c r="H145" s="35">
        <f>92-85</f>
        <v>7</v>
      </c>
      <c r="I145" s="20">
        <v>300</v>
      </c>
      <c r="J145" s="21">
        <f t="shared" si="9"/>
        <v>2100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14</v>
      </c>
      <c r="C146" s="18">
        <v>44481</v>
      </c>
      <c r="D146" s="19" t="s">
        <v>18</v>
      </c>
      <c r="E146" s="19" t="s">
        <v>484</v>
      </c>
      <c r="F146" s="77">
        <v>75</v>
      </c>
      <c r="G146" s="35">
        <v>105</v>
      </c>
      <c r="H146" s="78">
        <v>30</v>
      </c>
      <c r="I146" s="20">
        <v>300</v>
      </c>
      <c r="J146" s="21">
        <f t="shared" si="9"/>
        <v>9000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15</v>
      </c>
      <c r="C147" s="18">
        <v>44482</v>
      </c>
      <c r="D147" s="19" t="s">
        <v>18</v>
      </c>
      <c r="E147" s="19" t="s">
        <v>527</v>
      </c>
      <c r="F147" s="35">
        <v>85</v>
      </c>
      <c r="G147" s="35">
        <v>115</v>
      </c>
      <c r="H147" s="78">
        <v>30</v>
      </c>
      <c r="I147" s="20">
        <v>300</v>
      </c>
      <c r="J147" s="21">
        <f t="shared" si="9"/>
        <v>9000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16</v>
      </c>
      <c r="C148" s="18">
        <v>44482</v>
      </c>
      <c r="D148" s="19" t="s">
        <v>18</v>
      </c>
      <c r="E148" s="19" t="s">
        <v>528</v>
      </c>
      <c r="F148" s="35">
        <v>80</v>
      </c>
      <c r="G148" s="35">
        <v>110</v>
      </c>
      <c r="H148" s="78">
        <v>30</v>
      </c>
      <c r="I148" s="20">
        <v>300</v>
      </c>
      <c r="J148" s="21">
        <f t="shared" si="9"/>
        <v>9000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17</v>
      </c>
      <c r="C149" s="18">
        <v>44483</v>
      </c>
      <c r="D149" s="19" t="s">
        <v>18</v>
      </c>
      <c r="E149" s="19" t="s">
        <v>529</v>
      </c>
      <c r="F149" s="35">
        <v>45</v>
      </c>
      <c r="G149" s="35">
        <v>30</v>
      </c>
      <c r="H149" s="78">
        <v>-15</v>
      </c>
      <c r="I149" s="20">
        <v>300</v>
      </c>
      <c r="J149" s="21">
        <f t="shared" si="9"/>
        <v>-4500</v>
      </c>
      <c r="K149" s="7"/>
      <c r="V149" s="5">
        <f t="shared" si="10"/>
        <v>0</v>
      </c>
      <c r="W149" s="5">
        <f t="shared" si="11"/>
        <v>1</v>
      </c>
    </row>
    <row r="150" spans="1:23" s="36" customFormat="1" x14ac:dyDescent="0.3">
      <c r="A150" s="6"/>
      <c r="B150" s="17">
        <f t="shared" si="12"/>
        <v>18</v>
      </c>
      <c r="C150" s="18">
        <v>44487</v>
      </c>
      <c r="D150" s="19" t="s">
        <v>18</v>
      </c>
      <c r="E150" s="19" t="s">
        <v>530</v>
      </c>
      <c r="F150" s="35">
        <v>95</v>
      </c>
      <c r="G150" s="35">
        <v>116</v>
      </c>
      <c r="H150" s="78">
        <f>116-95</f>
        <v>21</v>
      </c>
      <c r="I150" s="20">
        <v>300</v>
      </c>
      <c r="J150" s="21">
        <f t="shared" si="9"/>
        <v>6300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19</v>
      </c>
      <c r="C151" s="18">
        <v>44487</v>
      </c>
      <c r="D151" s="19" t="s">
        <v>18</v>
      </c>
      <c r="E151" s="19" t="s">
        <v>531</v>
      </c>
      <c r="F151" s="35">
        <v>80</v>
      </c>
      <c r="G151" s="35">
        <v>101</v>
      </c>
      <c r="H151" s="78">
        <f>101-80</f>
        <v>21</v>
      </c>
      <c r="I151" s="20">
        <v>300</v>
      </c>
      <c r="J151" s="21">
        <f t="shared" si="9"/>
        <v>6300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20</v>
      </c>
      <c r="C152" s="18">
        <v>44488</v>
      </c>
      <c r="D152" s="19" t="s">
        <v>18</v>
      </c>
      <c r="E152" s="19" t="s">
        <v>531</v>
      </c>
      <c r="F152" s="35">
        <v>80</v>
      </c>
      <c r="G152" s="35">
        <v>105</v>
      </c>
      <c r="H152" s="35">
        <f>105-80</f>
        <v>25</v>
      </c>
      <c r="I152" s="20">
        <v>300</v>
      </c>
      <c r="J152" s="21">
        <f t="shared" si="9"/>
        <v>7500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21</v>
      </c>
      <c r="C153" s="18">
        <v>44488</v>
      </c>
      <c r="D153" s="19" t="s">
        <v>18</v>
      </c>
      <c r="E153" s="19" t="s">
        <v>532</v>
      </c>
      <c r="F153" s="35">
        <v>70</v>
      </c>
      <c r="G153" s="35">
        <v>55</v>
      </c>
      <c r="H153" s="35">
        <v>-15</v>
      </c>
      <c r="I153" s="20">
        <v>300</v>
      </c>
      <c r="J153" s="21">
        <f t="shared" si="9"/>
        <v>-4500</v>
      </c>
      <c r="K153" s="7"/>
      <c r="V153" s="5">
        <f t="shared" si="10"/>
        <v>0</v>
      </c>
      <c r="W153" s="5">
        <f t="shared" si="11"/>
        <v>1</v>
      </c>
    </row>
    <row r="154" spans="1:23" s="36" customFormat="1" x14ac:dyDescent="0.3">
      <c r="A154" s="6"/>
      <c r="B154" s="17">
        <f t="shared" si="12"/>
        <v>22</v>
      </c>
      <c r="C154" s="18">
        <v>44489</v>
      </c>
      <c r="D154" s="19" t="s">
        <v>18</v>
      </c>
      <c r="E154" s="19" t="s">
        <v>533</v>
      </c>
      <c r="F154" s="35">
        <v>90</v>
      </c>
      <c r="G154" s="35">
        <v>116</v>
      </c>
      <c r="H154" s="35">
        <f>116-90</f>
        <v>26</v>
      </c>
      <c r="I154" s="20">
        <v>300</v>
      </c>
      <c r="J154" s="21">
        <f t="shared" si="9"/>
        <v>7800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2"/>
        <v>23</v>
      </c>
      <c r="C155" s="18">
        <v>44489</v>
      </c>
      <c r="D155" s="19" t="s">
        <v>18</v>
      </c>
      <c r="E155" s="19" t="s">
        <v>534</v>
      </c>
      <c r="F155" s="35">
        <v>85</v>
      </c>
      <c r="G155" s="35">
        <v>70</v>
      </c>
      <c r="H155" s="35">
        <v>-15</v>
      </c>
      <c r="I155" s="20">
        <v>300</v>
      </c>
      <c r="J155" s="21">
        <f t="shared" si="9"/>
        <v>-4500</v>
      </c>
      <c r="K155" s="7"/>
      <c r="V155" s="5">
        <f t="shared" si="10"/>
        <v>0</v>
      </c>
      <c r="W155" s="5">
        <f t="shared" si="11"/>
        <v>1</v>
      </c>
    </row>
    <row r="156" spans="1:23" s="36" customFormat="1" x14ac:dyDescent="0.3">
      <c r="A156" s="6"/>
      <c r="B156" s="17">
        <f>B155+1</f>
        <v>24</v>
      </c>
      <c r="C156" s="18">
        <v>44490</v>
      </c>
      <c r="D156" s="19" t="s">
        <v>18</v>
      </c>
      <c r="E156" s="19" t="s">
        <v>535</v>
      </c>
      <c r="F156" s="35">
        <v>70</v>
      </c>
      <c r="G156" s="35">
        <v>74</v>
      </c>
      <c r="H156" s="35">
        <v>4</v>
      </c>
      <c r="I156" s="20">
        <v>300</v>
      </c>
      <c r="J156" s="21">
        <f t="shared" si="9"/>
        <v>1200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ref="B157:B178" si="13">B156+1</f>
        <v>25</v>
      </c>
      <c r="C157" s="18">
        <v>44490</v>
      </c>
      <c r="D157" s="19" t="s">
        <v>18</v>
      </c>
      <c r="E157" s="19" t="s">
        <v>536</v>
      </c>
      <c r="F157" s="35">
        <v>65</v>
      </c>
      <c r="G157" s="35">
        <v>95</v>
      </c>
      <c r="H157" s="35">
        <v>30</v>
      </c>
      <c r="I157" s="20">
        <v>300</v>
      </c>
      <c r="J157" s="21">
        <f t="shared" si="9"/>
        <v>9000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3"/>
        <v>26</v>
      </c>
      <c r="C158" s="18">
        <v>44491</v>
      </c>
      <c r="D158" s="19" t="s">
        <v>18</v>
      </c>
      <c r="E158" s="19" t="s">
        <v>533</v>
      </c>
      <c r="F158" s="35">
        <v>95</v>
      </c>
      <c r="G158" s="35">
        <v>100</v>
      </c>
      <c r="H158" s="35">
        <v>5</v>
      </c>
      <c r="I158" s="20">
        <v>300</v>
      </c>
      <c r="J158" s="21">
        <f t="shared" si="9"/>
        <v>1500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3"/>
        <v>27</v>
      </c>
      <c r="C159" s="18">
        <v>44491</v>
      </c>
      <c r="D159" s="19" t="s">
        <v>18</v>
      </c>
      <c r="E159" s="19" t="s">
        <v>537</v>
      </c>
      <c r="F159" s="35">
        <v>90</v>
      </c>
      <c r="G159" s="35">
        <v>120</v>
      </c>
      <c r="H159" s="35">
        <v>30</v>
      </c>
      <c r="I159" s="20">
        <v>300</v>
      </c>
      <c r="J159" s="21">
        <f t="shared" si="9"/>
        <v>9000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 t="shared" si="13"/>
        <v>28</v>
      </c>
      <c r="C160" s="18">
        <v>44494</v>
      </c>
      <c r="D160" s="19" t="s">
        <v>18</v>
      </c>
      <c r="E160" s="19" t="s">
        <v>538</v>
      </c>
      <c r="F160" s="35">
        <v>75</v>
      </c>
      <c r="G160" s="35">
        <v>65</v>
      </c>
      <c r="H160" s="35">
        <v>-10</v>
      </c>
      <c r="I160" s="20">
        <v>300</v>
      </c>
      <c r="J160" s="21">
        <f t="shared" si="9"/>
        <v>-3000</v>
      </c>
      <c r="K160" s="7"/>
      <c r="V160" s="5">
        <f t="shared" si="10"/>
        <v>0</v>
      </c>
      <c r="W160" s="5">
        <f t="shared" si="11"/>
        <v>1</v>
      </c>
    </row>
    <row r="161" spans="1:23" s="36" customFormat="1" x14ac:dyDescent="0.3">
      <c r="A161" s="6"/>
      <c r="B161" s="17">
        <f t="shared" si="13"/>
        <v>29</v>
      </c>
      <c r="C161" s="18">
        <v>44494</v>
      </c>
      <c r="D161" s="19" t="s">
        <v>18</v>
      </c>
      <c r="E161" s="19" t="s">
        <v>539</v>
      </c>
      <c r="F161" s="35">
        <v>95</v>
      </c>
      <c r="G161" s="35">
        <v>125</v>
      </c>
      <c r="H161" s="35">
        <v>30</v>
      </c>
      <c r="I161" s="20">
        <v>300</v>
      </c>
      <c r="J161" s="21">
        <f t="shared" si="9"/>
        <v>9000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30</v>
      </c>
      <c r="C162" s="18">
        <v>44495</v>
      </c>
      <c r="D162" s="19" t="s">
        <v>18</v>
      </c>
      <c r="E162" s="19" t="s">
        <v>540</v>
      </c>
      <c r="F162" s="35">
        <v>80</v>
      </c>
      <c r="G162" s="35">
        <v>99</v>
      </c>
      <c r="H162" s="35">
        <f>99-80</f>
        <v>19</v>
      </c>
      <c r="I162" s="20">
        <v>300</v>
      </c>
      <c r="J162" s="21">
        <f t="shared" si="9"/>
        <v>5700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31</v>
      </c>
      <c r="C163" s="18">
        <v>44495</v>
      </c>
      <c r="D163" s="19" t="s">
        <v>18</v>
      </c>
      <c r="E163" s="19" t="s">
        <v>529</v>
      </c>
      <c r="F163" s="35">
        <v>75</v>
      </c>
      <c r="G163" s="35">
        <v>83</v>
      </c>
      <c r="H163" s="35">
        <f>83-75</f>
        <v>8</v>
      </c>
      <c r="I163" s="20">
        <v>300</v>
      </c>
      <c r="J163" s="21">
        <f t="shared" si="9"/>
        <v>2400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32</v>
      </c>
      <c r="C164" s="18">
        <v>44496</v>
      </c>
      <c r="D164" s="19" t="s">
        <v>18</v>
      </c>
      <c r="E164" s="19" t="s">
        <v>540</v>
      </c>
      <c r="F164" s="35">
        <v>90</v>
      </c>
      <c r="G164" s="35">
        <v>105</v>
      </c>
      <c r="H164" s="35">
        <v>15</v>
      </c>
      <c r="I164" s="20">
        <v>300</v>
      </c>
      <c r="J164" s="21">
        <f t="shared" si="9"/>
        <v>4500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3"/>
        <v>33</v>
      </c>
      <c r="C165" s="18">
        <v>44497</v>
      </c>
      <c r="D165" s="19" t="s">
        <v>18</v>
      </c>
      <c r="E165" s="19" t="s">
        <v>541</v>
      </c>
      <c r="F165" s="35">
        <v>60</v>
      </c>
      <c r="G165" s="35">
        <v>90</v>
      </c>
      <c r="H165" s="35">
        <v>30</v>
      </c>
      <c r="I165" s="20">
        <v>300</v>
      </c>
      <c r="J165" s="21">
        <f t="shared" si="9"/>
        <v>9000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3"/>
        <v>34</v>
      </c>
      <c r="C166" s="18">
        <v>44497</v>
      </c>
      <c r="D166" s="19" t="s">
        <v>18</v>
      </c>
      <c r="E166" s="19" t="s">
        <v>541</v>
      </c>
      <c r="F166" s="35">
        <v>80</v>
      </c>
      <c r="G166" s="35">
        <v>100</v>
      </c>
      <c r="H166" s="35">
        <v>30</v>
      </c>
      <c r="I166" s="20">
        <v>300</v>
      </c>
      <c r="J166" s="21">
        <f t="shared" si="9"/>
        <v>9000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3"/>
        <v>35</v>
      </c>
      <c r="C167" s="18">
        <v>44498</v>
      </c>
      <c r="D167" s="19" t="s">
        <v>18</v>
      </c>
      <c r="E167" s="19" t="s">
        <v>484</v>
      </c>
      <c r="F167" s="35">
        <v>100</v>
      </c>
      <c r="G167" s="35">
        <v>130</v>
      </c>
      <c r="H167" s="35">
        <v>30</v>
      </c>
      <c r="I167" s="20">
        <v>300</v>
      </c>
      <c r="J167" s="21">
        <f t="shared" si="9"/>
        <v>9000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3"/>
        <v>36</v>
      </c>
      <c r="C168" s="18">
        <v>44498</v>
      </c>
      <c r="D168" s="19" t="s">
        <v>18</v>
      </c>
      <c r="E168" s="19" t="s">
        <v>486</v>
      </c>
      <c r="F168" s="35">
        <v>95</v>
      </c>
      <c r="G168" s="35">
        <v>80</v>
      </c>
      <c r="H168" s="35">
        <v>-15</v>
      </c>
      <c r="I168" s="20">
        <v>300</v>
      </c>
      <c r="J168" s="21">
        <f t="shared" si="9"/>
        <v>-4500</v>
      </c>
      <c r="K168" s="7"/>
      <c r="V168" s="5">
        <f t="shared" si="10"/>
        <v>0</v>
      </c>
      <c r="W168" s="5">
        <f t="shared" si="11"/>
        <v>1</v>
      </c>
    </row>
    <row r="169" spans="1:23" s="36" customFormat="1" x14ac:dyDescent="0.3">
      <c r="A169" s="6"/>
      <c r="B169" s="17">
        <f t="shared" si="13"/>
        <v>37</v>
      </c>
      <c r="C169" s="18"/>
      <c r="D169" s="19"/>
      <c r="E169" s="19"/>
      <c r="F169" s="35"/>
      <c r="G169" s="35"/>
      <c r="H169" s="35"/>
      <c r="I169" s="20"/>
      <c r="J169" s="21">
        <f t="shared" si="9"/>
        <v>0</v>
      </c>
      <c r="K169" s="7"/>
      <c r="V169" s="5">
        <f t="shared" si="10"/>
        <v>0</v>
      </c>
      <c r="W169" s="5">
        <f t="shared" si="11"/>
        <v>0</v>
      </c>
    </row>
    <row r="170" spans="1:23" s="36" customFormat="1" x14ac:dyDescent="0.3">
      <c r="A170" s="6"/>
      <c r="B170" s="17">
        <f t="shared" si="13"/>
        <v>38</v>
      </c>
      <c r="C170" s="18"/>
      <c r="D170" s="19"/>
      <c r="E170" s="19"/>
      <c r="F170" s="35"/>
      <c r="G170" s="35"/>
      <c r="H170" s="35"/>
      <c r="I170" s="20"/>
      <c r="J170" s="21">
        <f t="shared" si="9"/>
        <v>0</v>
      </c>
      <c r="K170" s="7"/>
      <c r="V170" s="5">
        <f t="shared" si="10"/>
        <v>0</v>
      </c>
      <c r="W170" s="5">
        <f t="shared" si="11"/>
        <v>0</v>
      </c>
    </row>
    <row r="171" spans="1:23" s="36" customFormat="1" x14ac:dyDescent="0.3">
      <c r="A171" s="6"/>
      <c r="B171" s="17">
        <f t="shared" si="13"/>
        <v>39</v>
      </c>
      <c r="C171" s="18"/>
      <c r="D171" s="19"/>
      <c r="E171" s="19"/>
      <c r="F171" s="35"/>
      <c r="G171" s="35"/>
      <c r="H171" s="35"/>
      <c r="I171" s="20"/>
      <c r="J171" s="21">
        <f t="shared" si="9"/>
        <v>0</v>
      </c>
      <c r="K171" s="7"/>
      <c r="V171" s="5">
        <f t="shared" si="10"/>
        <v>0</v>
      </c>
      <c r="W171" s="5">
        <f t="shared" si="11"/>
        <v>0</v>
      </c>
    </row>
    <row r="172" spans="1:23" s="36" customFormat="1" x14ac:dyDescent="0.3">
      <c r="A172" s="6"/>
      <c r="B172" s="17">
        <f t="shared" si="13"/>
        <v>40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x14ac:dyDescent="0.3">
      <c r="A173" s="6"/>
      <c r="B173" s="17">
        <f t="shared" si="13"/>
        <v>41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x14ac:dyDescent="0.3">
      <c r="A174" s="6"/>
      <c r="B174" s="17">
        <f t="shared" si="13"/>
        <v>42</v>
      </c>
      <c r="C174" s="18"/>
      <c r="D174" s="19"/>
      <c r="E174" s="19"/>
      <c r="F174" s="35"/>
      <c r="G174" s="35"/>
      <c r="H174" s="35"/>
      <c r="I174" s="20"/>
      <c r="J174" s="21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x14ac:dyDescent="0.3">
      <c r="A175" s="6"/>
      <c r="B175" s="17">
        <f t="shared" si="13"/>
        <v>43</v>
      </c>
      <c r="C175" s="18"/>
      <c r="D175" s="19"/>
      <c r="E175" s="19"/>
      <c r="F175" s="35"/>
      <c r="G175" s="35"/>
      <c r="H175" s="35"/>
      <c r="I175" s="20"/>
      <c r="J175" s="21">
        <f t="shared" si="9"/>
        <v>0</v>
      </c>
      <c r="K175" s="7"/>
      <c r="V175" s="5">
        <f t="shared" si="10"/>
        <v>0</v>
      </c>
      <c r="W175" s="5">
        <f t="shared" si="11"/>
        <v>0</v>
      </c>
    </row>
    <row r="176" spans="1:23" s="36" customFormat="1" x14ac:dyDescent="0.3">
      <c r="A176" s="6"/>
      <c r="B176" s="17">
        <f t="shared" si="13"/>
        <v>44</v>
      </c>
      <c r="C176" s="18"/>
      <c r="D176" s="19"/>
      <c r="E176" s="19"/>
      <c r="F176" s="35"/>
      <c r="G176" s="35"/>
      <c r="H176" s="35"/>
      <c r="I176" s="20"/>
      <c r="J176" s="21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x14ac:dyDescent="0.3">
      <c r="A177" s="6"/>
      <c r="B177" s="17">
        <f t="shared" si="13"/>
        <v>45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ht="15" thickBot="1" x14ac:dyDescent="0.35">
      <c r="A178" s="6"/>
      <c r="B178" s="95">
        <f t="shared" si="13"/>
        <v>46</v>
      </c>
      <c r="C178" s="79"/>
      <c r="D178" s="80"/>
      <c r="E178" s="80"/>
      <c r="F178" s="96"/>
      <c r="G178" s="96"/>
      <c r="H178" s="96"/>
      <c r="I178" s="81"/>
      <c r="J178" s="82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ht="24" thickBot="1" x14ac:dyDescent="0.5">
      <c r="A179" s="6"/>
      <c r="B179" s="165" t="s">
        <v>22</v>
      </c>
      <c r="C179" s="166"/>
      <c r="D179" s="166"/>
      <c r="E179" s="166"/>
      <c r="F179" s="166"/>
      <c r="G179" s="166"/>
      <c r="H179" s="167"/>
      <c r="I179" s="83" t="s">
        <v>23</v>
      </c>
      <c r="J179" s="84">
        <f>SUM(J133:J178)</f>
        <v>145200</v>
      </c>
      <c r="K179" s="7"/>
      <c r="L179" s="5"/>
      <c r="M179" s="5"/>
      <c r="N179" s="5"/>
      <c r="O179" s="5"/>
      <c r="P179" s="5"/>
      <c r="Q179" s="5"/>
      <c r="R179" s="5"/>
      <c r="V179" s="36">
        <f>SUM(V133:V178)</f>
        <v>29</v>
      </c>
      <c r="W179" s="36">
        <f>SUM(W133:W178)</f>
        <v>7</v>
      </c>
    </row>
    <row r="180" spans="1:23" s="36" customFormat="1" ht="30" customHeight="1" thickBot="1" x14ac:dyDescent="0.35">
      <c r="A180" s="30"/>
      <c r="B180" s="31"/>
      <c r="C180" s="31"/>
      <c r="D180" s="31"/>
      <c r="E180" s="31"/>
      <c r="F180" s="31"/>
      <c r="G180" s="31"/>
      <c r="H180" s="32"/>
      <c r="I180" s="31"/>
      <c r="J180" s="32"/>
      <c r="K180" s="33"/>
      <c r="L180" s="5"/>
      <c r="M180" s="5"/>
      <c r="N180" s="5"/>
      <c r="O180" s="5"/>
      <c r="P180" s="5"/>
      <c r="Q180" s="5"/>
      <c r="R180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B125:H125"/>
    <mergeCell ref="B129:J129"/>
    <mergeCell ref="B130:J130"/>
    <mergeCell ref="B131:J131"/>
    <mergeCell ref="B179:H179"/>
  </mergeCells>
  <hyperlinks>
    <hyperlink ref="B59" r:id="rId1" xr:uid="{00000000-0004-0000-0F00-000000000000}"/>
    <hyperlink ref="B125" r:id="rId2" xr:uid="{00000000-0004-0000-0F00-000001000000}"/>
    <hyperlink ref="B179" r:id="rId3" xr:uid="{00000000-0004-0000-0F00-000002000000}"/>
    <hyperlink ref="M1" location="MASTER!A1" display="Back" xr:uid="{00000000-0004-0000-0F00-000003000000}"/>
    <hyperlink ref="M6:M7" location="'JUNE 2021'!A1" display="EXTRA STOCK FUTURE" xr:uid="{00000000-0004-0000-0F00-000004000000}"/>
  </hyperlinks>
  <pageMargins left="0" right="0" top="0" bottom="0" header="0" footer="0"/>
  <pageSetup paperSize="9" orientation="portrait" r:id="rId4"/>
  <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180"/>
  <sheetViews>
    <sheetView zoomScaleNormal="100" workbookViewId="0">
      <selection activeCell="A140" sqref="A140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44501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95" t="s">
        <v>107</v>
      </c>
      <c r="N4" s="111">
        <f>COUNT(C6:C58)</f>
        <v>28</v>
      </c>
      <c r="O4" s="113">
        <f>V59</f>
        <v>24</v>
      </c>
      <c r="P4" s="113">
        <f>W59</f>
        <v>4</v>
      </c>
      <c r="Q4" s="197">
        <f>N4-O4-P4</f>
        <v>0</v>
      </c>
      <c r="R4" s="199">
        <f>O4/N4</f>
        <v>0.8571428571428571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96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44501</v>
      </c>
      <c r="D6" s="90" t="s">
        <v>18</v>
      </c>
      <c r="E6" s="90" t="s">
        <v>552</v>
      </c>
      <c r="F6" s="90">
        <v>140</v>
      </c>
      <c r="G6" s="90">
        <v>170</v>
      </c>
      <c r="H6" s="91">
        <v>30</v>
      </c>
      <c r="I6" s="90">
        <v>100</v>
      </c>
      <c r="J6" s="92">
        <f t="shared" ref="J6:J58" si="0">H6*I6</f>
        <v>3000</v>
      </c>
      <c r="K6" s="7"/>
      <c r="M6" s="213" t="s">
        <v>108</v>
      </c>
      <c r="N6" s="112">
        <f>COUNT(C67:C124)</f>
        <v>33</v>
      </c>
      <c r="O6" s="114">
        <v>28</v>
      </c>
      <c r="P6" s="114">
        <v>5</v>
      </c>
      <c r="Q6" s="198">
        <v>0</v>
      </c>
      <c r="R6" s="203">
        <f t="shared" ref="R6" si="1">O6/N6</f>
        <v>0.84848484848484851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x14ac:dyDescent="0.3">
      <c r="A7" s="6"/>
      <c r="B7" s="17">
        <v>2</v>
      </c>
      <c r="C7" s="85">
        <v>44501</v>
      </c>
      <c r="D7" s="86" t="s">
        <v>18</v>
      </c>
      <c r="E7" s="86" t="s">
        <v>510</v>
      </c>
      <c r="F7" s="86">
        <v>120</v>
      </c>
      <c r="G7" s="86">
        <v>220</v>
      </c>
      <c r="H7" s="87">
        <v>100</v>
      </c>
      <c r="I7" s="86">
        <v>100</v>
      </c>
      <c r="J7" s="21">
        <f t="shared" si="0"/>
        <v>10000</v>
      </c>
      <c r="K7" s="7"/>
      <c r="M7" s="213"/>
      <c r="N7" s="112"/>
      <c r="O7" s="114"/>
      <c r="P7" s="114"/>
      <c r="Q7" s="198"/>
      <c r="R7" s="200"/>
      <c r="V7" s="5">
        <f t="shared" si="2"/>
        <v>1</v>
      </c>
      <c r="W7" s="5">
        <f t="shared" si="3"/>
        <v>0</v>
      </c>
    </row>
    <row r="8" spans="1:23" x14ac:dyDescent="0.3">
      <c r="A8" s="6"/>
      <c r="B8" s="88">
        <v>3</v>
      </c>
      <c r="C8" s="85">
        <v>44502</v>
      </c>
      <c r="D8" s="86" t="s">
        <v>18</v>
      </c>
      <c r="E8" s="86" t="s">
        <v>516</v>
      </c>
      <c r="F8" s="86">
        <v>140</v>
      </c>
      <c r="G8" s="86">
        <v>209</v>
      </c>
      <c r="H8" s="87">
        <f>209-140</f>
        <v>69</v>
      </c>
      <c r="I8" s="86">
        <v>100</v>
      </c>
      <c r="J8" s="21">
        <f t="shared" si="0"/>
        <v>6900</v>
      </c>
      <c r="K8" s="7"/>
      <c r="M8" s="214" t="s">
        <v>194</v>
      </c>
      <c r="N8" s="112">
        <f>COUNT(C133:C178)</f>
        <v>31</v>
      </c>
      <c r="O8" s="114">
        <f>V179</f>
        <v>26</v>
      </c>
      <c r="P8" s="114">
        <f>W179</f>
        <v>5</v>
      </c>
      <c r="Q8" s="198">
        <f>N8-O8-P8</f>
        <v>0</v>
      </c>
      <c r="R8" s="203">
        <f t="shared" ref="R8:R10" si="4">O8/N8</f>
        <v>0.83870967741935487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44502</v>
      </c>
      <c r="D9" s="86" t="s">
        <v>18</v>
      </c>
      <c r="E9" s="86" t="s">
        <v>553</v>
      </c>
      <c r="F9" s="86">
        <v>130</v>
      </c>
      <c r="G9" s="86">
        <v>220</v>
      </c>
      <c r="H9" s="87">
        <f>220-130</f>
        <v>90</v>
      </c>
      <c r="I9" s="86">
        <v>100</v>
      </c>
      <c r="J9" s="21">
        <f t="shared" si="0"/>
        <v>9000</v>
      </c>
      <c r="K9" s="7"/>
      <c r="M9" s="215"/>
      <c r="N9" s="184"/>
      <c r="O9" s="172"/>
      <c r="P9" s="172"/>
      <c r="Q9" s="174"/>
      <c r="R9" s="204"/>
      <c r="V9" s="5">
        <f t="shared" si="2"/>
        <v>1</v>
      </c>
      <c r="W9" s="5">
        <f t="shared" si="3"/>
        <v>0</v>
      </c>
    </row>
    <row r="10" spans="1:23" ht="16.5" customHeight="1" x14ac:dyDescent="0.3">
      <c r="A10" s="6"/>
      <c r="B10" s="88">
        <v>5</v>
      </c>
      <c r="C10" s="85">
        <v>44509</v>
      </c>
      <c r="D10" s="86" t="s">
        <v>18</v>
      </c>
      <c r="E10" s="86" t="s">
        <v>510</v>
      </c>
      <c r="F10" s="86">
        <v>140</v>
      </c>
      <c r="G10" s="86">
        <v>160</v>
      </c>
      <c r="H10" s="87">
        <v>20</v>
      </c>
      <c r="I10" s="86">
        <v>100</v>
      </c>
      <c r="J10" s="21">
        <f t="shared" si="0"/>
        <v>2000</v>
      </c>
      <c r="K10" s="7"/>
      <c r="M10" s="207" t="s">
        <v>19</v>
      </c>
      <c r="N10" s="149">
        <f>SUM(N4:N9)</f>
        <v>92</v>
      </c>
      <c r="O10" s="209">
        <f>SUM(O4:O9)</f>
        <v>78</v>
      </c>
      <c r="P10" s="209">
        <f>SUM(P4:P9)</f>
        <v>14</v>
      </c>
      <c r="Q10" s="211">
        <f>SUM(Q4:Q9)</f>
        <v>0</v>
      </c>
      <c r="R10" s="199">
        <f t="shared" si="4"/>
        <v>0.84782608695652173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44510</v>
      </c>
      <c r="D11" s="86" t="s">
        <v>18</v>
      </c>
      <c r="E11" s="86" t="s">
        <v>554</v>
      </c>
      <c r="F11" s="86">
        <v>130</v>
      </c>
      <c r="G11" s="86">
        <v>143</v>
      </c>
      <c r="H11" s="87">
        <v>13</v>
      </c>
      <c r="I11" s="86">
        <v>100</v>
      </c>
      <c r="J11" s="21">
        <f t="shared" si="0"/>
        <v>1300</v>
      </c>
      <c r="K11" s="7"/>
      <c r="M11" s="208"/>
      <c r="N11" s="150"/>
      <c r="O11" s="210"/>
      <c r="P11" s="210"/>
      <c r="Q11" s="212"/>
      <c r="R11" s="204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44511</v>
      </c>
      <c r="D12" s="86" t="s">
        <v>18</v>
      </c>
      <c r="E12" s="86" t="s">
        <v>552</v>
      </c>
      <c r="F12" s="86">
        <v>120</v>
      </c>
      <c r="G12" s="86">
        <v>220</v>
      </c>
      <c r="H12" s="87">
        <v>100</v>
      </c>
      <c r="I12" s="86">
        <v>100</v>
      </c>
      <c r="J12" s="21">
        <f t="shared" si="0"/>
        <v>10000</v>
      </c>
      <c r="K12" s="7"/>
      <c r="M12" s="126" t="s">
        <v>20</v>
      </c>
      <c r="N12" s="130"/>
      <c r="O12" s="131"/>
      <c r="P12" s="138">
        <f>R10</f>
        <v>0.84782608695652173</v>
      </c>
      <c r="Q12" s="139"/>
      <c r="R12" s="137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44511</v>
      </c>
      <c r="D13" s="86" t="s">
        <v>18</v>
      </c>
      <c r="E13" s="86" t="s">
        <v>555</v>
      </c>
      <c r="F13" s="86">
        <v>140</v>
      </c>
      <c r="G13" s="86">
        <v>175</v>
      </c>
      <c r="H13" s="87">
        <v>35</v>
      </c>
      <c r="I13" s="86">
        <v>100</v>
      </c>
      <c r="J13" s="21">
        <f t="shared" si="0"/>
        <v>3500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44512</v>
      </c>
      <c r="D14" s="86" t="s">
        <v>18</v>
      </c>
      <c r="E14" s="86" t="s">
        <v>554</v>
      </c>
      <c r="F14" s="86">
        <v>130</v>
      </c>
      <c r="G14" s="86">
        <v>80</v>
      </c>
      <c r="H14" s="87">
        <v>-50</v>
      </c>
      <c r="I14" s="86">
        <v>100</v>
      </c>
      <c r="J14" s="21">
        <f t="shared" si="0"/>
        <v>-5000</v>
      </c>
      <c r="K14" s="7"/>
      <c r="M14" s="132"/>
      <c r="N14" s="133"/>
      <c r="O14" s="134"/>
      <c r="P14" s="141"/>
      <c r="Q14" s="142"/>
      <c r="R14" s="143"/>
      <c r="V14" s="5">
        <f t="shared" si="2"/>
        <v>0</v>
      </c>
      <c r="W14" s="5">
        <f t="shared" si="3"/>
        <v>1</v>
      </c>
    </row>
    <row r="15" spans="1:23" x14ac:dyDescent="0.3">
      <c r="A15" s="6"/>
      <c r="B15" s="17">
        <v>10</v>
      </c>
      <c r="C15" s="85">
        <v>44515</v>
      </c>
      <c r="D15" s="86" t="s">
        <v>18</v>
      </c>
      <c r="E15" s="86" t="s">
        <v>554</v>
      </c>
      <c r="F15" s="86">
        <v>120</v>
      </c>
      <c r="G15" s="86">
        <v>70</v>
      </c>
      <c r="H15" s="87">
        <v>-50</v>
      </c>
      <c r="I15" s="86">
        <v>100</v>
      </c>
      <c r="J15" s="21">
        <f t="shared" si="0"/>
        <v>-5000</v>
      </c>
      <c r="K15" s="7"/>
      <c r="V15" s="5">
        <f t="shared" si="2"/>
        <v>0</v>
      </c>
      <c r="W15" s="5">
        <f t="shared" si="3"/>
        <v>1</v>
      </c>
    </row>
    <row r="16" spans="1:23" x14ac:dyDescent="0.3">
      <c r="A16" s="6"/>
      <c r="B16" s="88">
        <v>11</v>
      </c>
      <c r="C16" s="18">
        <v>44515</v>
      </c>
      <c r="D16" s="19" t="s">
        <v>18</v>
      </c>
      <c r="E16" s="19" t="s">
        <v>554</v>
      </c>
      <c r="F16" s="35">
        <v>140</v>
      </c>
      <c r="G16" s="35">
        <v>90</v>
      </c>
      <c r="H16" s="35">
        <v>-50</v>
      </c>
      <c r="I16" s="20">
        <v>100</v>
      </c>
      <c r="J16" s="21">
        <f t="shared" si="0"/>
        <v>-5000</v>
      </c>
      <c r="K16" s="7"/>
      <c r="V16" s="5">
        <f t="shared" si="2"/>
        <v>0</v>
      </c>
      <c r="W16" s="5">
        <f t="shared" si="3"/>
        <v>1</v>
      </c>
    </row>
    <row r="17" spans="1:23" x14ac:dyDescent="0.3">
      <c r="A17" s="6"/>
      <c r="B17" s="17">
        <v>12</v>
      </c>
      <c r="C17" s="18">
        <v>44516</v>
      </c>
      <c r="D17" s="19" t="s">
        <v>18</v>
      </c>
      <c r="E17" s="19" t="s">
        <v>556</v>
      </c>
      <c r="F17" s="35">
        <v>140</v>
      </c>
      <c r="G17" s="35">
        <v>190</v>
      </c>
      <c r="H17" s="35">
        <v>50</v>
      </c>
      <c r="I17" s="20">
        <v>100</v>
      </c>
      <c r="J17" s="21">
        <f t="shared" si="0"/>
        <v>5000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18">
        <v>44516</v>
      </c>
      <c r="D18" s="19" t="s">
        <v>18</v>
      </c>
      <c r="E18" s="19" t="s">
        <v>557</v>
      </c>
      <c r="F18" s="35">
        <v>130</v>
      </c>
      <c r="G18" s="35">
        <v>180</v>
      </c>
      <c r="H18" s="35">
        <v>50</v>
      </c>
      <c r="I18" s="20">
        <v>100</v>
      </c>
      <c r="J18" s="21">
        <f t="shared" si="0"/>
        <v>5000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18">
        <v>44517</v>
      </c>
      <c r="D19" s="19" t="s">
        <v>18</v>
      </c>
      <c r="E19" s="19" t="s">
        <v>457</v>
      </c>
      <c r="F19" s="35">
        <v>140</v>
      </c>
      <c r="G19" s="35">
        <v>173</v>
      </c>
      <c r="H19" s="35">
        <v>23</v>
      </c>
      <c r="I19" s="20">
        <v>100</v>
      </c>
      <c r="J19" s="21">
        <f t="shared" si="0"/>
        <v>2300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18">
        <v>44518</v>
      </c>
      <c r="D20" s="19" t="s">
        <v>18</v>
      </c>
      <c r="E20" s="19" t="s">
        <v>571</v>
      </c>
      <c r="F20" s="35">
        <v>90</v>
      </c>
      <c r="G20" s="35">
        <v>40</v>
      </c>
      <c r="H20" s="78">
        <v>-50</v>
      </c>
      <c r="I20" s="20">
        <v>100</v>
      </c>
      <c r="J20" s="21">
        <f t="shared" si="0"/>
        <v>-5000</v>
      </c>
      <c r="K20" s="7"/>
      <c r="V20" s="5">
        <f t="shared" si="2"/>
        <v>0</v>
      </c>
      <c r="W20" s="5">
        <f t="shared" si="3"/>
        <v>1</v>
      </c>
    </row>
    <row r="21" spans="1:23" x14ac:dyDescent="0.3">
      <c r="A21" s="6"/>
      <c r="B21" s="17">
        <v>16</v>
      </c>
      <c r="C21" s="18">
        <v>44518</v>
      </c>
      <c r="D21" s="19" t="s">
        <v>18</v>
      </c>
      <c r="E21" s="19" t="s">
        <v>464</v>
      </c>
      <c r="F21" s="35">
        <v>80</v>
      </c>
      <c r="G21" s="35">
        <v>100</v>
      </c>
      <c r="H21" s="35">
        <v>20</v>
      </c>
      <c r="I21" s="20">
        <v>100</v>
      </c>
      <c r="J21" s="21">
        <f t="shared" si="0"/>
        <v>2000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44522</v>
      </c>
      <c r="D22" s="19" t="s">
        <v>18</v>
      </c>
      <c r="E22" s="19" t="s">
        <v>572</v>
      </c>
      <c r="F22" s="35">
        <v>150</v>
      </c>
      <c r="G22" s="35">
        <v>250</v>
      </c>
      <c r="H22" s="35">
        <v>100</v>
      </c>
      <c r="I22" s="20">
        <v>100</v>
      </c>
      <c r="J22" s="21">
        <f t="shared" si="0"/>
        <v>10000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44522</v>
      </c>
      <c r="D23" s="19" t="s">
        <v>18</v>
      </c>
      <c r="E23" s="19" t="s">
        <v>458</v>
      </c>
      <c r="F23" s="35">
        <v>140</v>
      </c>
      <c r="G23" s="35">
        <v>240</v>
      </c>
      <c r="H23" s="35">
        <v>100</v>
      </c>
      <c r="I23" s="20">
        <v>100</v>
      </c>
      <c r="J23" s="21">
        <f t="shared" si="0"/>
        <v>10000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44523</v>
      </c>
      <c r="D24" s="19" t="s">
        <v>18</v>
      </c>
      <c r="E24" s="19" t="s">
        <v>269</v>
      </c>
      <c r="F24" s="35">
        <v>150</v>
      </c>
      <c r="G24" s="35">
        <v>180</v>
      </c>
      <c r="H24" s="35">
        <v>30</v>
      </c>
      <c r="I24" s="20">
        <v>100</v>
      </c>
      <c r="J24" s="21">
        <f t="shared" si="0"/>
        <v>3000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44523</v>
      </c>
      <c r="D25" s="19" t="s">
        <v>18</v>
      </c>
      <c r="E25" s="19" t="s">
        <v>266</v>
      </c>
      <c r="F25" s="35">
        <v>140</v>
      </c>
      <c r="G25" s="35">
        <v>240</v>
      </c>
      <c r="H25" s="35">
        <v>100</v>
      </c>
      <c r="I25" s="20">
        <v>100</v>
      </c>
      <c r="J25" s="21">
        <f t="shared" si="0"/>
        <v>10000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44524</v>
      </c>
      <c r="D26" s="19" t="s">
        <v>18</v>
      </c>
      <c r="E26" s="19" t="s">
        <v>452</v>
      </c>
      <c r="F26" s="35">
        <v>130</v>
      </c>
      <c r="G26" s="35">
        <v>200</v>
      </c>
      <c r="H26" s="35">
        <v>70</v>
      </c>
      <c r="I26" s="20">
        <v>100</v>
      </c>
      <c r="J26" s="21">
        <f t="shared" si="0"/>
        <v>7000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44524</v>
      </c>
      <c r="D27" s="19" t="s">
        <v>18</v>
      </c>
      <c r="E27" s="19" t="s">
        <v>503</v>
      </c>
      <c r="F27" s="35">
        <v>150</v>
      </c>
      <c r="G27" s="35">
        <v>220</v>
      </c>
      <c r="H27" s="19">
        <v>70</v>
      </c>
      <c r="I27" s="20">
        <v>100</v>
      </c>
      <c r="J27" s="21">
        <f t="shared" si="0"/>
        <v>7000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44525</v>
      </c>
      <c r="D28" s="19" t="s">
        <v>18</v>
      </c>
      <c r="E28" s="19" t="s">
        <v>458</v>
      </c>
      <c r="F28" s="35">
        <v>120</v>
      </c>
      <c r="G28" s="35">
        <v>150</v>
      </c>
      <c r="H28" s="19">
        <v>30</v>
      </c>
      <c r="I28" s="20">
        <v>100</v>
      </c>
      <c r="J28" s="21">
        <f t="shared" si="0"/>
        <v>3000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44526</v>
      </c>
      <c r="D29" s="19" t="s">
        <v>18</v>
      </c>
      <c r="E29" s="19" t="s">
        <v>384</v>
      </c>
      <c r="F29" s="20">
        <v>150</v>
      </c>
      <c r="G29" s="20">
        <v>250</v>
      </c>
      <c r="H29" s="19">
        <v>100</v>
      </c>
      <c r="I29" s="20">
        <v>100</v>
      </c>
      <c r="J29" s="21">
        <f t="shared" si="0"/>
        <v>10000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44526</v>
      </c>
      <c r="D30" s="25" t="s">
        <v>18</v>
      </c>
      <c r="E30" s="25" t="s">
        <v>300</v>
      </c>
      <c r="F30" s="26">
        <v>150</v>
      </c>
      <c r="G30" s="61">
        <v>250</v>
      </c>
      <c r="H30" s="61">
        <v>100</v>
      </c>
      <c r="I30" s="26">
        <v>100</v>
      </c>
      <c r="J30" s="21">
        <f t="shared" si="0"/>
        <v>10000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44529</v>
      </c>
      <c r="D31" s="25" t="s">
        <v>18</v>
      </c>
      <c r="E31" s="25" t="s">
        <v>248</v>
      </c>
      <c r="F31" s="26">
        <v>130</v>
      </c>
      <c r="G31" s="61">
        <v>150</v>
      </c>
      <c r="H31" s="61">
        <v>20</v>
      </c>
      <c r="I31" s="26">
        <v>100</v>
      </c>
      <c r="J31" s="21">
        <f t="shared" si="0"/>
        <v>2000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44530</v>
      </c>
      <c r="D32" s="25" t="s">
        <v>18</v>
      </c>
      <c r="E32" s="25" t="s">
        <v>248</v>
      </c>
      <c r="F32" s="26">
        <v>130</v>
      </c>
      <c r="G32" s="61">
        <v>230</v>
      </c>
      <c r="H32" s="61">
        <v>100</v>
      </c>
      <c r="I32" s="26">
        <v>100</v>
      </c>
      <c r="J32" s="21">
        <f t="shared" si="0"/>
        <v>10000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44530</v>
      </c>
      <c r="D33" s="25" t="s">
        <v>18</v>
      </c>
      <c r="E33" s="25" t="s">
        <v>424</v>
      </c>
      <c r="F33" s="26">
        <v>130</v>
      </c>
      <c r="G33" s="61">
        <v>180</v>
      </c>
      <c r="H33" s="61">
        <v>50</v>
      </c>
      <c r="I33" s="26">
        <v>100</v>
      </c>
      <c r="J33" s="21">
        <f t="shared" si="0"/>
        <v>5000</v>
      </c>
      <c r="K33" s="7"/>
      <c r="V33" s="5">
        <f t="shared" si="2"/>
        <v>1</v>
      </c>
      <c r="W33" s="5">
        <f t="shared" si="3"/>
        <v>0</v>
      </c>
    </row>
    <row r="34" spans="1:23" ht="15" thickBot="1" x14ac:dyDescent="0.35">
      <c r="A34" s="6"/>
      <c r="B34" s="88">
        <v>29</v>
      </c>
      <c r="C34" s="24"/>
      <c r="D34" s="25"/>
      <c r="E34" s="25"/>
      <c r="F34" s="26"/>
      <c r="G34" s="61"/>
      <c r="H34" s="61"/>
      <c r="I34" s="26"/>
      <c r="J34" s="21">
        <f t="shared" si="0"/>
        <v>0</v>
      </c>
      <c r="K34" s="7"/>
      <c r="V34" s="5">
        <f t="shared" si="2"/>
        <v>0</v>
      </c>
      <c r="W34" s="5">
        <f t="shared" si="3"/>
        <v>0</v>
      </c>
    </row>
    <row r="35" spans="1:23" hidden="1" x14ac:dyDescent="0.3">
      <c r="A35" s="6"/>
      <c r="B35" s="17">
        <v>30</v>
      </c>
      <c r="C35" s="24"/>
      <c r="D35" s="25"/>
      <c r="E35" s="25"/>
      <c r="F35" s="26"/>
      <c r="G35" s="61"/>
      <c r="H35" s="61"/>
      <c r="I35" s="26"/>
      <c r="J35" s="21">
        <f t="shared" si="0"/>
        <v>0</v>
      </c>
      <c r="K35" s="7"/>
      <c r="V35" s="5">
        <f t="shared" si="2"/>
        <v>0</v>
      </c>
      <c r="W35" s="5">
        <f t="shared" si="3"/>
        <v>0</v>
      </c>
    </row>
    <row r="36" spans="1:23" hidden="1" x14ac:dyDescent="0.3">
      <c r="A36" s="6"/>
      <c r="B36" s="88">
        <v>31</v>
      </c>
      <c r="C36" s="24"/>
      <c r="D36" s="25"/>
      <c r="E36" s="25"/>
      <c r="F36" s="26"/>
      <c r="G36" s="61"/>
      <c r="H36" s="61"/>
      <c r="I36" s="26"/>
      <c r="J36" s="21">
        <f t="shared" si="0"/>
        <v>0</v>
      </c>
      <c r="K36" s="7"/>
      <c r="V36" s="5">
        <f t="shared" si="2"/>
        <v>0</v>
      </c>
      <c r="W36" s="5">
        <f t="shared" si="3"/>
        <v>0</v>
      </c>
    </row>
    <row r="37" spans="1:23" hidden="1" x14ac:dyDescent="0.3">
      <c r="A37" s="6"/>
      <c r="B37" s="17">
        <v>32</v>
      </c>
      <c r="C37" s="24"/>
      <c r="D37" s="25"/>
      <c r="E37" s="25"/>
      <c r="F37" s="26"/>
      <c r="G37" s="61"/>
      <c r="H37" s="61"/>
      <c r="I37" s="26"/>
      <c r="J37" s="21">
        <f t="shared" si="0"/>
        <v>0</v>
      </c>
      <c r="K37" s="7"/>
      <c r="V37" s="5">
        <f t="shared" si="2"/>
        <v>0</v>
      </c>
      <c r="W37" s="5">
        <f t="shared" si="3"/>
        <v>0</v>
      </c>
    </row>
    <row r="38" spans="1:23" hidden="1" x14ac:dyDescent="0.3">
      <c r="A38" s="6"/>
      <c r="B38" s="88">
        <v>33</v>
      </c>
      <c r="C38" s="24"/>
      <c r="D38" s="25"/>
      <c r="E38" s="25"/>
      <c r="F38" s="26"/>
      <c r="G38" s="61"/>
      <c r="H38" s="61"/>
      <c r="I38" s="26"/>
      <c r="J38" s="21">
        <f t="shared" si="0"/>
        <v>0</v>
      </c>
      <c r="K38" s="7"/>
      <c r="V38" s="5">
        <f t="shared" si="2"/>
        <v>0</v>
      </c>
      <c r="W38" s="5">
        <f t="shared" si="3"/>
        <v>0</v>
      </c>
    </row>
    <row r="39" spans="1:23" hidden="1" x14ac:dyDescent="0.3">
      <c r="A39" s="6"/>
      <c r="B39" s="17">
        <v>34</v>
      </c>
      <c r="C39" s="24"/>
      <c r="D39" s="25"/>
      <c r="E39" s="25"/>
      <c r="F39" s="26"/>
      <c r="G39" s="61"/>
      <c r="H39" s="61"/>
      <c r="I39" s="26"/>
      <c r="J39" s="21">
        <f t="shared" si="0"/>
        <v>0</v>
      </c>
      <c r="K39" s="7"/>
      <c r="V39" s="5">
        <f t="shared" si="2"/>
        <v>0</v>
      </c>
      <c r="W39" s="5">
        <f t="shared" si="3"/>
        <v>0</v>
      </c>
    </row>
    <row r="40" spans="1:23" hidden="1" x14ac:dyDescent="0.3">
      <c r="A40" s="6"/>
      <c r="B40" s="88">
        <v>35</v>
      </c>
      <c r="C40" s="24"/>
      <c r="D40" s="25"/>
      <c r="E40" s="25"/>
      <c r="F40" s="26"/>
      <c r="G40" s="61"/>
      <c r="H40" s="61"/>
      <c r="I40" s="26"/>
      <c r="J40" s="21">
        <f t="shared" si="0"/>
        <v>0</v>
      </c>
      <c r="K40" s="7"/>
      <c r="V40" s="5">
        <f t="shared" si="2"/>
        <v>0</v>
      </c>
      <c r="W40" s="5">
        <f t="shared" si="3"/>
        <v>0</v>
      </c>
    </row>
    <row r="41" spans="1:23" hidden="1" x14ac:dyDescent="0.3">
      <c r="A41" s="6"/>
      <c r="B41" s="17">
        <v>36</v>
      </c>
      <c r="C41" s="24"/>
      <c r="D41" s="25"/>
      <c r="E41" s="25"/>
      <c r="F41" s="26"/>
      <c r="G41" s="61"/>
      <c r="H41" s="61"/>
      <c r="I41" s="26"/>
      <c r="J41" s="21">
        <f t="shared" si="0"/>
        <v>0</v>
      </c>
      <c r="K41" s="7"/>
      <c r="V41" s="5">
        <f t="shared" si="2"/>
        <v>0</v>
      </c>
      <c r="W41" s="5">
        <f t="shared" si="3"/>
        <v>0</v>
      </c>
    </row>
    <row r="42" spans="1:23" hidden="1" x14ac:dyDescent="0.3">
      <c r="A42" s="6"/>
      <c r="B42" s="17">
        <v>37</v>
      </c>
      <c r="C42" s="24"/>
      <c r="D42" s="25"/>
      <c r="E42" s="25"/>
      <c r="F42" s="26"/>
      <c r="G42" s="61"/>
      <c r="H42" s="61"/>
      <c r="I42" s="26"/>
      <c r="J42" s="21">
        <f t="shared" si="0"/>
        <v>0</v>
      </c>
      <c r="K42" s="7"/>
      <c r="V42" s="5">
        <f t="shared" si="2"/>
        <v>0</v>
      </c>
      <c r="W42" s="5">
        <f t="shared" si="3"/>
        <v>0</v>
      </c>
    </row>
    <row r="43" spans="1:23" hidden="1" x14ac:dyDescent="0.3">
      <c r="A43" s="6"/>
      <c r="B43" s="17">
        <v>38</v>
      </c>
      <c r="C43" s="24"/>
      <c r="D43" s="25"/>
      <c r="E43" s="25"/>
      <c r="F43" s="26"/>
      <c r="G43" s="61"/>
      <c r="H43" s="61"/>
      <c r="I43" s="26"/>
      <c r="J43" s="21">
        <f t="shared" si="0"/>
        <v>0</v>
      </c>
      <c r="K43" s="7"/>
      <c r="V43" s="5">
        <f t="shared" si="2"/>
        <v>0</v>
      </c>
      <c r="W43" s="5">
        <f t="shared" si="3"/>
        <v>0</v>
      </c>
    </row>
    <row r="44" spans="1:23" hidden="1" x14ac:dyDescent="0.3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hidden="1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ht="15" hidden="1" thickBot="1" x14ac:dyDescent="0.35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ht="15" hidden="1" thickBot="1" x14ac:dyDescent="0.35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ht="15" hidden="1" thickBot="1" x14ac:dyDescent="0.35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ht="15" hidden="1" thickBot="1" x14ac:dyDescent="0.35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ht="15" hidden="1" thickBot="1" x14ac:dyDescent="0.35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t="15" hidden="1" thickBot="1" x14ac:dyDescent="0.35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t="15" hidden="1" thickBot="1" x14ac:dyDescent="0.35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t="15" hidden="1" thickBot="1" x14ac:dyDescent="0.35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t="15" hidden="1" thickBot="1" x14ac:dyDescent="0.35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t="15" hidden="1" thickBot="1" x14ac:dyDescent="0.35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t="15" hidden="1" thickBot="1" x14ac:dyDescent="0.35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t="15" hidden="1" thickBot="1" x14ac:dyDescent="0.35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hidden="1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127000</v>
      </c>
      <c r="K59" s="7"/>
      <c r="V59" s="5">
        <f>SUM(V6:V58)</f>
        <v>24</v>
      </c>
      <c r="W59" s="5">
        <f>SUM(W6:W58)</f>
        <v>4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551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44501</v>
      </c>
      <c r="D67" s="67" t="s">
        <v>18</v>
      </c>
      <c r="E67" s="67" t="s">
        <v>558</v>
      </c>
      <c r="F67" s="68">
        <v>208</v>
      </c>
      <c r="G67" s="68">
        <v>209</v>
      </c>
      <c r="H67" s="97">
        <v>1</v>
      </c>
      <c r="I67" s="68">
        <v>2900</v>
      </c>
      <c r="J67" s="92">
        <f>H67*I67</f>
        <v>2900</v>
      </c>
      <c r="K67" s="7"/>
      <c r="V67" s="5">
        <f t="shared" ref="V67:V124" si="5">IF($J67&gt;0,1,0)</f>
        <v>1</v>
      </c>
      <c r="W67" s="5">
        <f t="shared" ref="W67:W124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44501</v>
      </c>
      <c r="D68" s="67" t="s">
        <v>18</v>
      </c>
      <c r="E68" s="67" t="s">
        <v>559</v>
      </c>
      <c r="F68" s="68">
        <v>713</v>
      </c>
      <c r="G68" s="97">
        <v>724</v>
      </c>
      <c r="H68" s="97">
        <f>724-713</f>
        <v>11</v>
      </c>
      <c r="I68" s="20">
        <v>1886</v>
      </c>
      <c r="J68" s="21">
        <f>H68*I68</f>
        <v>20746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4" si="7">B68+1</f>
        <v>3</v>
      </c>
      <c r="C69" s="18">
        <v>44502</v>
      </c>
      <c r="D69" s="19" t="s">
        <v>18</v>
      </c>
      <c r="E69" s="19" t="s">
        <v>398</v>
      </c>
      <c r="F69" s="35">
        <v>1715</v>
      </c>
      <c r="G69" s="97">
        <v>1727</v>
      </c>
      <c r="H69" s="35">
        <f>1727-1715</f>
        <v>12</v>
      </c>
      <c r="I69" s="20">
        <v>350</v>
      </c>
      <c r="J69" s="21">
        <f>H69*I69</f>
        <v>4200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44502</v>
      </c>
      <c r="D70" s="19" t="s">
        <v>18</v>
      </c>
      <c r="E70" s="19" t="s">
        <v>127</v>
      </c>
      <c r="F70" s="35">
        <v>2580</v>
      </c>
      <c r="G70" s="97">
        <v>2600</v>
      </c>
      <c r="H70" s="35">
        <f>2600-2580</f>
        <v>20</v>
      </c>
      <c r="I70" s="20">
        <v>200</v>
      </c>
      <c r="J70" s="21">
        <f>H70*I70</f>
        <v>4000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44509</v>
      </c>
      <c r="D71" s="19" t="s">
        <v>18</v>
      </c>
      <c r="E71" s="19" t="s">
        <v>312</v>
      </c>
      <c r="F71" s="35">
        <v>1750</v>
      </c>
      <c r="G71" s="97">
        <v>1741</v>
      </c>
      <c r="H71" s="35">
        <v>-9</v>
      </c>
      <c r="I71" s="20">
        <v>300</v>
      </c>
      <c r="J71" s="21">
        <f>H71*I71</f>
        <v>-2700</v>
      </c>
      <c r="K71" s="7"/>
      <c r="V71" s="5">
        <f t="shared" si="5"/>
        <v>0</v>
      </c>
      <c r="W71" s="5">
        <f t="shared" si="6"/>
        <v>1</v>
      </c>
    </row>
    <row r="72" spans="1:23" s="36" customFormat="1" x14ac:dyDescent="0.3">
      <c r="A72" s="6"/>
      <c r="B72" s="17">
        <f t="shared" si="7"/>
        <v>6</v>
      </c>
      <c r="C72" s="18">
        <v>44509</v>
      </c>
      <c r="D72" s="19" t="s">
        <v>69</v>
      </c>
      <c r="E72" s="19" t="s">
        <v>75</v>
      </c>
      <c r="F72" s="20">
        <v>784</v>
      </c>
      <c r="G72" s="97">
        <v>782.6</v>
      </c>
      <c r="H72" s="35">
        <f>784-782.6</f>
        <v>1.3999999999999773</v>
      </c>
      <c r="I72" s="20">
        <v>1375</v>
      </c>
      <c r="J72" s="21">
        <f t="shared" ref="J72:J124" si="8">I72*H72</f>
        <v>1924.9999999999686</v>
      </c>
      <c r="K72" s="7"/>
      <c r="V72" s="5">
        <f t="shared" si="5"/>
        <v>1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>
        <v>44510</v>
      </c>
      <c r="D73" s="19" t="s">
        <v>18</v>
      </c>
      <c r="E73" s="19" t="s">
        <v>548</v>
      </c>
      <c r="F73" s="35">
        <v>645</v>
      </c>
      <c r="G73" s="97">
        <v>652</v>
      </c>
      <c r="H73" s="35">
        <f>652-645</f>
        <v>7</v>
      </c>
      <c r="I73" s="20">
        <v>1250</v>
      </c>
      <c r="J73" s="21">
        <f t="shared" si="8"/>
        <v>8750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44510</v>
      </c>
      <c r="D74" s="19" t="s">
        <v>69</v>
      </c>
      <c r="E74" s="19" t="s">
        <v>75</v>
      </c>
      <c r="F74" s="35">
        <v>775</v>
      </c>
      <c r="G74" s="97">
        <v>782</v>
      </c>
      <c r="H74" s="35">
        <v>-7</v>
      </c>
      <c r="I74" s="20">
        <v>1375</v>
      </c>
      <c r="J74" s="21">
        <f t="shared" si="8"/>
        <v>-9625</v>
      </c>
      <c r="K74" s="7"/>
      <c r="V74" s="5">
        <f t="shared" si="5"/>
        <v>0</v>
      </c>
      <c r="W74" s="5">
        <f t="shared" si="6"/>
        <v>1</v>
      </c>
    </row>
    <row r="75" spans="1:23" s="36" customFormat="1" x14ac:dyDescent="0.3">
      <c r="A75" s="6"/>
      <c r="B75" s="17">
        <f t="shared" si="7"/>
        <v>9</v>
      </c>
      <c r="C75" s="18">
        <v>44511</v>
      </c>
      <c r="D75" s="19" t="s">
        <v>18</v>
      </c>
      <c r="E75" s="19" t="s">
        <v>561</v>
      </c>
      <c r="F75" s="35">
        <v>1690</v>
      </c>
      <c r="G75" s="97">
        <v>1705</v>
      </c>
      <c r="H75" s="35">
        <f>1705-1690</f>
        <v>15</v>
      </c>
      <c r="I75" s="20">
        <v>1250</v>
      </c>
      <c r="J75" s="21">
        <f t="shared" si="8"/>
        <v>18750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44511</v>
      </c>
      <c r="D76" s="19" t="s">
        <v>69</v>
      </c>
      <c r="E76" s="19" t="s">
        <v>75</v>
      </c>
      <c r="F76" s="35">
        <v>775</v>
      </c>
      <c r="G76" s="97">
        <v>769</v>
      </c>
      <c r="H76" s="35">
        <f>775-769</f>
        <v>6</v>
      </c>
      <c r="I76" s="20">
        <v>1375</v>
      </c>
      <c r="J76" s="21">
        <f t="shared" si="8"/>
        <v>8250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>
        <v>44512</v>
      </c>
      <c r="D77" s="19" t="s">
        <v>18</v>
      </c>
      <c r="E77" s="19" t="s">
        <v>445</v>
      </c>
      <c r="F77" s="19">
        <v>1207</v>
      </c>
      <c r="G77" s="97">
        <v>1222</v>
      </c>
      <c r="H77" s="35">
        <f>1222-1207</f>
        <v>15</v>
      </c>
      <c r="I77" s="20">
        <v>500</v>
      </c>
      <c r="J77" s="21">
        <f t="shared" si="8"/>
        <v>7500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>
        <v>44512</v>
      </c>
      <c r="D78" s="19" t="s">
        <v>18</v>
      </c>
      <c r="E78" s="19" t="s">
        <v>562</v>
      </c>
      <c r="F78" s="35">
        <v>2550</v>
      </c>
      <c r="G78" s="97">
        <v>2560</v>
      </c>
      <c r="H78" s="35">
        <v>10</v>
      </c>
      <c r="I78" s="20">
        <v>375</v>
      </c>
      <c r="J78" s="21">
        <f t="shared" si="8"/>
        <v>3750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44515</v>
      </c>
      <c r="D79" s="19" t="s">
        <v>18</v>
      </c>
      <c r="E79" s="19" t="s">
        <v>563</v>
      </c>
      <c r="F79" s="35">
        <v>805</v>
      </c>
      <c r="G79" s="97">
        <v>815</v>
      </c>
      <c r="H79" s="35">
        <v>10</v>
      </c>
      <c r="I79" s="20">
        <v>1100</v>
      </c>
      <c r="J79" s="21">
        <f t="shared" si="8"/>
        <v>11000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44515</v>
      </c>
      <c r="D80" s="19" t="s">
        <v>18</v>
      </c>
      <c r="E80" s="19" t="s">
        <v>104</v>
      </c>
      <c r="F80" s="77">
        <v>3560</v>
      </c>
      <c r="G80" s="97">
        <v>3570</v>
      </c>
      <c r="H80" s="78">
        <v>10</v>
      </c>
      <c r="I80" s="20">
        <v>150</v>
      </c>
      <c r="J80" s="21">
        <f t="shared" si="8"/>
        <v>1500</v>
      </c>
      <c r="K80" s="7"/>
      <c r="V80" s="5">
        <f t="shared" si="5"/>
        <v>1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>
        <v>44516</v>
      </c>
      <c r="D81" s="19" t="s">
        <v>18</v>
      </c>
      <c r="E81" s="19" t="s">
        <v>564</v>
      </c>
      <c r="F81" s="35">
        <v>2210</v>
      </c>
      <c r="G81" s="97">
        <v>2190</v>
      </c>
      <c r="H81" s="78">
        <v>-20</v>
      </c>
      <c r="I81" s="20">
        <v>625</v>
      </c>
      <c r="J81" s="21">
        <f t="shared" si="8"/>
        <v>-12500</v>
      </c>
      <c r="K81" s="7"/>
      <c r="V81" s="5">
        <f t="shared" si="5"/>
        <v>0</v>
      </c>
      <c r="W81" s="5">
        <f t="shared" si="6"/>
        <v>1</v>
      </c>
    </row>
    <row r="82" spans="1:23" s="36" customFormat="1" x14ac:dyDescent="0.3">
      <c r="A82" s="6"/>
      <c r="B82" s="17">
        <f t="shared" si="7"/>
        <v>16</v>
      </c>
      <c r="C82" s="18">
        <v>44516</v>
      </c>
      <c r="D82" s="19" t="s">
        <v>18</v>
      </c>
      <c r="E82" s="19" t="s">
        <v>390</v>
      </c>
      <c r="F82" s="35">
        <v>5170</v>
      </c>
      <c r="G82" s="97">
        <v>5219</v>
      </c>
      <c r="H82" s="78">
        <f>5219-5170</f>
        <v>49</v>
      </c>
      <c r="I82" s="20">
        <v>125</v>
      </c>
      <c r="J82" s="21">
        <f t="shared" si="8"/>
        <v>6125</v>
      </c>
      <c r="K82" s="7"/>
      <c r="V82" s="5">
        <f t="shared" si="5"/>
        <v>1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>
        <v>44517</v>
      </c>
      <c r="D83" s="19" t="s">
        <v>18</v>
      </c>
      <c r="E83" s="19" t="s">
        <v>565</v>
      </c>
      <c r="F83" s="35">
        <v>817</v>
      </c>
      <c r="G83" s="97">
        <v>824</v>
      </c>
      <c r="H83" s="35">
        <v>7</v>
      </c>
      <c r="I83" s="20">
        <v>750</v>
      </c>
      <c r="J83" s="21">
        <f t="shared" si="8"/>
        <v>5250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>
        <v>44517</v>
      </c>
      <c r="D84" s="19" t="s">
        <v>18</v>
      </c>
      <c r="E84" s="19" t="s">
        <v>566</v>
      </c>
      <c r="F84" s="35">
        <v>3630</v>
      </c>
      <c r="G84" s="97">
        <v>3600</v>
      </c>
      <c r="H84" s="35">
        <v>-30</v>
      </c>
      <c r="I84" s="20">
        <v>175</v>
      </c>
      <c r="J84" s="21">
        <f t="shared" si="8"/>
        <v>-5250</v>
      </c>
      <c r="K84" s="7"/>
      <c r="V84" s="5">
        <f t="shared" si="5"/>
        <v>0</v>
      </c>
      <c r="W84" s="5">
        <f t="shared" si="6"/>
        <v>1</v>
      </c>
    </row>
    <row r="85" spans="1:23" s="36" customFormat="1" x14ac:dyDescent="0.3">
      <c r="A85" s="6"/>
      <c r="B85" s="17">
        <f t="shared" si="7"/>
        <v>19</v>
      </c>
      <c r="C85" s="18">
        <v>44518</v>
      </c>
      <c r="D85" s="19" t="s">
        <v>18</v>
      </c>
      <c r="E85" s="19" t="s">
        <v>564</v>
      </c>
      <c r="F85" s="35">
        <v>2210</v>
      </c>
      <c r="G85" s="97">
        <v>2244</v>
      </c>
      <c r="H85" s="35">
        <f>2244-2210</f>
        <v>34</v>
      </c>
      <c r="I85" s="20">
        <v>625</v>
      </c>
      <c r="J85" s="21">
        <f t="shared" si="8"/>
        <v>21250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>
        <v>44518</v>
      </c>
      <c r="D86" s="19" t="s">
        <v>18</v>
      </c>
      <c r="E86" s="19" t="s">
        <v>81</v>
      </c>
      <c r="F86" s="35">
        <v>1785</v>
      </c>
      <c r="G86" s="97">
        <v>1815</v>
      </c>
      <c r="H86" s="35">
        <f>1815-1785</f>
        <v>30</v>
      </c>
      <c r="I86" s="20">
        <v>550</v>
      </c>
      <c r="J86" s="21">
        <f t="shared" si="8"/>
        <v>16500</v>
      </c>
      <c r="K86" s="7"/>
      <c r="V86" s="5">
        <f t="shared" si="5"/>
        <v>1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>
        <v>44522</v>
      </c>
      <c r="D87" s="19" t="s">
        <v>18</v>
      </c>
      <c r="E87" s="19" t="s">
        <v>81</v>
      </c>
      <c r="F87" s="35">
        <v>1795</v>
      </c>
      <c r="G87" s="97">
        <v>1780</v>
      </c>
      <c r="H87" s="35">
        <v>-15</v>
      </c>
      <c r="I87" s="20">
        <v>550</v>
      </c>
      <c r="J87" s="21">
        <f t="shared" si="8"/>
        <v>-8250</v>
      </c>
      <c r="K87" s="7"/>
      <c r="V87" s="5">
        <f t="shared" si="5"/>
        <v>0</v>
      </c>
      <c r="W87" s="5">
        <f t="shared" si="6"/>
        <v>1</v>
      </c>
    </row>
    <row r="88" spans="1:23" s="36" customFormat="1" x14ac:dyDescent="0.3">
      <c r="A88" s="6"/>
      <c r="B88" s="17">
        <f t="shared" si="7"/>
        <v>22</v>
      </c>
      <c r="C88" s="18">
        <v>44522</v>
      </c>
      <c r="D88" s="19" t="s">
        <v>18</v>
      </c>
      <c r="E88" s="19" t="s">
        <v>545</v>
      </c>
      <c r="F88" s="35">
        <v>1390</v>
      </c>
      <c r="G88" s="97">
        <v>1398</v>
      </c>
      <c r="H88" s="35">
        <v>8</v>
      </c>
      <c r="I88" s="20">
        <v>475</v>
      </c>
      <c r="J88" s="21">
        <f t="shared" si="8"/>
        <v>3800</v>
      </c>
      <c r="K88" s="7"/>
      <c r="V88" s="5">
        <f t="shared" si="5"/>
        <v>1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>
        <v>44523</v>
      </c>
      <c r="D89" s="19" t="s">
        <v>18</v>
      </c>
      <c r="E89" s="19" t="s">
        <v>491</v>
      </c>
      <c r="F89" s="35">
        <v>778</v>
      </c>
      <c r="G89" s="97">
        <v>792</v>
      </c>
      <c r="H89" s="35">
        <f>792-778</f>
        <v>14</v>
      </c>
      <c r="I89" s="20">
        <v>1250</v>
      </c>
      <c r="J89" s="21">
        <f t="shared" si="8"/>
        <v>17500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>
        <v>44523</v>
      </c>
      <c r="D90" s="19" t="s">
        <v>18</v>
      </c>
      <c r="E90" s="19" t="s">
        <v>70</v>
      </c>
      <c r="F90" s="35">
        <v>690</v>
      </c>
      <c r="G90" s="97">
        <v>692</v>
      </c>
      <c r="H90" s="35">
        <v>2</v>
      </c>
      <c r="I90" s="20">
        <v>1200</v>
      </c>
      <c r="J90" s="21">
        <f t="shared" si="8"/>
        <v>2400</v>
      </c>
      <c r="K90" s="7"/>
      <c r="V90" s="5">
        <f t="shared" si="5"/>
        <v>1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>
        <v>44524</v>
      </c>
      <c r="D91" s="19" t="s">
        <v>18</v>
      </c>
      <c r="E91" s="19" t="s">
        <v>70</v>
      </c>
      <c r="F91" s="35">
        <v>690</v>
      </c>
      <c r="G91" s="97">
        <v>696</v>
      </c>
      <c r="H91" s="35">
        <v>6</v>
      </c>
      <c r="I91" s="20">
        <v>1200</v>
      </c>
      <c r="J91" s="21">
        <f t="shared" si="8"/>
        <v>7200</v>
      </c>
      <c r="K91" s="7"/>
      <c r="V91" s="5">
        <f t="shared" si="5"/>
        <v>1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>
        <v>44524</v>
      </c>
      <c r="D92" s="19" t="s">
        <v>18</v>
      </c>
      <c r="E92" s="19" t="s">
        <v>574</v>
      </c>
      <c r="F92" s="35">
        <v>502</v>
      </c>
      <c r="G92" s="97">
        <v>512</v>
      </c>
      <c r="H92" s="35">
        <v>10</v>
      </c>
      <c r="I92" s="20">
        <v>900</v>
      </c>
      <c r="J92" s="21">
        <f t="shared" si="8"/>
        <v>9000</v>
      </c>
      <c r="K92" s="7"/>
      <c r="V92" s="5">
        <f t="shared" si="5"/>
        <v>1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>
        <v>44525</v>
      </c>
      <c r="D93" s="19" t="s">
        <v>18</v>
      </c>
      <c r="E93" s="19" t="s">
        <v>111</v>
      </c>
      <c r="F93" s="35">
        <v>490</v>
      </c>
      <c r="G93" s="97">
        <v>494.65</v>
      </c>
      <c r="H93" s="35">
        <f>494.65-490</f>
        <v>4.6499999999999773</v>
      </c>
      <c r="I93" s="20">
        <v>1500</v>
      </c>
      <c r="J93" s="21">
        <f t="shared" si="8"/>
        <v>6974.9999999999654</v>
      </c>
      <c r="K93" s="7"/>
      <c r="V93" s="5">
        <f t="shared" si="5"/>
        <v>1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>
        <v>44525</v>
      </c>
      <c r="D94" s="19" t="s">
        <v>18</v>
      </c>
      <c r="E94" s="19" t="s">
        <v>376</v>
      </c>
      <c r="F94" s="35">
        <v>2020</v>
      </c>
      <c r="G94" s="97">
        <v>2040</v>
      </c>
      <c r="H94" s="35">
        <v>20</v>
      </c>
      <c r="I94" s="20">
        <v>400</v>
      </c>
      <c r="J94" s="21">
        <f t="shared" si="8"/>
        <v>8000</v>
      </c>
      <c r="K94" s="7"/>
      <c r="V94" s="5">
        <f t="shared" si="5"/>
        <v>1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>
        <v>44526</v>
      </c>
      <c r="D95" s="19" t="s">
        <v>18</v>
      </c>
      <c r="E95" s="19" t="s">
        <v>124</v>
      </c>
      <c r="F95" s="35">
        <v>610</v>
      </c>
      <c r="G95" s="97">
        <v>614.20000000000005</v>
      </c>
      <c r="H95" s="35">
        <v>4.2</v>
      </c>
      <c r="I95" s="20">
        <v>1250</v>
      </c>
      <c r="J95" s="21">
        <f t="shared" si="8"/>
        <v>5250</v>
      </c>
      <c r="K95" s="7"/>
      <c r="V95" s="5">
        <f t="shared" si="5"/>
        <v>1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>
        <v>44526</v>
      </c>
      <c r="D96" s="19" t="s">
        <v>18</v>
      </c>
      <c r="E96" s="19" t="s">
        <v>201</v>
      </c>
      <c r="F96" s="35">
        <v>690</v>
      </c>
      <c r="G96" s="97">
        <v>696</v>
      </c>
      <c r="H96" s="35">
        <v>6</v>
      </c>
      <c r="I96" s="20">
        <v>750</v>
      </c>
      <c r="J96" s="21">
        <f t="shared" si="8"/>
        <v>4500</v>
      </c>
      <c r="K96" s="7"/>
      <c r="V96" s="5">
        <f t="shared" si="5"/>
        <v>1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>
        <v>44526</v>
      </c>
      <c r="D97" s="19" t="s">
        <v>18</v>
      </c>
      <c r="E97" s="19" t="s">
        <v>447</v>
      </c>
      <c r="F97" s="35">
        <v>963</v>
      </c>
      <c r="G97" s="97">
        <v>983</v>
      </c>
      <c r="H97" s="35">
        <v>20</v>
      </c>
      <c r="I97" s="20">
        <v>650</v>
      </c>
      <c r="J97" s="21">
        <f t="shared" si="8"/>
        <v>13000</v>
      </c>
      <c r="K97" s="7"/>
      <c r="V97" s="5">
        <f t="shared" si="5"/>
        <v>1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>
        <v>44530</v>
      </c>
      <c r="D98" s="19" t="s">
        <v>18</v>
      </c>
      <c r="E98" s="19" t="s">
        <v>500</v>
      </c>
      <c r="F98" s="35">
        <v>542</v>
      </c>
      <c r="G98" s="97">
        <v>549.79999999999995</v>
      </c>
      <c r="H98" s="35">
        <f>549.8-542</f>
        <v>7.7999999999999545</v>
      </c>
      <c r="I98" s="20">
        <v>1500</v>
      </c>
      <c r="J98" s="21">
        <f t="shared" si="8"/>
        <v>11699.999999999931</v>
      </c>
      <c r="K98" s="7"/>
      <c r="V98" s="5">
        <f t="shared" si="5"/>
        <v>1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>
        <v>44530</v>
      </c>
      <c r="D99" s="19" t="s">
        <v>18</v>
      </c>
      <c r="E99" s="19" t="s">
        <v>414</v>
      </c>
      <c r="F99" s="35">
        <v>1230</v>
      </c>
      <c r="G99" s="97">
        <v>1236</v>
      </c>
      <c r="H99" s="35">
        <v>6</v>
      </c>
      <c r="I99" s="20">
        <v>500</v>
      </c>
      <c r="J99" s="21">
        <f t="shared" si="8"/>
        <v>3000</v>
      </c>
      <c r="K99" s="7"/>
      <c r="V99" s="5">
        <f t="shared" si="5"/>
        <v>1</v>
      </c>
      <c r="W99" s="5">
        <f t="shared" si="6"/>
        <v>0</v>
      </c>
    </row>
    <row r="100" spans="1:23" s="36" customFormat="1" ht="15" thickBot="1" x14ac:dyDescent="0.35">
      <c r="A100" s="6"/>
      <c r="B100" s="17">
        <f t="shared" si="7"/>
        <v>34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hidden="1" x14ac:dyDescent="0.3">
      <c r="A101" s="6"/>
      <c r="B101" s="17">
        <v>35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hidden="1" x14ac:dyDescent="0.3">
      <c r="A102" s="6"/>
      <c r="B102" s="17">
        <v>36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/>
      <c r="W102" s="5"/>
    </row>
    <row r="103" spans="1:23" s="36" customFormat="1" hidden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hidden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hidden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hidden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>
        <f t="shared" si="5"/>
        <v>0</v>
      </c>
      <c r="W106" s="5">
        <f t="shared" si="6"/>
        <v>0</v>
      </c>
    </row>
    <row r="107" spans="1:23" s="36" customFormat="1" hidden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>
        <f t="shared" si="5"/>
        <v>0</v>
      </c>
      <c r="W107" s="5">
        <f t="shared" si="6"/>
        <v>0</v>
      </c>
    </row>
    <row r="108" spans="1:23" s="36" customFormat="1" ht="15" hidden="1" thickBot="1" x14ac:dyDescent="0.35">
      <c r="A108" s="6"/>
      <c r="B108" s="17">
        <f t="shared" si="7"/>
        <v>42</v>
      </c>
      <c r="C108" s="18"/>
      <c r="D108" s="19"/>
      <c r="E108" s="19"/>
      <c r="F108" s="35"/>
      <c r="G108" s="35"/>
      <c r="H108" s="35"/>
      <c r="I108" s="20"/>
      <c r="J108" s="21">
        <f t="shared" si="8"/>
        <v>0</v>
      </c>
      <c r="K108" s="7"/>
      <c r="V108" s="5">
        <f t="shared" si="5"/>
        <v>0</v>
      </c>
      <c r="W108" s="5">
        <f t="shared" si="6"/>
        <v>0</v>
      </c>
    </row>
    <row r="109" spans="1:23" s="36" customFormat="1" ht="15" hidden="1" thickBot="1" x14ac:dyDescent="0.35">
      <c r="A109" s="6"/>
      <c r="B109" s="17">
        <f t="shared" si="7"/>
        <v>43</v>
      </c>
      <c r="C109" s="18"/>
      <c r="D109" s="19"/>
      <c r="E109" s="19"/>
      <c r="F109" s="35"/>
      <c r="G109" s="35"/>
      <c r="H109" s="35"/>
      <c r="I109" s="20"/>
      <c r="J109" s="21">
        <f t="shared" si="8"/>
        <v>0</v>
      </c>
      <c r="K109" s="7"/>
      <c r="V109" s="5">
        <f t="shared" si="5"/>
        <v>0</v>
      </c>
      <c r="W109" s="5">
        <f t="shared" si="6"/>
        <v>0</v>
      </c>
    </row>
    <row r="110" spans="1:23" s="36" customFormat="1" ht="15" hidden="1" thickBot="1" x14ac:dyDescent="0.35">
      <c r="A110" s="6"/>
      <c r="B110" s="17">
        <f t="shared" si="7"/>
        <v>44</v>
      </c>
      <c r="C110" s="18"/>
      <c r="D110" s="19"/>
      <c r="E110" s="19"/>
      <c r="F110" s="35"/>
      <c r="G110" s="35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t="15" hidden="1" thickBot="1" x14ac:dyDescent="0.35">
      <c r="A111" s="6"/>
      <c r="B111" s="17">
        <f t="shared" si="7"/>
        <v>45</v>
      </c>
      <c r="C111" s="18"/>
      <c r="D111" s="19"/>
      <c r="E111" s="19"/>
      <c r="F111" s="35"/>
      <c r="G111" s="35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t="15" hidden="1" thickBot="1" x14ac:dyDescent="0.35">
      <c r="A112" s="6"/>
      <c r="B112" s="17">
        <f t="shared" si="7"/>
        <v>46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t="15" hidden="1" thickBot="1" x14ac:dyDescent="0.35">
      <c r="A113" s="6"/>
      <c r="B113" s="17">
        <f t="shared" si="7"/>
        <v>47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t="15" hidden="1" thickBot="1" x14ac:dyDescent="0.35">
      <c r="A114" s="6"/>
      <c r="B114" s="17">
        <f t="shared" si="7"/>
        <v>48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t="15" hidden="1" thickBot="1" x14ac:dyDescent="0.35">
      <c r="A115" s="6"/>
      <c r="B115" s="17">
        <f t="shared" si="7"/>
        <v>49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t="15" hidden="1" thickBot="1" x14ac:dyDescent="0.35">
      <c r="A116" s="6"/>
      <c r="B116" s="17">
        <f t="shared" si="7"/>
        <v>50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t="15" hidden="1" thickBot="1" x14ac:dyDescent="0.35">
      <c r="A117" s="6"/>
      <c r="B117" s="17">
        <f t="shared" si="7"/>
        <v>51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t="15" hidden="1" thickBot="1" x14ac:dyDescent="0.35">
      <c r="A118" s="6"/>
      <c r="B118" s="17">
        <f t="shared" si="7"/>
        <v>52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t="15" hidden="1" thickBot="1" x14ac:dyDescent="0.35">
      <c r="A119" s="6"/>
      <c r="B119" s="17">
        <f t="shared" si="7"/>
        <v>53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hidden="1" thickBot="1" x14ac:dyDescent="0.35">
      <c r="A120" s="6"/>
      <c r="B120" s="17">
        <f t="shared" si="7"/>
        <v>54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15" hidden="1" thickBot="1" x14ac:dyDescent="0.35">
      <c r="A121" s="6"/>
      <c r="B121" s="17">
        <f t="shared" si="7"/>
        <v>55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56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15" hidden="1" thickBot="1" x14ac:dyDescent="0.35">
      <c r="A123" s="6"/>
      <c r="B123" s="17">
        <f t="shared" si="7"/>
        <v>57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hidden="1" thickBot="1" x14ac:dyDescent="0.35">
      <c r="A124" s="6"/>
      <c r="B124" s="17">
        <f t="shared" si="7"/>
        <v>58</v>
      </c>
      <c r="C124" s="79"/>
      <c r="D124" s="80"/>
      <c r="E124" s="80"/>
      <c r="F124" s="81"/>
      <c r="G124" s="81"/>
      <c r="H124" s="80"/>
      <c r="I124" s="81"/>
      <c r="J124" s="82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24" thickBot="1" x14ac:dyDescent="0.5">
      <c r="A125" s="6"/>
      <c r="B125" s="144" t="s">
        <v>22</v>
      </c>
      <c r="C125" s="145"/>
      <c r="D125" s="145"/>
      <c r="E125" s="145"/>
      <c r="F125" s="145"/>
      <c r="G125" s="145"/>
      <c r="H125" s="146"/>
      <c r="I125" s="83" t="s">
        <v>23</v>
      </c>
      <c r="J125" s="84">
        <f>SUM(J67:J124)</f>
        <v>196395.99999999988</v>
      </c>
      <c r="K125" s="7"/>
      <c r="L125" s="5"/>
      <c r="M125" s="5"/>
      <c r="N125" s="5"/>
      <c r="O125" s="5"/>
      <c r="P125" s="5"/>
      <c r="Q125" s="5"/>
      <c r="R125" s="5"/>
      <c r="V125" s="36">
        <f>SUM(V67:V124)</f>
        <v>28</v>
      </c>
      <c r="W125" s="36">
        <f>SUM(W67:W124)</f>
        <v>5</v>
      </c>
    </row>
    <row r="126" spans="1:23" s="36" customFormat="1" ht="30" customHeight="1" thickBot="1" x14ac:dyDescent="0.35">
      <c r="A126" s="30"/>
      <c r="B126" s="31"/>
      <c r="C126" s="31"/>
      <c r="D126" s="31"/>
      <c r="E126" s="31"/>
      <c r="F126" s="31"/>
      <c r="G126" s="31"/>
      <c r="H126" s="32"/>
      <c r="I126" s="31"/>
      <c r="J126" s="32"/>
      <c r="K126" s="33"/>
      <c r="L126" s="5"/>
      <c r="M126" s="5"/>
      <c r="N126" s="5"/>
      <c r="O126" s="5"/>
      <c r="P126" s="5"/>
      <c r="Q126" s="5"/>
      <c r="R126" s="5"/>
    </row>
    <row r="127" spans="1:23" ht="15" thickBot="1" x14ac:dyDescent="0.35"/>
    <row r="128" spans="1:23" s="36" customFormat="1" ht="30" customHeight="1" thickBot="1" x14ac:dyDescent="0.35">
      <c r="A128" s="1"/>
      <c r="B128" s="2"/>
      <c r="C128" s="2"/>
      <c r="D128" s="2"/>
      <c r="E128" s="2"/>
      <c r="F128" s="2"/>
      <c r="G128" s="2"/>
      <c r="H128" s="3"/>
      <c r="I128" s="2"/>
      <c r="J128" s="3"/>
      <c r="K128" s="4"/>
    </row>
    <row r="129" spans="1:23" s="36" customFormat="1" ht="25.2" thickBot="1" x14ac:dyDescent="0.35">
      <c r="A129" s="6" t="s">
        <v>1</v>
      </c>
      <c r="B129" s="119" t="s">
        <v>2</v>
      </c>
      <c r="C129" s="120"/>
      <c r="D129" s="120"/>
      <c r="E129" s="120"/>
      <c r="F129" s="120"/>
      <c r="G129" s="120"/>
      <c r="H129" s="120"/>
      <c r="I129" s="120"/>
      <c r="J129" s="121"/>
      <c r="K129" s="7"/>
    </row>
    <row r="130" spans="1:23" s="36" customFormat="1" ht="16.2" thickBot="1" x14ac:dyDescent="0.35">
      <c r="A130" s="6"/>
      <c r="B130" s="168" t="s">
        <v>560</v>
      </c>
      <c r="C130" s="169"/>
      <c r="D130" s="169"/>
      <c r="E130" s="169"/>
      <c r="F130" s="169"/>
      <c r="G130" s="169"/>
      <c r="H130" s="169"/>
      <c r="I130" s="169"/>
      <c r="J130" s="170"/>
      <c r="K130" s="7"/>
      <c r="L130" s="22"/>
    </row>
    <row r="131" spans="1:23" s="36" customFormat="1" ht="16.2" thickBot="1" x14ac:dyDescent="0.35">
      <c r="A131" s="6"/>
      <c r="B131" s="106" t="s">
        <v>215</v>
      </c>
      <c r="C131" s="107"/>
      <c r="D131" s="107"/>
      <c r="E131" s="107"/>
      <c r="F131" s="107"/>
      <c r="G131" s="107"/>
      <c r="H131" s="107"/>
      <c r="I131" s="107"/>
      <c r="J131" s="108"/>
      <c r="K131" s="7"/>
    </row>
    <row r="132" spans="1:23" s="22" customFormat="1" ht="15" thickBot="1" x14ac:dyDescent="0.35">
      <c r="A132" s="69"/>
      <c r="B132" s="70" t="s">
        <v>9</v>
      </c>
      <c r="C132" s="71" t="s">
        <v>10</v>
      </c>
      <c r="D132" s="72" t="s">
        <v>11</v>
      </c>
      <c r="E132" s="72" t="s">
        <v>12</v>
      </c>
      <c r="F132" s="73" t="s">
        <v>65</v>
      </c>
      <c r="G132" s="73" t="s">
        <v>66</v>
      </c>
      <c r="H132" s="74" t="s">
        <v>67</v>
      </c>
      <c r="I132" s="73" t="s">
        <v>68</v>
      </c>
      <c r="J132" s="75" t="s">
        <v>17</v>
      </c>
      <c r="K132" s="76"/>
      <c r="L132" s="36"/>
      <c r="M132" s="36"/>
      <c r="N132" s="36"/>
      <c r="O132" s="36" t="s">
        <v>21</v>
      </c>
      <c r="P132" s="36"/>
      <c r="Q132" s="36"/>
      <c r="R132" s="36"/>
      <c r="V132" s="5" t="s">
        <v>5</v>
      </c>
      <c r="W132" s="5" t="s">
        <v>6</v>
      </c>
    </row>
    <row r="133" spans="1:23" s="36" customFormat="1" x14ac:dyDescent="0.3">
      <c r="A133" s="6"/>
      <c r="B133" s="14">
        <v>1</v>
      </c>
      <c r="C133" s="93">
        <v>44501</v>
      </c>
      <c r="D133" s="94" t="s">
        <v>18</v>
      </c>
      <c r="E133" s="94" t="s">
        <v>485</v>
      </c>
      <c r="F133" s="60">
        <v>17750</v>
      </c>
      <c r="G133" s="60">
        <v>100</v>
      </c>
      <c r="H133" s="60">
        <v>30</v>
      </c>
      <c r="I133" s="15">
        <v>300</v>
      </c>
      <c r="J133" s="16">
        <f t="shared" ref="J133:J178" si="9">I133*H133</f>
        <v>9000</v>
      </c>
      <c r="K133" s="7"/>
      <c r="V133" s="5">
        <f t="shared" ref="V133:V178" si="10">IF($J133&gt;0,1,0)</f>
        <v>1</v>
      </c>
      <c r="W133" s="5">
        <f t="shared" ref="W133:W178" si="11">IF($J133&lt;0,1,0)</f>
        <v>0</v>
      </c>
    </row>
    <row r="134" spans="1:23" s="36" customFormat="1" x14ac:dyDescent="0.3">
      <c r="A134" s="6"/>
      <c r="B134" s="17">
        <f>B133+1</f>
        <v>2</v>
      </c>
      <c r="C134" s="18">
        <v>44501</v>
      </c>
      <c r="D134" s="19" t="s">
        <v>18</v>
      </c>
      <c r="E134" s="19" t="s">
        <v>567</v>
      </c>
      <c r="F134" s="35">
        <v>70</v>
      </c>
      <c r="G134" s="35">
        <v>100</v>
      </c>
      <c r="H134" s="35">
        <v>30</v>
      </c>
      <c r="I134" s="20">
        <v>300</v>
      </c>
      <c r="J134" s="21">
        <f t="shared" si="9"/>
        <v>9000</v>
      </c>
      <c r="K134" s="7"/>
      <c r="L134" s="36" t="s">
        <v>21</v>
      </c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ref="B135:B155" si="12">B134+1</f>
        <v>3</v>
      </c>
      <c r="C135" s="18">
        <v>44502</v>
      </c>
      <c r="D135" s="19" t="s">
        <v>18</v>
      </c>
      <c r="E135" s="19" t="s">
        <v>568</v>
      </c>
      <c r="F135" s="35">
        <v>85</v>
      </c>
      <c r="G135" s="35">
        <v>115</v>
      </c>
      <c r="H135" s="35">
        <v>30</v>
      </c>
      <c r="I135" s="20">
        <v>300</v>
      </c>
      <c r="J135" s="21">
        <f t="shared" si="9"/>
        <v>9000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4</v>
      </c>
      <c r="C136" s="18">
        <v>44502</v>
      </c>
      <c r="D136" s="19" t="s">
        <v>18</v>
      </c>
      <c r="E136" s="19" t="s">
        <v>569</v>
      </c>
      <c r="F136" s="35">
        <v>70</v>
      </c>
      <c r="G136" s="35">
        <v>100</v>
      </c>
      <c r="H136" s="35">
        <v>30</v>
      </c>
      <c r="I136" s="20">
        <v>300</v>
      </c>
      <c r="J136" s="21">
        <f t="shared" si="9"/>
        <v>9000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5</v>
      </c>
      <c r="C137" s="18">
        <v>44509</v>
      </c>
      <c r="D137" s="19" t="s">
        <v>18</v>
      </c>
      <c r="E137" s="19" t="s">
        <v>539</v>
      </c>
      <c r="F137" s="35">
        <v>80</v>
      </c>
      <c r="G137" s="35">
        <v>65</v>
      </c>
      <c r="H137" s="35">
        <v>-15</v>
      </c>
      <c r="I137" s="20">
        <v>300</v>
      </c>
      <c r="J137" s="21">
        <f t="shared" si="9"/>
        <v>-4500</v>
      </c>
      <c r="K137" s="7"/>
      <c r="V137" s="5">
        <f t="shared" si="10"/>
        <v>0</v>
      </c>
      <c r="W137" s="5">
        <f t="shared" si="11"/>
        <v>1</v>
      </c>
    </row>
    <row r="138" spans="1:23" s="36" customFormat="1" x14ac:dyDescent="0.3">
      <c r="A138" s="6"/>
      <c r="B138" s="17">
        <f t="shared" si="12"/>
        <v>6</v>
      </c>
      <c r="C138" s="18">
        <v>44510</v>
      </c>
      <c r="D138" s="19" t="s">
        <v>18</v>
      </c>
      <c r="E138" s="19" t="s">
        <v>484</v>
      </c>
      <c r="F138" s="20">
        <v>80</v>
      </c>
      <c r="G138" s="35">
        <v>110</v>
      </c>
      <c r="H138" s="35">
        <v>30</v>
      </c>
      <c r="I138" s="20">
        <v>300</v>
      </c>
      <c r="J138" s="21">
        <f t="shared" si="9"/>
        <v>9000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7</v>
      </c>
      <c r="C139" s="18">
        <v>44510</v>
      </c>
      <c r="D139" s="19" t="s">
        <v>18</v>
      </c>
      <c r="E139" s="19" t="s">
        <v>526</v>
      </c>
      <c r="F139" s="35">
        <v>90</v>
      </c>
      <c r="G139" s="35">
        <v>115</v>
      </c>
      <c r="H139" s="35">
        <f>115-90</f>
        <v>25</v>
      </c>
      <c r="I139" s="20">
        <v>300</v>
      </c>
      <c r="J139" s="21">
        <f t="shared" si="9"/>
        <v>7500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8</v>
      </c>
      <c r="C140" s="18">
        <v>44511</v>
      </c>
      <c r="D140" s="19" t="s">
        <v>18</v>
      </c>
      <c r="E140" s="19" t="s">
        <v>569</v>
      </c>
      <c r="F140" s="35">
        <v>45</v>
      </c>
      <c r="G140" s="35">
        <v>75</v>
      </c>
      <c r="H140" s="35">
        <v>30</v>
      </c>
      <c r="I140" s="20">
        <v>300</v>
      </c>
      <c r="J140" s="21">
        <f t="shared" si="9"/>
        <v>9000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9</v>
      </c>
      <c r="C141" s="18">
        <v>44511</v>
      </c>
      <c r="D141" s="19" t="s">
        <v>18</v>
      </c>
      <c r="E141" s="19" t="s">
        <v>569</v>
      </c>
      <c r="F141" s="35">
        <v>70</v>
      </c>
      <c r="G141" s="35">
        <v>85</v>
      </c>
      <c r="H141" s="35">
        <v>15</v>
      </c>
      <c r="I141" s="20">
        <v>300</v>
      </c>
      <c r="J141" s="21">
        <f t="shared" si="9"/>
        <v>4500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10</v>
      </c>
      <c r="C142" s="18">
        <v>44512</v>
      </c>
      <c r="D142" s="19" t="s">
        <v>18</v>
      </c>
      <c r="E142" s="19" t="s">
        <v>527</v>
      </c>
      <c r="F142" s="35">
        <v>85</v>
      </c>
      <c r="G142" s="35">
        <v>94</v>
      </c>
      <c r="H142" s="35">
        <f>94-85</f>
        <v>9</v>
      </c>
      <c r="I142" s="20">
        <v>300</v>
      </c>
      <c r="J142" s="21">
        <f t="shared" si="9"/>
        <v>2700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11</v>
      </c>
      <c r="C143" s="18">
        <v>44512</v>
      </c>
      <c r="D143" s="19" t="s">
        <v>18</v>
      </c>
      <c r="E143" s="19" t="s">
        <v>527</v>
      </c>
      <c r="F143" s="19">
        <v>90</v>
      </c>
      <c r="G143" s="35">
        <v>120</v>
      </c>
      <c r="H143" s="35">
        <v>30</v>
      </c>
      <c r="I143" s="20">
        <v>300</v>
      </c>
      <c r="J143" s="21">
        <f t="shared" si="9"/>
        <v>9000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12</v>
      </c>
      <c r="C144" s="18">
        <v>44515</v>
      </c>
      <c r="D144" s="19" t="s">
        <v>18</v>
      </c>
      <c r="E144" s="19" t="s">
        <v>529</v>
      </c>
      <c r="F144" s="35">
        <v>85</v>
      </c>
      <c r="G144" s="35">
        <v>70</v>
      </c>
      <c r="H144" s="35">
        <v>-15</v>
      </c>
      <c r="I144" s="20">
        <v>300</v>
      </c>
      <c r="J144" s="21">
        <f t="shared" si="9"/>
        <v>-4500</v>
      </c>
      <c r="K144" s="7"/>
      <c r="V144" s="5">
        <f t="shared" si="10"/>
        <v>0</v>
      </c>
      <c r="W144" s="5">
        <f t="shared" si="11"/>
        <v>1</v>
      </c>
    </row>
    <row r="145" spans="1:23" s="36" customFormat="1" x14ac:dyDescent="0.3">
      <c r="A145" s="6"/>
      <c r="B145" s="17">
        <f t="shared" si="12"/>
        <v>13</v>
      </c>
      <c r="C145" s="18">
        <v>44516</v>
      </c>
      <c r="D145" s="19" t="s">
        <v>18</v>
      </c>
      <c r="E145" s="19" t="s">
        <v>570</v>
      </c>
      <c r="F145" s="35">
        <v>80</v>
      </c>
      <c r="G145" s="35">
        <v>95</v>
      </c>
      <c r="H145" s="35">
        <v>15</v>
      </c>
      <c r="I145" s="20">
        <v>300</v>
      </c>
      <c r="J145" s="21">
        <f t="shared" si="9"/>
        <v>4500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14</v>
      </c>
      <c r="C146" s="18">
        <v>44516</v>
      </c>
      <c r="D146" s="19" t="s">
        <v>18</v>
      </c>
      <c r="E146" s="19" t="s">
        <v>537</v>
      </c>
      <c r="F146" s="77">
        <v>75</v>
      </c>
      <c r="G146" s="35">
        <v>81</v>
      </c>
      <c r="H146" s="78">
        <f>81-75</f>
        <v>6</v>
      </c>
      <c r="I146" s="20">
        <v>300</v>
      </c>
      <c r="J146" s="21">
        <f t="shared" si="9"/>
        <v>1800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15</v>
      </c>
      <c r="C147" s="18">
        <v>44517</v>
      </c>
      <c r="D147" s="19" t="s">
        <v>18</v>
      </c>
      <c r="E147" s="19" t="s">
        <v>484</v>
      </c>
      <c r="F147" s="35">
        <v>90</v>
      </c>
      <c r="G147" s="35">
        <v>110</v>
      </c>
      <c r="H147" s="78">
        <v>20</v>
      </c>
      <c r="I147" s="20">
        <v>300</v>
      </c>
      <c r="J147" s="21">
        <f t="shared" si="9"/>
        <v>6000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16</v>
      </c>
      <c r="C148" s="18">
        <v>44517</v>
      </c>
      <c r="D148" s="19" t="s">
        <v>18</v>
      </c>
      <c r="E148" s="19" t="s">
        <v>526</v>
      </c>
      <c r="F148" s="35">
        <v>70</v>
      </c>
      <c r="G148" s="35">
        <v>76</v>
      </c>
      <c r="H148" s="78">
        <v>6</v>
      </c>
      <c r="I148" s="20">
        <v>300</v>
      </c>
      <c r="J148" s="21">
        <f t="shared" si="9"/>
        <v>1800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17</v>
      </c>
      <c r="C149" s="18">
        <v>44518</v>
      </c>
      <c r="D149" s="19" t="s">
        <v>18</v>
      </c>
      <c r="E149" s="19" t="s">
        <v>485</v>
      </c>
      <c r="F149" s="35">
        <v>65</v>
      </c>
      <c r="G149" s="35">
        <v>75</v>
      </c>
      <c r="H149" s="78">
        <v>10</v>
      </c>
      <c r="I149" s="20">
        <v>300</v>
      </c>
      <c r="J149" s="21">
        <f t="shared" si="9"/>
        <v>3000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18</v>
      </c>
      <c r="C150" s="18">
        <v>44518</v>
      </c>
      <c r="D150" s="19" t="s">
        <v>18</v>
      </c>
      <c r="E150" s="19" t="s">
        <v>525</v>
      </c>
      <c r="F150" s="35">
        <v>50</v>
      </c>
      <c r="G150" s="35">
        <v>56</v>
      </c>
      <c r="H150" s="78">
        <v>6</v>
      </c>
      <c r="I150" s="20">
        <v>300</v>
      </c>
      <c r="J150" s="21">
        <f t="shared" si="9"/>
        <v>1800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19</v>
      </c>
      <c r="C151" s="18">
        <v>44522</v>
      </c>
      <c r="D151" s="19" t="s">
        <v>18</v>
      </c>
      <c r="E151" s="19" t="s">
        <v>478</v>
      </c>
      <c r="F151" s="35">
        <v>95</v>
      </c>
      <c r="G151" s="35">
        <v>80</v>
      </c>
      <c r="H151" s="78">
        <v>-15</v>
      </c>
      <c r="I151" s="20">
        <v>300</v>
      </c>
      <c r="J151" s="21">
        <f t="shared" si="9"/>
        <v>-4500</v>
      </c>
      <c r="K151" s="7"/>
      <c r="V151" s="5">
        <f t="shared" si="10"/>
        <v>0</v>
      </c>
      <c r="W151" s="5">
        <f t="shared" si="11"/>
        <v>1</v>
      </c>
    </row>
    <row r="152" spans="1:23" s="36" customFormat="1" x14ac:dyDescent="0.3">
      <c r="A152" s="6"/>
      <c r="B152" s="17">
        <f t="shared" si="12"/>
        <v>20</v>
      </c>
      <c r="C152" s="18">
        <v>44522</v>
      </c>
      <c r="D152" s="19" t="s">
        <v>18</v>
      </c>
      <c r="E152" s="19" t="s">
        <v>573</v>
      </c>
      <c r="F152" s="35">
        <v>95</v>
      </c>
      <c r="G152" s="35">
        <v>125</v>
      </c>
      <c r="H152" s="35">
        <v>30</v>
      </c>
      <c r="I152" s="20">
        <v>300</v>
      </c>
      <c r="J152" s="21">
        <f t="shared" si="9"/>
        <v>9000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21</v>
      </c>
      <c r="C153" s="18">
        <v>44523</v>
      </c>
      <c r="D153" s="19" t="s">
        <v>18</v>
      </c>
      <c r="E153" s="19" t="s">
        <v>470</v>
      </c>
      <c r="F153" s="35">
        <v>75</v>
      </c>
      <c r="G153" s="35">
        <v>105</v>
      </c>
      <c r="H153" s="35">
        <v>30</v>
      </c>
      <c r="I153" s="20">
        <v>300</v>
      </c>
      <c r="J153" s="21">
        <f t="shared" si="9"/>
        <v>9000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2"/>
        <v>22</v>
      </c>
      <c r="C154" s="18">
        <v>44523</v>
      </c>
      <c r="D154" s="19" t="s">
        <v>18</v>
      </c>
      <c r="E154" s="19" t="s">
        <v>470</v>
      </c>
      <c r="F154" s="35">
        <v>80</v>
      </c>
      <c r="G154" s="35">
        <v>101</v>
      </c>
      <c r="H154" s="35">
        <f>101-80</f>
        <v>21</v>
      </c>
      <c r="I154" s="20">
        <v>300</v>
      </c>
      <c r="J154" s="21">
        <f t="shared" si="9"/>
        <v>6300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2"/>
        <v>23</v>
      </c>
      <c r="C155" s="18">
        <v>44524</v>
      </c>
      <c r="D155" s="19" t="s">
        <v>18</v>
      </c>
      <c r="E155" s="19" t="s">
        <v>479</v>
      </c>
      <c r="F155" s="35">
        <v>80</v>
      </c>
      <c r="G155" s="35">
        <v>95</v>
      </c>
      <c r="H155" s="35">
        <v>15</v>
      </c>
      <c r="I155" s="20">
        <v>300</v>
      </c>
      <c r="J155" s="21">
        <f t="shared" si="9"/>
        <v>4500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>B155+1</f>
        <v>24</v>
      </c>
      <c r="C156" s="18">
        <v>44524</v>
      </c>
      <c r="D156" s="19" t="s">
        <v>18</v>
      </c>
      <c r="E156" s="19" t="s">
        <v>479</v>
      </c>
      <c r="F156" s="35">
        <v>80</v>
      </c>
      <c r="G156" s="35">
        <v>95</v>
      </c>
      <c r="H156" s="35">
        <v>15</v>
      </c>
      <c r="I156" s="20">
        <v>300</v>
      </c>
      <c r="J156" s="21">
        <f t="shared" si="9"/>
        <v>4500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ref="B157:B178" si="13">B156+1</f>
        <v>25</v>
      </c>
      <c r="C157" s="18">
        <v>44525</v>
      </c>
      <c r="D157" s="19" t="s">
        <v>18</v>
      </c>
      <c r="E157" s="19" t="s">
        <v>471</v>
      </c>
      <c r="F157" s="35">
        <v>50</v>
      </c>
      <c r="G157" s="35">
        <v>35</v>
      </c>
      <c r="H157" s="35">
        <v>-15</v>
      </c>
      <c r="I157" s="20">
        <v>300</v>
      </c>
      <c r="J157" s="21">
        <f t="shared" si="9"/>
        <v>-4500</v>
      </c>
      <c r="K157" s="7"/>
      <c r="V157" s="5">
        <f t="shared" si="10"/>
        <v>0</v>
      </c>
      <c r="W157" s="5">
        <f t="shared" si="11"/>
        <v>1</v>
      </c>
    </row>
    <row r="158" spans="1:23" s="36" customFormat="1" x14ac:dyDescent="0.3">
      <c r="A158" s="6"/>
      <c r="B158" s="17">
        <f t="shared" si="13"/>
        <v>26</v>
      </c>
      <c r="C158" s="18">
        <v>44525</v>
      </c>
      <c r="D158" s="19" t="s">
        <v>18</v>
      </c>
      <c r="E158" s="19" t="s">
        <v>575</v>
      </c>
      <c r="F158" s="35">
        <v>30</v>
      </c>
      <c r="G158" s="35">
        <v>15</v>
      </c>
      <c r="H158" s="35">
        <v>-15</v>
      </c>
      <c r="I158" s="20">
        <v>300</v>
      </c>
      <c r="J158" s="21">
        <f t="shared" si="9"/>
        <v>-4500</v>
      </c>
      <c r="K158" s="7"/>
      <c r="V158" s="5">
        <f t="shared" si="10"/>
        <v>0</v>
      </c>
      <c r="W158" s="5">
        <f t="shared" si="11"/>
        <v>1</v>
      </c>
    </row>
    <row r="159" spans="1:23" s="36" customFormat="1" x14ac:dyDescent="0.3">
      <c r="A159" s="6"/>
      <c r="B159" s="17">
        <f t="shared" si="13"/>
        <v>27</v>
      </c>
      <c r="C159" s="18">
        <v>44526</v>
      </c>
      <c r="D159" s="19" t="s">
        <v>18</v>
      </c>
      <c r="E159" s="19" t="s">
        <v>466</v>
      </c>
      <c r="F159" s="35">
        <v>105</v>
      </c>
      <c r="G159" s="35">
        <v>135</v>
      </c>
      <c r="H159" s="35">
        <v>30</v>
      </c>
      <c r="I159" s="20">
        <v>300</v>
      </c>
      <c r="J159" s="21">
        <f t="shared" si="9"/>
        <v>9000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 t="shared" si="13"/>
        <v>28</v>
      </c>
      <c r="C160" s="18">
        <v>44526</v>
      </c>
      <c r="D160" s="19" t="s">
        <v>18</v>
      </c>
      <c r="E160" s="19" t="s">
        <v>576</v>
      </c>
      <c r="F160" s="35">
        <v>95</v>
      </c>
      <c r="G160" s="35">
        <v>125</v>
      </c>
      <c r="H160" s="35">
        <v>30</v>
      </c>
      <c r="I160" s="20">
        <v>300</v>
      </c>
      <c r="J160" s="21">
        <f t="shared" si="9"/>
        <v>9000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si="13"/>
        <v>29</v>
      </c>
      <c r="C161" s="18">
        <v>44529</v>
      </c>
      <c r="D161" s="19" t="s">
        <v>18</v>
      </c>
      <c r="E161" s="19" t="s">
        <v>577</v>
      </c>
      <c r="F161" s="35">
        <v>90</v>
      </c>
      <c r="G161" s="35">
        <v>96</v>
      </c>
      <c r="H161" s="35">
        <v>6</v>
      </c>
      <c r="I161" s="20">
        <v>300</v>
      </c>
      <c r="J161" s="21">
        <f t="shared" si="9"/>
        <v>1800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30</v>
      </c>
      <c r="C162" s="18">
        <v>44530</v>
      </c>
      <c r="D162" s="19" t="s">
        <v>18</v>
      </c>
      <c r="E162" s="19" t="s">
        <v>578</v>
      </c>
      <c r="F162" s="35">
        <v>75</v>
      </c>
      <c r="G162" s="35">
        <v>105</v>
      </c>
      <c r="H162" s="35">
        <v>30</v>
      </c>
      <c r="I162" s="20">
        <v>300</v>
      </c>
      <c r="J162" s="21">
        <f t="shared" si="9"/>
        <v>9000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31</v>
      </c>
      <c r="C163" s="18">
        <v>44530</v>
      </c>
      <c r="D163" s="19" t="s">
        <v>18</v>
      </c>
      <c r="E163" s="19" t="s">
        <v>467</v>
      </c>
      <c r="F163" s="35">
        <v>85</v>
      </c>
      <c r="G163" s="35">
        <v>115</v>
      </c>
      <c r="H163" s="35">
        <v>30</v>
      </c>
      <c r="I163" s="20">
        <v>300</v>
      </c>
      <c r="J163" s="21">
        <f t="shared" si="9"/>
        <v>9000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32</v>
      </c>
      <c r="C164" s="18"/>
      <c r="D164" s="19"/>
      <c r="E164" s="19"/>
      <c r="F164" s="35"/>
      <c r="G164" s="35"/>
      <c r="H164" s="35"/>
      <c r="I164" s="20"/>
      <c r="J164" s="21">
        <f t="shared" si="9"/>
        <v>0</v>
      </c>
      <c r="K164" s="7"/>
      <c r="V164" s="5">
        <f t="shared" si="10"/>
        <v>0</v>
      </c>
      <c r="W164" s="5">
        <f t="shared" si="11"/>
        <v>0</v>
      </c>
    </row>
    <row r="165" spans="1:23" s="36" customFormat="1" hidden="1" x14ac:dyDescent="0.3">
      <c r="A165" s="6"/>
      <c r="B165" s="17">
        <f t="shared" si="13"/>
        <v>33</v>
      </c>
      <c r="C165" s="18"/>
      <c r="D165" s="19"/>
      <c r="E165" s="19"/>
      <c r="F165" s="35"/>
      <c r="G165" s="35"/>
      <c r="H165" s="35"/>
      <c r="I165" s="20"/>
      <c r="J165" s="21">
        <f t="shared" si="9"/>
        <v>0</v>
      </c>
      <c r="K165" s="7"/>
      <c r="V165" s="5">
        <f t="shared" si="10"/>
        <v>0</v>
      </c>
      <c r="W165" s="5">
        <f t="shared" si="11"/>
        <v>0</v>
      </c>
    </row>
    <row r="166" spans="1:23" s="36" customFormat="1" hidden="1" x14ac:dyDescent="0.3">
      <c r="A166" s="6"/>
      <c r="B166" s="17">
        <f t="shared" si="13"/>
        <v>34</v>
      </c>
      <c r="C166" s="18"/>
      <c r="D166" s="19"/>
      <c r="E166" s="19"/>
      <c r="F166" s="35"/>
      <c r="G166" s="35"/>
      <c r="H166" s="35"/>
      <c r="I166" s="20"/>
      <c r="J166" s="21">
        <f t="shared" si="9"/>
        <v>0</v>
      </c>
      <c r="K166" s="7"/>
      <c r="V166" s="5">
        <f t="shared" si="10"/>
        <v>0</v>
      </c>
      <c r="W166" s="5">
        <f t="shared" si="11"/>
        <v>0</v>
      </c>
    </row>
    <row r="167" spans="1:23" s="36" customFormat="1" hidden="1" x14ac:dyDescent="0.3">
      <c r="A167" s="6"/>
      <c r="B167" s="17">
        <f t="shared" si="13"/>
        <v>35</v>
      </c>
      <c r="C167" s="18"/>
      <c r="D167" s="19"/>
      <c r="E167" s="19"/>
      <c r="F167" s="35"/>
      <c r="G167" s="35"/>
      <c r="H167" s="35"/>
      <c r="I167" s="20"/>
      <c r="J167" s="21">
        <f t="shared" si="9"/>
        <v>0</v>
      </c>
      <c r="K167" s="7"/>
      <c r="V167" s="5">
        <f t="shared" si="10"/>
        <v>0</v>
      </c>
      <c r="W167" s="5">
        <f t="shared" si="11"/>
        <v>0</v>
      </c>
    </row>
    <row r="168" spans="1:23" s="36" customFormat="1" hidden="1" x14ac:dyDescent="0.3">
      <c r="A168" s="6"/>
      <c r="B168" s="17">
        <f t="shared" si="13"/>
        <v>36</v>
      </c>
      <c r="C168" s="18"/>
      <c r="D168" s="19"/>
      <c r="E168" s="19"/>
      <c r="F168" s="35"/>
      <c r="G168" s="35"/>
      <c r="H168" s="35"/>
      <c r="I168" s="20"/>
      <c r="J168" s="21">
        <f t="shared" si="9"/>
        <v>0</v>
      </c>
      <c r="K168" s="7"/>
      <c r="V168" s="5">
        <f t="shared" si="10"/>
        <v>0</v>
      </c>
      <c r="W168" s="5">
        <f t="shared" si="11"/>
        <v>0</v>
      </c>
    </row>
    <row r="169" spans="1:23" s="36" customFormat="1" hidden="1" x14ac:dyDescent="0.3">
      <c r="A169" s="6"/>
      <c r="B169" s="17">
        <f t="shared" si="13"/>
        <v>37</v>
      </c>
      <c r="C169" s="18"/>
      <c r="D169" s="19"/>
      <c r="E169" s="19"/>
      <c r="F169" s="35"/>
      <c r="G169" s="35"/>
      <c r="H169" s="35"/>
      <c r="I169" s="20"/>
      <c r="J169" s="21">
        <f t="shared" si="9"/>
        <v>0</v>
      </c>
      <c r="K169" s="7"/>
      <c r="V169" s="5">
        <f t="shared" si="10"/>
        <v>0</v>
      </c>
      <c r="W169" s="5">
        <f t="shared" si="11"/>
        <v>0</v>
      </c>
    </row>
    <row r="170" spans="1:23" s="36" customFormat="1" hidden="1" x14ac:dyDescent="0.3">
      <c r="A170" s="6"/>
      <c r="B170" s="17">
        <f t="shared" si="13"/>
        <v>38</v>
      </c>
      <c r="C170" s="18"/>
      <c r="D170" s="19"/>
      <c r="E170" s="19"/>
      <c r="F170" s="35"/>
      <c r="G170" s="35"/>
      <c r="H170" s="35"/>
      <c r="I170" s="20"/>
      <c r="J170" s="21">
        <f t="shared" si="9"/>
        <v>0</v>
      </c>
      <c r="K170" s="7"/>
      <c r="V170" s="5">
        <f t="shared" si="10"/>
        <v>0</v>
      </c>
      <c r="W170" s="5">
        <f t="shared" si="11"/>
        <v>0</v>
      </c>
    </row>
    <row r="171" spans="1:23" s="36" customFormat="1" hidden="1" x14ac:dyDescent="0.3">
      <c r="A171" s="6"/>
      <c r="B171" s="17">
        <f t="shared" si="13"/>
        <v>39</v>
      </c>
      <c r="C171" s="18"/>
      <c r="D171" s="19"/>
      <c r="E171" s="19"/>
      <c r="F171" s="35"/>
      <c r="G171" s="35"/>
      <c r="H171" s="35"/>
      <c r="I171" s="20"/>
      <c r="J171" s="21">
        <f t="shared" si="9"/>
        <v>0</v>
      </c>
      <c r="K171" s="7"/>
      <c r="V171" s="5">
        <f t="shared" si="10"/>
        <v>0</v>
      </c>
      <c r="W171" s="5">
        <f t="shared" si="11"/>
        <v>0</v>
      </c>
    </row>
    <row r="172" spans="1:23" s="36" customFormat="1" hidden="1" x14ac:dyDescent="0.3">
      <c r="A172" s="6"/>
      <c r="B172" s="17">
        <f t="shared" si="13"/>
        <v>40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hidden="1" x14ac:dyDescent="0.3">
      <c r="A173" s="6"/>
      <c r="B173" s="17">
        <f t="shared" si="13"/>
        <v>41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hidden="1" x14ac:dyDescent="0.3">
      <c r="A174" s="6"/>
      <c r="B174" s="17">
        <f t="shared" si="13"/>
        <v>42</v>
      </c>
      <c r="C174" s="18"/>
      <c r="D174" s="19"/>
      <c r="E174" s="19"/>
      <c r="F174" s="35"/>
      <c r="G174" s="35"/>
      <c r="H174" s="35"/>
      <c r="I174" s="20"/>
      <c r="J174" s="21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hidden="1" x14ac:dyDescent="0.3">
      <c r="A175" s="6"/>
      <c r="B175" s="17">
        <f t="shared" si="13"/>
        <v>43</v>
      </c>
      <c r="C175" s="18"/>
      <c r="D175" s="19"/>
      <c r="E175" s="19"/>
      <c r="F175" s="35"/>
      <c r="G175" s="35"/>
      <c r="H175" s="35"/>
      <c r="I175" s="20"/>
      <c r="J175" s="21">
        <f t="shared" si="9"/>
        <v>0</v>
      </c>
      <c r="K175" s="7"/>
      <c r="V175" s="5">
        <f t="shared" si="10"/>
        <v>0</v>
      </c>
      <c r="W175" s="5">
        <f t="shared" si="11"/>
        <v>0</v>
      </c>
    </row>
    <row r="176" spans="1:23" s="36" customFormat="1" hidden="1" x14ac:dyDescent="0.3">
      <c r="A176" s="6"/>
      <c r="B176" s="17">
        <f t="shared" si="13"/>
        <v>44</v>
      </c>
      <c r="C176" s="18"/>
      <c r="D176" s="19"/>
      <c r="E176" s="19"/>
      <c r="F176" s="35"/>
      <c r="G176" s="35"/>
      <c r="H176" s="35"/>
      <c r="I176" s="20"/>
      <c r="J176" s="21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hidden="1" x14ac:dyDescent="0.3">
      <c r="A177" s="6"/>
      <c r="B177" s="17">
        <f t="shared" si="13"/>
        <v>45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ht="15" hidden="1" thickBot="1" x14ac:dyDescent="0.35">
      <c r="A178" s="6"/>
      <c r="B178" s="95">
        <f t="shared" si="13"/>
        <v>46</v>
      </c>
      <c r="C178" s="79"/>
      <c r="D178" s="80"/>
      <c r="E178" s="80"/>
      <c r="F178" s="96"/>
      <c r="G178" s="96"/>
      <c r="H178" s="96"/>
      <c r="I178" s="81"/>
      <c r="J178" s="82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ht="24" thickBot="1" x14ac:dyDescent="0.5">
      <c r="A179" s="6"/>
      <c r="B179" s="165" t="s">
        <v>22</v>
      </c>
      <c r="C179" s="166"/>
      <c r="D179" s="166"/>
      <c r="E179" s="166"/>
      <c r="F179" s="166"/>
      <c r="G179" s="166"/>
      <c r="H179" s="167"/>
      <c r="I179" s="83" t="s">
        <v>23</v>
      </c>
      <c r="J179" s="84">
        <f>SUM(J133:J178)</f>
        <v>145200</v>
      </c>
      <c r="K179" s="7"/>
      <c r="L179" s="5"/>
      <c r="M179" s="5"/>
      <c r="N179" s="5"/>
      <c r="O179" s="5"/>
      <c r="P179" s="5"/>
      <c r="Q179" s="5"/>
      <c r="R179" s="5"/>
      <c r="V179" s="36">
        <f>SUM(V133:V178)</f>
        <v>26</v>
      </c>
      <c r="W179" s="36">
        <f>SUM(W133:W178)</f>
        <v>5</v>
      </c>
    </row>
    <row r="180" spans="1:23" s="36" customFormat="1" ht="30" customHeight="1" thickBot="1" x14ac:dyDescent="0.35">
      <c r="A180" s="30"/>
      <c r="B180" s="31"/>
      <c r="C180" s="31"/>
      <c r="D180" s="31"/>
      <c r="E180" s="31"/>
      <c r="F180" s="31"/>
      <c r="G180" s="31"/>
      <c r="H180" s="32"/>
      <c r="I180" s="31"/>
      <c r="J180" s="32"/>
      <c r="K180" s="33"/>
      <c r="L180" s="5"/>
      <c r="M180" s="5"/>
      <c r="N180" s="5"/>
      <c r="O180" s="5"/>
      <c r="P180" s="5"/>
      <c r="Q180" s="5"/>
      <c r="R180" s="5"/>
    </row>
  </sheetData>
  <mergeCells count="44">
    <mergeCell ref="B125:H125"/>
    <mergeCell ref="B129:J129"/>
    <mergeCell ref="B130:J130"/>
    <mergeCell ref="B131:J131"/>
    <mergeCell ref="B179:H17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59" r:id="rId1" xr:uid="{00000000-0004-0000-1000-000000000000}"/>
    <hyperlink ref="B125" r:id="rId2" xr:uid="{00000000-0004-0000-1000-000001000000}"/>
    <hyperlink ref="B179" r:id="rId3" xr:uid="{00000000-0004-0000-1000-000002000000}"/>
    <hyperlink ref="M1" location="MASTER!A1" display="Back" xr:uid="{00000000-0004-0000-1000-000003000000}"/>
    <hyperlink ref="M6:M7" location="'NOV 2021'!A70" display="EXTRA STOCK FUTURE" xr:uid="{00000000-0004-0000-1000-000004000000}"/>
    <hyperlink ref="M8:M9" location="'NOV 2021'!A140" display="EXTRA NIFTY OPTION" xr:uid="{00000000-0004-0000-1000-000005000000}"/>
  </hyperlinks>
  <pageMargins left="0" right="0" top="0" bottom="0" header="0" footer="0"/>
  <pageSetup paperSize="9" orientation="portrait" r:id="rId4"/>
  <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180"/>
  <sheetViews>
    <sheetView topLeftCell="A127" zoomScaleNormal="100" workbookViewId="0">
      <selection activeCell="M19" sqref="M19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44531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95" t="s">
        <v>107</v>
      </c>
      <c r="N4" s="111">
        <f>COUNT(C6:C58)</f>
        <v>45</v>
      </c>
      <c r="O4" s="113">
        <f>V59</f>
        <v>37</v>
      </c>
      <c r="P4" s="113">
        <f>W59</f>
        <v>8</v>
      </c>
      <c r="Q4" s="197">
        <f>N4-O4-P4</f>
        <v>0</v>
      </c>
      <c r="R4" s="199">
        <f>O4/N4</f>
        <v>0.82222222222222219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96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44531</v>
      </c>
      <c r="D6" s="90" t="s">
        <v>18</v>
      </c>
      <c r="E6" s="90" t="s">
        <v>252</v>
      </c>
      <c r="F6" s="90">
        <v>140</v>
      </c>
      <c r="G6" s="90">
        <v>240</v>
      </c>
      <c r="H6" s="91">
        <v>100</v>
      </c>
      <c r="I6" s="90">
        <v>100</v>
      </c>
      <c r="J6" s="92">
        <f t="shared" ref="J6:J58" si="0">H6*I6</f>
        <v>10000</v>
      </c>
      <c r="K6" s="7"/>
      <c r="M6" s="213" t="s">
        <v>108</v>
      </c>
      <c r="N6" s="112">
        <f>COUNT(C67:C124)</f>
        <v>44</v>
      </c>
      <c r="O6" s="114">
        <v>31</v>
      </c>
      <c r="P6" s="114">
        <v>13</v>
      </c>
      <c r="Q6" s="198">
        <v>0</v>
      </c>
      <c r="R6" s="203">
        <f t="shared" ref="R6" si="1">O6/N6</f>
        <v>0.70454545454545459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x14ac:dyDescent="0.3">
      <c r="A7" s="6"/>
      <c r="B7" s="17">
        <v>2</v>
      </c>
      <c r="C7" s="85">
        <v>44531</v>
      </c>
      <c r="D7" s="86" t="s">
        <v>18</v>
      </c>
      <c r="E7" s="86" t="s">
        <v>252</v>
      </c>
      <c r="F7" s="86">
        <v>140</v>
      </c>
      <c r="G7" s="86">
        <v>190</v>
      </c>
      <c r="H7" s="87">
        <v>50</v>
      </c>
      <c r="I7" s="86">
        <v>100</v>
      </c>
      <c r="J7" s="21">
        <f t="shared" si="0"/>
        <v>5000</v>
      </c>
      <c r="K7" s="7"/>
      <c r="M7" s="213"/>
      <c r="N7" s="112"/>
      <c r="O7" s="114"/>
      <c r="P7" s="114"/>
      <c r="Q7" s="198"/>
      <c r="R7" s="200"/>
      <c r="V7" s="5">
        <f t="shared" si="2"/>
        <v>1</v>
      </c>
      <c r="W7" s="5">
        <f t="shared" si="3"/>
        <v>0</v>
      </c>
    </row>
    <row r="8" spans="1:23" x14ac:dyDescent="0.3">
      <c r="A8" s="6"/>
      <c r="B8" s="88">
        <v>3</v>
      </c>
      <c r="C8" s="85">
        <v>44532</v>
      </c>
      <c r="D8" s="86" t="s">
        <v>18</v>
      </c>
      <c r="E8" s="86" t="s">
        <v>424</v>
      </c>
      <c r="F8" s="86">
        <v>120</v>
      </c>
      <c r="G8" s="86">
        <v>155</v>
      </c>
      <c r="H8" s="87">
        <v>35</v>
      </c>
      <c r="I8" s="86">
        <v>100</v>
      </c>
      <c r="J8" s="21">
        <f t="shared" si="0"/>
        <v>3500</v>
      </c>
      <c r="K8" s="7"/>
      <c r="M8" s="214" t="s">
        <v>194</v>
      </c>
      <c r="N8" s="112">
        <f>COUNT(C133:C178)</f>
        <v>45</v>
      </c>
      <c r="O8" s="114">
        <f>V179</f>
        <v>37</v>
      </c>
      <c r="P8" s="114">
        <f>W179</f>
        <v>8</v>
      </c>
      <c r="Q8" s="198">
        <f>N8-O8-P8</f>
        <v>0</v>
      </c>
      <c r="R8" s="203">
        <f t="shared" ref="R8:R10" si="4">O8/N8</f>
        <v>0.82222222222222219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44532</v>
      </c>
      <c r="D9" s="86" t="s">
        <v>18</v>
      </c>
      <c r="E9" s="86" t="s">
        <v>260</v>
      </c>
      <c r="F9" s="86">
        <v>80</v>
      </c>
      <c r="G9" s="86">
        <v>112</v>
      </c>
      <c r="H9" s="87">
        <f>112-80</f>
        <v>32</v>
      </c>
      <c r="I9" s="86">
        <v>100</v>
      </c>
      <c r="J9" s="21">
        <f t="shared" si="0"/>
        <v>3200</v>
      </c>
      <c r="K9" s="7"/>
      <c r="M9" s="215"/>
      <c r="N9" s="184"/>
      <c r="O9" s="172"/>
      <c r="P9" s="172"/>
      <c r="Q9" s="174"/>
      <c r="R9" s="204"/>
      <c r="V9" s="5">
        <f t="shared" si="2"/>
        <v>1</v>
      </c>
      <c r="W9" s="5">
        <f t="shared" si="3"/>
        <v>0</v>
      </c>
    </row>
    <row r="10" spans="1:23" ht="16.5" customHeight="1" x14ac:dyDescent="0.3">
      <c r="A10" s="6"/>
      <c r="B10" s="88">
        <v>5</v>
      </c>
      <c r="C10" s="85">
        <v>44533</v>
      </c>
      <c r="D10" s="86" t="s">
        <v>18</v>
      </c>
      <c r="E10" s="86" t="s">
        <v>266</v>
      </c>
      <c r="F10" s="86">
        <v>130</v>
      </c>
      <c r="G10" s="86">
        <v>80</v>
      </c>
      <c r="H10" s="87">
        <v>-50</v>
      </c>
      <c r="I10" s="86">
        <v>100</v>
      </c>
      <c r="J10" s="21">
        <f t="shared" si="0"/>
        <v>-5000</v>
      </c>
      <c r="K10" s="7"/>
      <c r="M10" s="207" t="s">
        <v>19</v>
      </c>
      <c r="N10" s="149">
        <f>SUM(N4:N9)</f>
        <v>134</v>
      </c>
      <c r="O10" s="209">
        <f>SUM(O4:O9)</f>
        <v>105</v>
      </c>
      <c r="P10" s="209">
        <f>SUM(P4:P9)</f>
        <v>29</v>
      </c>
      <c r="Q10" s="211">
        <f>SUM(Q4:Q9)</f>
        <v>0</v>
      </c>
      <c r="R10" s="199">
        <f t="shared" si="4"/>
        <v>0.78358208955223885</v>
      </c>
      <c r="V10" s="5">
        <f t="shared" si="2"/>
        <v>0</v>
      </c>
      <c r="W10" s="5">
        <f t="shared" si="3"/>
        <v>1</v>
      </c>
    </row>
    <row r="11" spans="1:23" ht="15.75" customHeight="1" thickBot="1" x14ac:dyDescent="0.35">
      <c r="A11" s="6"/>
      <c r="B11" s="17">
        <v>6</v>
      </c>
      <c r="C11" s="85">
        <v>44533</v>
      </c>
      <c r="D11" s="86" t="s">
        <v>18</v>
      </c>
      <c r="E11" s="86" t="s">
        <v>261</v>
      </c>
      <c r="F11" s="86">
        <v>140</v>
      </c>
      <c r="G11" s="86">
        <v>90</v>
      </c>
      <c r="H11" s="87">
        <v>-50</v>
      </c>
      <c r="I11" s="86">
        <v>100</v>
      </c>
      <c r="J11" s="21">
        <f t="shared" si="0"/>
        <v>-5000</v>
      </c>
      <c r="K11" s="7"/>
      <c r="M11" s="208"/>
      <c r="N11" s="150"/>
      <c r="O11" s="210"/>
      <c r="P11" s="210"/>
      <c r="Q11" s="212"/>
      <c r="R11" s="204"/>
      <c r="V11" s="5">
        <f t="shared" si="2"/>
        <v>0</v>
      </c>
      <c r="W11" s="5">
        <f t="shared" si="3"/>
        <v>1</v>
      </c>
    </row>
    <row r="12" spans="1:23" ht="15" customHeight="1" x14ac:dyDescent="0.3">
      <c r="A12" s="6"/>
      <c r="B12" s="88">
        <v>7</v>
      </c>
      <c r="C12" s="85">
        <v>44536</v>
      </c>
      <c r="D12" s="86" t="s">
        <v>18</v>
      </c>
      <c r="E12" s="86" t="s">
        <v>276</v>
      </c>
      <c r="F12" s="86">
        <v>120</v>
      </c>
      <c r="G12" s="86">
        <v>160</v>
      </c>
      <c r="H12" s="87">
        <v>40</v>
      </c>
      <c r="I12" s="86">
        <v>100</v>
      </c>
      <c r="J12" s="21">
        <f t="shared" si="0"/>
        <v>4000</v>
      </c>
      <c r="K12" s="7"/>
      <c r="M12" s="126" t="s">
        <v>20</v>
      </c>
      <c r="N12" s="130"/>
      <c r="O12" s="131"/>
      <c r="P12" s="138">
        <f>R10</f>
        <v>0.78358208955223885</v>
      </c>
      <c r="Q12" s="139"/>
      <c r="R12" s="137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44536</v>
      </c>
      <c r="D13" s="86" t="s">
        <v>18</v>
      </c>
      <c r="E13" s="86" t="s">
        <v>300</v>
      </c>
      <c r="F13" s="86">
        <v>130</v>
      </c>
      <c r="G13" s="86">
        <v>230</v>
      </c>
      <c r="H13" s="87">
        <v>100</v>
      </c>
      <c r="I13" s="86">
        <v>100</v>
      </c>
      <c r="J13" s="21">
        <f t="shared" si="0"/>
        <v>10000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44536</v>
      </c>
      <c r="D14" s="86" t="s">
        <v>18</v>
      </c>
      <c r="E14" s="86" t="s">
        <v>243</v>
      </c>
      <c r="F14" s="86">
        <v>140</v>
      </c>
      <c r="G14" s="86">
        <v>170</v>
      </c>
      <c r="H14" s="87">
        <v>30</v>
      </c>
      <c r="I14" s="86">
        <v>100</v>
      </c>
      <c r="J14" s="21">
        <f t="shared" si="0"/>
        <v>3000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44537</v>
      </c>
      <c r="D15" s="86" t="s">
        <v>18</v>
      </c>
      <c r="E15" s="86" t="s">
        <v>275</v>
      </c>
      <c r="F15" s="86">
        <v>150</v>
      </c>
      <c r="G15" s="86">
        <v>250</v>
      </c>
      <c r="H15" s="87">
        <v>100</v>
      </c>
      <c r="I15" s="86">
        <v>100</v>
      </c>
      <c r="J15" s="21">
        <f t="shared" si="0"/>
        <v>10000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18">
        <v>44537</v>
      </c>
      <c r="D16" s="19" t="s">
        <v>18</v>
      </c>
      <c r="E16" s="19" t="s">
        <v>248</v>
      </c>
      <c r="F16" s="35">
        <v>130</v>
      </c>
      <c r="G16" s="35">
        <v>230</v>
      </c>
      <c r="H16" s="35">
        <v>100</v>
      </c>
      <c r="I16" s="20">
        <v>100</v>
      </c>
      <c r="J16" s="21">
        <f t="shared" si="0"/>
        <v>10000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18">
        <v>44538</v>
      </c>
      <c r="D17" s="19" t="s">
        <v>18</v>
      </c>
      <c r="E17" s="19" t="s">
        <v>266</v>
      </c>
      <c r="F17" s="35">
        <v>120</v>
      </c>
      <c r="G17" s="35">
        <v>70</v>
      </c>
      <c r="H17" s="35">
        <v>-50</v>
      </c>
      <c r="I17" s="20">
        <v>100</v>
      </c>
      <c r="J17" s="21">
        <f t="shared" si="0"/>
        <v>-5000</v>
      </c>
      <c r="K17" s="7"/>
      <c r="V17" s="5">
        <f t="shared" si="2"/>
        <v>0</v>
      </c>
      <c r="W17" s="5">
        <f t="shared" si="3"/>
        <v>1</v>
      </c>
    </row>
    <row r="18" spans="1:23" x14ac:dyDescent="0.3">
      <c r="A18" s="6"/>
      <c r="B18" s="88">
        <v>13</v>
      </c>
      <c r="C18" s="18">
        <v>44538</v>
      </c>
      <c r="D18" s="19" t="s">
        <v>18</v>
      </c>
      <c r="E18" s="19" t="s">
        <v>268</v>
      </c>
      <c r="F18" s="35">
        <v>130</v>
      </c>
      <c r="G18" s="35">
        <v>180</v>
      </c>
      <c r="H18" s="35">
        <v>50</v>
      </c>
      <c r="I18" s="20">
        <v>100</v>
      </c>
      <c r="J18" s="21">
        <f t="shared" si="0"/>
        <v>5000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18">
        <v>44539</v>
      </c>
      <c r="D19" s="19" t="s">
        <v>18</v>
      </c>
      <c r="E19" s="19" t="s">
        <v>458</v>
      </c>
      <c r="F19" s="35">
        <v>140</v>
      </c>
      <c r="G19" s="35">
        <v>240</v>
      </c>
      <c r="H19" s="35">
        <v>100</v>
      </c>
      <c r="I19" s="20">
        <v>100</v>
      </c>
      <c r="J19" s="21">
        <f t="shared" si="0"/>
        <v>10000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18">
        <v>44539</v>
      </c>
      <c r="D20" s="19" t="s">
        <v>18</v>
      </c>
      <c r="E20" s="19" t="s">
        <v>581</v>
      </c>
      <c r="F20" s="35">
        <v>120</v>
      </c>
      <c r="G20" s="35">
        <v>70</v>
      </c>
      <c r="H20" s="78">
        <v>-50</v>
      </c>
      <c r="I20" s="20">
        <v>100</v>
      </c>
      <c r="J20" s="21">
        <f t="shared" si="0"/>
        <v>-5000</v>
      </c>
      <c r="K20" s="7"/>
      <c r="V20" s="5">
        <f t="shared" si="2"/>
        <v>0</v>
      </c>
      <c r="W20" s="5">
        <f t="shared" si="3"/>
        <v>1</v>
      </c>
    </row>
    <row r="21" spans="1:23" x14ac:dyDescent="0.3">
      <c r="A21" s="6"/>
      <c r="B21" s="17">
        <v>16</v>
      </c>
      <c r="C21" s="18">
        <v>44539</v>
      </c>
      <c r="D21" s="19" t="s">
        <v>18</v>
      </c>
      <c r="E21" s="19" t="s">
        <v>582</v>
      </c>
      <c r="F21" s="35">
        <v>70</v>
      </c>
      <c r="G21" s="35">
        <v>120</v>
      </c>
      <c r="H21" s="35">
        <v>50</v>
      </c>
      <c r="I21" s="20">
        <v>100</v>
      </c>
      <c r="J21" s="21">
        <f t="shared" si="0"/>
        <v>5000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44540</v>
      </c>
      <c r="D22" s="19" t="s">
        <v>18</v>
      </c>
      <c r="E22" s="19" t="s">
        <v>269</v>
      </c>
      <c r="F22" s="35">
        <v>150</v>
      </c>
      <c r="G22" s="35">
        <v>130</v>
      </c>
      <c r="H22" s="35">
        <v>-20</v>
      </c>
      <c r="I22" s="20">
        <v>100</v>
      </c>
      <c r="J22" s="21">
        <f t="shared" si="0"/>
        <v>-2000</v>
      </c>
      <c r="K22" s="7"/>
      <c r="V22" s="5">
        <f t="shared" si="2"/>
        <v>0</v>
      </c>
      <c r="W22" s="5">
        <f t="shared" si="3"/>
        <v>1</v>
      </c>
    </row>
    <row r="23" spans="1:23" x14ac:dyDescent="0.3">
      <c r="A23" s="6"/>
      <c r="B23" s="17">
        <v>18</v>
      </c>
      <c r="C23" s="18">
        <v>44540</v>
      </c>
      <c r="D23" s="19" t="s">
        <v>18</v>
      </c>
      <c r="E23" s="19" t="s">
        <v>269</v>
      </c>
      <c r="F23" s="35">
        <v>140</v>
      </c>
      <c r="G23" s="35">
        <v>181</v>
      </c>
      <c r="H23" s="35">
        <v>41</v>
      </c>
      <c r="I23" s="20">
        <v>100</v>
      </c>
      <c r="J23" s="21">
        <f t="shared" si="0"/>
        <v>4100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44543</v>
      </c>
      <c r="D24" s="19" t="s">
        <v>18</v>
      </c>
      <c r="E24" s="19" t="s">
        <v>271</v>
      </c>
      <c r="F24" s="35">
        <v>150</v>
      </c>
      <c r="G24" s="35">
        <v>170</v>
      </c>
      <c r="H24" s="35">
        <v>20</v>
      </c>
      <c r="I24" s="20">
        <v>100</v>
      </c>
      <c r="J24" s="21">
        <f t="shared" si="0"/>
        <v>2000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44543</v>
      </c>
      <c r="D25" s="19" t="s">
        <v>18</v>
      </c>
      <c r="E25" s="19" t="s">
        <v>459</v>
      </c>
      <c r="F25" s="35">
        <v>140</v>
      </c>
      <c r="G25" s="35">
        <v>90</v>
      </c>
      <c r="H25" s="35">
        <v>-50</v>
      </c>
      <c r="I25" s="20">
        <v>100</v>
      </c>
      <c r="J25" s="21">
        <f t="shared" si="0"/>
        <v>-5000</v>
      </c>
      <c r="K25" s="7"/>
      <c r="V25" s="5">
        <f t="shared" si="2"/>
        <v>0</v>
      </c>
      <c r="W25" s="5">
        <f t="shared" si="3"/>
        <v>1</v>
      </c>
    </row>
    <row r="26" spans="1:23" x14ac:dyDescent="0.3">
      <c r="A26" s="6"/>
      <c r="B26" s="88">
        <v>21</v>
      </c>
      <c r="C26" s="18">
        <v>44543</v>
      </c>
      <c r="D26" s="19" t="s">
        <v>18</v>
      </c>
      <c r="E26" s="19" t="s">
        <v>282</v>
      </c>
      <c r="F26" s="35">
        <v>140</v>
      </c>
      <c r="G26" s="35">
        <v>233</v>
      </c>
      <c r="H26" s="35">
        <f>233-140</f>
        <v>93</v>
      </c>
      <c r="I26" s="20">
        <v>100</v>
      </c>
      <c r="J26" s="21">
        <f t="shared" si="0"/>
        <v>9300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44544</v>
      </c>
      <c r="D27" s="19" t="s">
        <v>18</v>
      </c>
      <c r="E27" s="19" t="s">
        <v>261</v>
      </c>
      <c r="F27" s="35">
        <v>150</v>
      </c>
      <c r="G27" s="35">
        <v>165</v>
      </c>
      <c r="H27" s="19">
        <v>15</v>
      </c>
      <c r="I27" s="20">
        <v>100</v>
      </c>
      <c r="J27" s="21">
        <f t="shared" si="0"/>
        <v>1500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44544</v>
      </c>
      <c r="D28" s="19" t="s">
        <v>18</v>
      </c>
      <c r="E28" s="19" t="s">
        <v>451</v>
      </c>
      <c r="F28" s="35">
        <v>140</v>
      </c>
      <c r="G28" s="35">
        <v>176</v>
      </c>
      <c r="H28" s="19">
        <v>36</v>
      </c>
      <c r="I28" s="20">
        <v>100</v>
      </c>
      <c r="J28" s="21">
        <f t="shared" si="0"/>
        <v>3600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44545</v>
      </c>
      <c r="D29" s="19" t="s">
        <v>18</v>
      </c>
      <c r="E29" s="19" t="s">
        <v>454</v>
      </c>
      <c r="F29" s="20">
        <v>130</v>
      </c>
      <c r="G29" s="20">
        <v>155</v>
      </c>
      <c r="H29" s="19">
        <v>25</v>
      </c>
      <c r="I29" s="20">
        <v>100</v>
      </c>
      <c r="J29" s="21">
        <f t="shared" si="0"/>
        <v>2500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44545</v>
      </c>
      <c r="D30" s="25" t="s">
        <v>18</v>
      </c>
      <c r="E30" s="25" t="s">
        <v>282</v>
      </c>
      <c r="F30" s="26">
        <v>130</v>
      </c>
      <c r="G30" s="61">
        <v>170</v>
      </c>
      <c r="H30" s="61">
        <v>40</v>
      </c>
      <c r="I30" s="26">
        <v>100</v>
      </c>
      <c r="J30" s="21">
        <f t="shared" si="0"/>
        <v>4000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44546</v>
      </c>
      <c r="D31" s="25" t="s">
        <v>18</v>
      </c>
      <c r="E31" s="25" t="s">
        <v>581</v>
      </c>
      <c r="F31" s="26">
        <v>110</v>
      </c>
      <c r="G31" s="61">
        <v>210</v>
      </c>
      <c r="H31" s="61">
        <v>100</v>
      </c>
      <c r="I31" s="26">
        <v>100</v>
      </c>
      <c r="J31" s="21">
        <f t="shared" si="0"/>
        <v>10000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44546</v>
      </c>
      <c r="D32" s="25" t="s">
        <v>18</v>
      </c>
      <c r="E32" s="25" t="s">
        <v>282</v>
      </c>
      <c r="F32" s="26">
        <v>120</v>
      </c>
      <c r="G32" s="61">
        <v>220</v>
      </c>
      <c r="H32" s="61">
        <v>100</v>
      </c>
      <c r="I32" s="26">
        <v>100</v>
      </c>
      <c r="J32" s="21">
        <f t="shared" si="0"/>
        <v>10000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44547</v>
      </c>
      <c r="D33" s="25" t="s">
        <v>18</v>
      </c>
      <c r="E33" s="25" t="s">
        <v>300</v>
      </c>
      <c r="F33" s="26">
        <v>150</v>
      </c>
      <c r="G33" s="61">
        <v>250</v>
      </c>
      <c r="H33" s="61">
        <v>100</v>
      </c>
      <c r="I33" s="26">
        <v>100</v>
      </c>
      <c r="J33" s="21">
        <f t="shared" si="0"/>
        <v>10000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44547</v>
      </c>
      <c r="D34" s="25" t="s">
        <v>18</v>
      </c>
      <c r="E34" s="25" t="s">
        <v>583</v>
      </c>
      <c r="F34" s="26">
        <v>140</v>
      </c>
      <c r="G34" s="61">
        <v>222</v>
      </c>
      <c r="H34" s="61">
        <f>222-140</f>
        <v>82</v>
      </c>
      <c r="I34" s="26">
        <v>100</v>
      </c>
      <c r="J34" s="21">
        <f t="shared" si="0"/>
        <v>8200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44550</v>
      </c>
      <c r="D35" s="25" t="s">
        <v>18</v>
      </c>
      <c r="E35" s="25" t="s">
        <v>584</v>
      </c>
      <c r="F35" s="26">
        <v>150</v>
      </c>
      <c r="G35" s="61">
        <v>250</v>
      </c>
      <c r="H35" s="61">
        <v>100</v>
      </c>
      <c r="I35" s="26">
        <v>100</v>
      </c>
      <c r="J35" s="21">
        <f t="shared" si="0"/>
        <v>10000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44550</v>
      </c>
      <c r="D36" s="25" t="s">
        <v>18</v>
      </c>
      <c r="E36" s="25" t="s">
        <v>293</v>
      </c>
      <c r="F36" s="26">
        <v>150</v>
      </c>
      <c r="G36" s="61">
        <v>220</v>
      </c>
      <c r="H36" s="61">
        <v>70</v>
      </c>
      <c r="I36" s="26">
        <v>100</v>
      </c>
      <c r="J36" s="21">
        <f t="shared" si="0"/>
        <v>7000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44551</v>
      </c>
      <c r="D37" s="25" t="s">
        <v>18</v>
      </c>
      <c r="E37" s="25" t="s">
        <v>391</v>
      </c>
      <c r="F37" s="26">
        <v>130</v>
      </c>
      <c r="G37" s="61">
        <v>200</v>
      </c>
      <c r="H37" s="61">
        <f>200-130</f>
        <v>70</v>
      </c>
      <c r="I37" s="26">
        <v>100</v>
      </c>
      <c r="J37" s="21">
        <f t="shared" si="0"/>
        <v>7000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44552</v>
      </c>
      <c r="D38" s="25" t="s">
        <v>18</v>
      </c>
      <c r="E38" s="25" t="s">
        <v>391</v>
      </c>
      <c r="F38" s="26">
        <v>120</v>
      </c>
      <c r="G38" s="61">
        <v>70</v>
      </c>
      <c r="H38" s="61">
        <v>-50</v>
      </c>
      <c r="I38" s="26">
        <v>100</v>
      </c>
      <c r="J38" s="21">
        <f t="shared" si="0"/>
        <v>-5000</v>
      </c>
      <c r="K38" s="7"/>
      <c r="V38" s="5">
        <f t="shared" si="2"/>
        <v>0</v>
      </c>
      <c r="W38" s="5">
        <f t="shared" si="3"/>
        <v>1</v>
      </c>
    </row>
    <row r="39" spans="1:23" x14ac:dyDescent="0.3">
      <c r="A39" s="6"/>
      <c r="B39" s="17">
        <v>34</v>
      </c>
      <c r="C39" s="24">
        <v>44552</v>
      </c>
      <c r="D39" s="25" t="s">
        <v>18</v>
      </c>
      <c r="E39" s="25" t="s">
        <v>239</v>
      </c>
      <c r="F39" s="26">
        <v>150</v>
      </c>
      <c r="G39" s="61">
        <v>180</v>
      </c>
      <c r="H39" s="61">
        <v>30</v>
      </c>
      <c r="I39" s="26">
        <v>100</v>
      </c>
      <c r="J39" s="21">
        <f t="shared" si="0"/>
        <v>3000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44553</v>
      </c>
      <c r="D40" s="25" t="s">
        <v>18</v>
      </c>
      <c r="E40" s="25" t="s">
        <v>391</v>
      </c>
      <c r="F40" s="26">
        <v>110</v>
      </c>
      <c r="G40" s="61">
        <v>210</v>
      </c>
      <c r="H40" s="61">
        <v>100</v>
      </c>
      <c r="I40" s="26">
        <v>100</v>
      </c>
      <c r="J40" s="21">
        <f t="shared" si="0"/>
        <v>10000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24">
        <v>44554</v>
      </c>
      <c r="D41" s="25" t="s">
        <v>18</v>
      </c>
      <c r="E41" s="25" t="s">
        <v>289</v>
      </c>
      <c r="F41" s="26">
        <v>150</v>
      </c>
      <c r="G41" s="61">
        <v>179</v>
      </c>
      <c r="H41" s="61">
        <v>29</v>
      </c>
      <c r="I41" s="26">
        <v>100</v>
      </c>
      <c r="J41" s="21">
        <f t="shared" si="0"/>
        <v>2900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24">
        <v>44554</v>
      </c>
      <c r="D42" s="25" t="s">
        <v>18</v>
      </c>
      <c r="E42" s="25" t="s">
        <v>585</v>
      </c>
      <c r="F42" s="26">
        <v>140</v>
      </c>
      <c r="G42" s="61">
        <v>160</v>
      </c>
      <c r="H42" s="61">
        <v>20</v>
      </c>
      <c r="I42" s="26">
        <v>100</v>
      </c>
      <c r="J42" s="21">
        <f t="shared" si="0"/>
        <v>2000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17">
        <v>38</v>
      </c>
      <c r="C43" s="24">
        <v>44557</v>
      </c>
      <c r="D43" s="25" t="s">
        <v>18</v>
      </c>
      <c r="E43" s="25" t="s">
        <v>393</v>
      </c>
      <c r="F43" s="26">
        <v>120</v>
      </c>
      <c r="G43" s="61">
        <v>170</v>
      </c>
      <c r="H43" s="61">
        <v>50</v>
      </c>
      <c r="I43" s="26">
        <v>100</v>
      </c>
      <c r="J43" s="21">
        <f t="shared" si="0"/>
        <v>5000</v>
      </c>
      <c r="K43" s="7"/>
      <c r="V43" s="5">
        <f t="shared" si="2"/>
        <v>1</v>
      </c>
      <c r="W43" s="5">
        <f t="shared" si="3"/>
        <v>0</v>
      </c>
    </row>
    <row r="44" spans="1:23" x14ac:dyDescent="0.3">
      <c r="A44" s="6"/>
      <c r="B44" s="17">
        <v>39</v>
      </c>
      <c r="C44" s="24">
        <v>44557</v>
      </c>
      <c r="D44" s="25" t="s">
        <v>18</v>
      </c>
      <c r="E44" s="25" t="s">
        <v>392</v>
      </c>
      <c r="F44" s="26">
        <v>110</v>
      </c>
      <c r="G44" s="61">
        <v>204</v>
      </c>
      <c r="H44" s="61">
        <f>204-110</f>
        <v>94</v>
      </c>
      <c r="I44" s="26">
        <v>100</v>
      </c>
      <c r="J44" s="21">
        <f t="shared" si="0"/>
        <v>9400</v>
      </c>
      <c r="K44" s="7"/>
      <c r="V44" s="5">
        <f t="shared" si="2"/>
        <v>1</v>
      </c>
      <c r="W44" s="5">
        <f t="shared" si="3"/>
        <v>0</v>
      </c>
    </row>
    <row r="45" spans="1:23" x14ac:dyDescent="0.3">
      <c r="A45" s="6"/>
      <c r="B45" s="17">
        <v>40</v>
      </c>
      <c r="C45" s="24">
        <v>44558</v>
      </c>
      <c r="D45" s="25" t="s">
        <v>18</v>
      </c>
      <c r="E45" s="25" t="s">
        <v>370</v>
      </c>
      <c r="F45" s="26">
        <v>130</v>
      </c>
      <c r="G45" s="61">
        <v>145</v>
      </c>
      <c r="H45" s="61">
        <v>15</v>
      </c>
      <c r="I45" s="26">
        <v>100</v>
      </c>
      <c r="J45" s="21">
        <f t="shared" si="0"/>
        <v>1500</v>
      </c>
      <c r="K45" s="7"/>
      <c r="V45" s="5">
        <f t="shared" si="2"/>
        <v>1</v>
      </c>
      <c r="W45" s="5">
        <f t="shared" si="3"/>
        <v>0</v>
      </c>
    </row>
    <row r="46" spans="1:23" x14ac:dyDescent="0.3">
      <c r="A46" s="6"/>
      <c r="B46" s="17">
        <v>41</v>
      </c>
      <c r="C46" s="24">
        <v>44558</v>
      </c>
      <c r="D46" s="25" t="s">
        <v>18</v>
      </c>
      <c r="E46" s="25" t="s">
        <v>370</v>
      </c>
      <c r="F46" s="26">
        <v>130</v>
      </c>
      <c r="G46" s="61">
        <v>145</v>
      </c>
      <c r="H46" s="61">
        <v>15</v>
      </c>
      <c r="I46" s="26">
        <v>100</v>
      </c>
      <c r="J46" s="21">
        <f t="shared" si="0"/>
        <v>1500</v>
      </c>
      <c r="K46" s="7"/>
      <c r="V46" s="5">
        <f t="shared" si="2"/>
        <v>1</v>
      </c>
      <c r="W46" s="5">
        <f t="shared" si="3"/>
        <v>0</v>
      </c>
    </row>
    <row r="47" spans="1:23" x14ac:dyDescent="0.3">
      <c r="A47" s="6"/>
      <c r="B47" s="88">
        <v>39</v>
      </c>
      <c r="C47" s="24">
        <v>44559</v>
      </c>
      <c r="D47" s="25" t="s">
        <v>18</v>
      </c>
      <c r="E47" s="25" t="s">
        <v>370</v>
      </c>
      <c r="F47" s="26">
        <v>130</v>
      </c>
      <c r="G47" s="61">
        <v>80</v>
      </c>
      <c r="H47" s="61">
        <v>-50</v>
      </c>
      <c r="I47" s="26">
        <v>100</v>
      </c>
      <c r="J47" s="21">
        <f t="shared" si="0"/>
        <v>-5000</v>
      </c>
      <c r="K47" s="7"/>
      <c r="V47" s="5">
        <f t="shared" si="2"/>
        <v>0</v>
      </c>
      <c r="W47" s="5">
        <f t="shared" si="3"/>
        <v>1</v>
      </c>
    </row>
    <row r="48" spans="1:23" x14ac:dyDescent="0.3">
      <c r="A48" s="6"/>
      <c r="B48" s="17">
        <v>40</v>
      </c>
      <c r="C48" s="24">
        <v>44560</v>
      </c>
      <c r="D48" s="25" t="s">
        <v>18</v>
      </c>
      <c r="E48" s="25" t="s">
        <v>239</v>
      </c>
      <c r="F48" s="26">
        <v>130</v>
      </c>
      <c r="G48" s="61">
        <v>175</v>
      </c>
      <c r="H48" s="61">
        <f>175-130</f>
        <v>45</v>
      </c>
      <c r="I48" s="26">
        <v>100</v>
      </c>
      <c r="J48" s="21">
        <f t="shared" si="0"/>
        <v>4500</v>
      </c>
      <c r="K48" s="7"/>
      <c r="V48" s="5">
        <f t="shared" si="2"/>
        <v>1</v>
      </c>
      <c r="W48" s="5">
        <f t="shared" si="3"/>
        <v>0</v>
      </c>
    </row>
    <row r="49" spans="1:23" x14ac:dyDescent="0.3">
      <c r="A49" s="6"/>
      <c r="B49" s="88">
        <v>41</v>
      </c>
      <c r="C49" s="24">
        <v>44560</v>
      </c>
      <c r="D49" s="25" t="s">
        <v>18</v>
      </c>
      <c r="E49" s="25" t="s">
        <v>239</v>
      </c>
      <c r="F49" s="26">
        <v>70</v>
      </c>
      <c r="G49" s="61">
        <v>170</v>
      </c>
      <c r="H49" s="61">
        <v>100</v>
      </c>
      <c r="I49" s="26">
        <v>100</v>
      </c>
      <c r="J49" s="21">
        <f t="shared" si="0"/>
        <v>10000</v>
      </c>
      <c r="K49" s="7"/>
      <c r="V49" s="5">
        <f t="shared" si="2"/>
        <v>1</v>
      </c>
      <c r="W49" s="5">
        <f t="shared" si="3"/>
        <v>0</v>
      </c>
    </row>
    <row r="50" spans="1:23" x14ac:dyDescent="0.3">
      <c r="A50" s="6"/>
      <c r="B50" s="17">
        <v>42</v>
      </c>
      <c r="C50" s="24">
        <v>44561</v>
      </c>
      <c r="D50" s="25" t="s">
        <v>18</v>
      </c>
      <c r="E50" s="25" t="s">
        <v>298</v>
      </c>
      <c r="F50" s="26">
        <v>130</v>
      </c>
      <c r="G50" s="61">
        <v>157</v>
      </c>
      <c r="H50" s="61">
        <v>27</v>
      </c>
      <c r="I50" s="26">
        <v>100</v>
      </c>
      <c r="J50" s="21">
        <f t="shared" si="0"/>
        <v>2700</v>
      </c>
      <c r="K50" s="7"/>
      <c r="V50" s="5">
        <f t="shared" si="2"/>
        <v>1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183400</v>
      </c>
      <c r="K59" s="7"/>
      <c r="V59" s="5">
        <f>SUM(V6:V58)</f>
        <v>37</v>
      </c>
      <c r="W59" s="5">
        <f>SUM(W6:W58)</f>
        <v>8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579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44531</v>
      </c>
      <c r="D67" s="67" t="s">
        <v>18</v>
      </c>
      <c r="E67" s="67" t="s">
        <v>596</v>
      </c>
      <c r="F67" s="68">
        <v>5160</v>
      </c>
      <c r="G67" s="68">
        <v>5192</v>
      </c>
      <c r="H67" s="97">
        <f>5192-5160</f>
        <v>32</v>
      </c>
      <c r="I67" s="68">
        <v>125</v>
      </c>
      <c r="J67" s="92">
        <f>H67*I67</f>
        <v>4000</v>
      </c>
      <c r="K67" s="7"/>
      <c r="V67" s="5">
        <f t="shared" ref="V67:V124" si="5">IF($J67&gt;0,1,0)</f>
        <v>1</v>
      </c>
      <c r="W67" s="5">
        <f t="shared" ref="W67:W124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44531</v>
      </c>
      <c r="D68" s="67" t="s">
        <v>18</v>
      </c>
      <c r="E68" s="67" t="s">
        <v>597</v>
      </c>
      <c r="F68" s="68">
        <v>3605</v>
      </c>
      <c r="G68" s="97">
        <v>3575</v>
      </c>
      <c r="H68" s="97">
        <v>-30</v>
      </c>
      <c r="I68" s="20">
        <v>200</v>
      </c>
      <c r="J68" s="21">
        <f>H68*I68</f>
        <v>-6000</v>
      </c>
      <c r="K68" s="7"/>
      <c r="L68" s="36" t="s">
        <v>21</v>
      </c>
      <c r="V68" s="5">
        <f t="shared" si="5"/>
        <v>0</v>
      </c>
      <c r="W68" s="5">
        <f t="shared" si="6"/>
        <v>1</v>
      </c>
    </row>
    <row r="69" spans="1:23" s="36" customFormat="1" x14ac:dyDescent="0.3">
      <c r="A69" s="6"/>
      <c r="B69" s="17">
        <f t="shared" ref="B69:B124" si="7">B68+1</f>
        <v>3</v>
      </c>
      <c r="C69" s="18">
        <v>44532</v>
      </c>
      <c r="D69" s="19" t="s">
        <v>18</v>
      </c>
      <c r="E69" s="19" t="s">
        <v>500</v>
      </c>
      <c r="F69" s="35">
        <v>563</v>
      </c>
      <c r="G69" s="97">
        <v>567.4</v>
      </c>
      <c r="H69" s="35">
        <f>567.4-563</f>
        <v>4.3999999999999773</v>
      </c>
      <c r="I69" s="20">
        <v>250</v>
      </c>
      <c r="J69" s="21">
        <f>H69*I69</f>
        <v>1099.9999999999943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44532</v>
      </c>
      <c r="D70" s="19" t="s">
        <v>18</v>
      </c>
      <c r="E70" s="19" t="s">
        <v>291</v>
      </c>
      <c r="F70" s="35">
        <v>715</v>
      </c>
      <c r="G70" s="97">
        <v>730</v>
      </c>
      <c r="H70" s="35">
        <v>15</v>
      </c>
      <c r="I70" s="20">
        <v>1250</v>
      </c>
      <c r="J70" s="21">
        <f>H70*I70</f>
        <v>18750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44533</v>
      </c>
      <c r="D71" s="19" t="s">
        <v>18</v>
      </c>
      <c r="E71" s="19" t="s">
        <v>598</v>
      </c>
      <c r="F71" s="35">
        <v>383</v>
      </c>
      <c r="G71" s="97">
        <v>388</v>
      </c>
      <c r="H71" s="35">
        <v>5</v>
      </c>
      <c r="I71" s="20">
        <v>1800</v>
      </c>
      <c r="J71" s="21">
        <f>H71*I71</f>
        <v>9000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44533</v>
      </c>
      <c r="D72" s="19" t="s">
        <v>18</v>
      </c>
      <c r="E72" s="19" t="s">
        <v>414</v>
      </c>
      <c r="F72" s="20">
        <v>1232</v>
      </c>
      <c r="G72" s="97">
        <v>1252</v>
      </c>
      <c r="H72" s="35">
        <v>20</v>
      </c>
      <c r="I72" s="20">
        <v>500</v>
      </c>
      <c r="J72" s="21">
        <f t="shared" ref="J72:J124" si="8">I72*H72</f>
        <v>10000</v>
      </c>
      <c r="K72" s="7"/>
      <c r="V72" s="5">
        <f t="shared" si="5"/>
        <v>1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>
        <v>44536</v>
      </c>
      <c r="D73" s="19" t="s">
        <v>69</v>
      </c>
      <c r="E73" s="19" t="s">
        <v>549</v>
      </c>
      <c r="F73" s="35">
        <v>923</v>
      </c>
      <c r="G73" s="97">
        <v>933</v>
      </c>
      <c r="H73" s="35">
        <v>-10</v>
      </c>
      <c r="I73" s="20">
        <v>600</v>
      </c>
      <c r="J73" s="21">
        <f t="shared" si="8"/>
        <v>-6000</v>
      </c>
      <c r="K73" s="7"/>
      <c r="V73" s="5">
        <f t="shared" si="5"/>
        <v>0</v>
      </c>
      <c r="W73" s="5">
        <f t="shared" si="6"/>
        <v>1</v>
      </c>
    </row>
    <row r="74" spans="1:23" s="36" customFormat="1" x14ac:dyDescent="0.3">
      <c r="A74" s="6"/>
      <c r="B74" s="17">
        <f t="shared" si="7"/>
        <v>8</v>
      </c>
      <c r="C74" s="18">
        <v>44536</v>
      </c>
      <c r="D74" s="19" t="s">
        <v>18</v>
      </c>
      <c r="E74" s="19" t="s">
        <v>599</v>
      </c>
      <c r="F74" s="35">
        <v>968</v>
      </c>
      <c r="G74" s="97">
        <v>975</v>
      </c>
      <c r="H74" s="35">
        <f>968-975</f>
        <v>-7</v>
      </c>
      <c r="I74" s="20">
        <v>850</v>
      </c>
      <c r="J74" s="21">
        <f t="shared" si="8"/>
        <v>-5950</v>
      </c>
      <c r="K74" s="7"/>
      <c r="V74" s="5">
        <f t="shared" si="5"/>
        <v>0</v>
      </c>
      <c r="W74" s="5">
        <f t="shared" si="6"/>
        <v>1</v>
      </c>
    </row>
    <row r="75" spans="1:23" s="36" customFormat="1" x14ac:dyDescent="0.3">
      <c r="A75" s="6"/>
      <c r="B75" s="17">
        <f t="shared" si="7"/>
        <v>9</v>
      </c>
      <c r="C75" s="18">
        <v>44537</v>
      </c>
      <c r="D75" s="19" t="s">
        <v>18</v>
      </c>
      <c r="E75" s="19" t="s">
        <v>75</v>
      </c>
      <c r="F75" s="35">
        <v>722</v>
      </c>
      <c r="G75" s="97">
        <v>735</v>
      </c>
      <c r="H75" s="35">
        <f>735-722</f>
        <v>13</v>
      </c>
      <c r="I75" s="20">
        <v>1375</v>
      </c>
      <c r="J75" s="21">
        <f t="shared" si="8"/>
        <v>17875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44537</v>
      </c>
      <c r="D76" s="19" t="s">
        <v>18</v>
      </c>
      <c r="E76" s="19" t="s">
        <v>142</v>
      </c>
      <c r="F76" s="35">
        <v>1465</v>
      </c>
      <c r="G76" s="97">
        <v>1480</v>
      </c>
      <c r="H76" s="35">
        <f>1480-1465</f>
        <v>15</v>
      </c>
      <c r="I76" s="20">
        <v>400</v>
      </c>
      <c r="J76" s="21">
        <f t="shared" si="8"/>
        <v>6000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>
        <v>44538</v>
      </c>
      <c r="D77" s="19" t="s">
        <v>18</v>
      </c>
      <c r="E77" s="19" t="s">
        <v>600</v>
      </c>
      <c r="F77" s="19">
        <v>542</v>
      </c>
      <c r="G77" s="97">
        <v>547</v>
      </c>
      <c r="H77" s="35">
        <f>547-542</f>
        <v>5</v>
      </c>
      <c r="I77" s="20">
        <v>1500</v>
      </c>
      <c r="J77" s="21">
        <f t="shared" si="8"/>
        <v>7500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>
        <v>44538</v>
      </c>
      <c r="D78" s="19" t="s">
        <v>18</v>
      </c>
      <c r="E78" s="19" t="s">
        <v>601</v>
      </c>
      <c r="F78" s="35">
        <v>2500</v>
      </c>
      <c r="G78" s="97">
        <v>2520</v>
      </c>
      <c r="H78" s="35">
        <v>20</v>
      </c>
      <c r="I78" s="20">
        <v>350</v>
      </c>
      <c r="J78" s="21">
        <f t="shared" si="8"/>
        <v>7000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44539</v>
      </c>
      <c r="D79" s="19" t="s">
        <v>69</v>
      </c>
      <c r="E79" s="19" t="s">
        <v>373</v>
      </c>
      <c r="F79" s="35">
        <v>2390</v>
      </c>
      <c r="G79" s="97">
        <v>2370</v>
      </c>
      <c r="H79" s="35">
        <v>20</v>
      </c>
      <c r="I79" s="20">
        <v>375</v>
      </c>
      <c r="J79" s="21">
        <f t="shared" si="8"/>
        <v>7500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44539</v>
      </c>
      <c r="D80" s="19" t="s">
        <v>18</v>
      </c>
      <c r="E80" s="19" t="s">
        <v>596</v>
      </c>
      <c r="F80" s="77">
        <v>5420</v>
      </c>
      <c r="G80" s="97">
        <v>5380</v>
      </c>
      <c r="H80" s="78">
        <v>-40</v>
      </c>
      <c r="I80" s="20">
        <v>125</v>
      </c>
      <c r="J80" s="21">
        <f t="shared" si="8"/>
        <v>-5000</v>
      </c>
      <c r="K80" s="7"/>
      <c r="V80" s="5">
        <f t="shared" si="5"/>
        <v>0</v>
      </c>
      <c r="W80" s="5">
        <f t="shared" si="6"/>
        <v>1</v>
      </c>
    </row>
    <row r="81" spans="1:23" s="36" customFormat="1" x14ac:dyDescent="0.3">
      <c r="A81" s="6"/>
      <c r="B81" s="17">
        <f t="shared" si="7"/>
        <v>15</v>
      </c>
      <c r="C81" s="18">
        <v>44540</v>
      </c>
      <c r="D81" s="19" t="s">
        <v>18</v>
      </c>
      <c r="E81" s="19" t="s">
        <v>291</v>
      </c>
      <c r="F81" s="35">
        <v>785</v>
      </c>
      <c r="G81" s="97">
        <v>799</v>
      </c>
      <c r="H81" s="78">
        <f>799-785</f>
        <v>14</v>
      </c>
      <c r="I81" s="20">
        <v>1250</v>
      </c>
      <c r="J81" s="21">
        <f t="shared" si="8"/>
        <v>17500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>
        <v>44540</v>
      </c>
      <c r="D82" s="19" t="s">
        <v>69</v>
      </c>
      <c r="E82" s="19" t="s">
        <v>301</v>
      </c>
      <c r="F82" s="35">
        <v>685</v>
      </c>
      <c r="G82" s="97">
        <v>688</v>
      </c>
      <c r="H82" s="78">
        <v>-3</v>
      </c>
      <c r="I82" s="20">
        <v>1100</v>
      </c>
      <c r="J82" s="21">
        <f t="shared" si="8"/>
        <v>-3300</v>
      </c>
      <c r="K82" s="7"/>
      <c r="V82" s="5">
        <f t="shared" si="5"/>
        <v>0</v>
      </c>
      <c r="W82" s="5">
        <f t="shared" si="6"/>
        <v>1</v>
      </c>
    </row>
    <row r="83" spans="1:23" s="36" customFormat="1" x14ac:dyDescent="0.3">
      <c r="A83" s="6"/>
      <c r="B83" s="17">
        <f t="shared" si="7"/>
        <v>17</v>
      </c>
      <c r="C83" s="18">
        <v>44543</v>
      </c>
      <c r="D83" s="19" t="s">
        <v>18</v>
      </c>
      <c r="E83" s="19" t="s">
        <v>204</v>
      </c>
      <c r="F83" s="35">
        <v>1650</v>
      </c>
      <c r="G83" s="97">
        <v>1660</v>
      </c>
      <c r="H83" s="35">
        <v>10</v>
      </c>
      <c r="I83" s="20">
        <v>600</v>
      </c>
      <c r="J83" s="21">
        <f t="shared" si="8"/>
        <v>6000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>
        <v>44543</v>
      </c>
      <c r="D84" s="19" t="s">
        <v>18</v>
      </c>
      <c r="E84" s="19" t="s">
        <v>125</v>
      </c>
      <c r="F84" s="35">
        <v>2530</v>
      </c>
      <c r="G84" s="97">
        <v>2570</v>
      </c>
      <c r="H84" s="35">
        <v>40</v>
      </c>
      <c r="I84" s="20">
        <v>275</v>
      </c>
      <c r="J84" s="21">
        <f t="shared" si="8"/>
        <v>11000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>
        <v>44544</v>
      </c>
      <c r="D85" s="19" t="s">
        <v>18</v>
      </c>
      <c r="E85" s="19" t="s">
        <v>602</v>
      </c>
      <c r="F85" s="35">
        <v>1015</v>
      </c>
      <c r="G85" s="97">
        <v>1005</v>
      </c>
      <c r="H85" s="35">
        <v>-10</v>
      </c>
      <c r="I85" s="20">
        <v>850</v>
      </c>
      <c r="J85" s="21">
        <f t="shared" si="8"/>
        <v>-8500</v>
      </c>
      <c r="K85" s="7"/>
      <c r="V85" s="5">
        <f t="shared" si="5"/>
        <v>0</v>
      </c>
      <c r="W85" s="5">
        <f t="shared" si="6"/>
        <v>1</v>
      </c>
    </row>
    <row r="86" spans="1:23" s="36" customFormat="1" x14ac:dyDescent="0.3">
      <c r="A86" s="6"/>
      <c r="B86" s="17">
        <f t="shared" si="7"/>
        <v>20</v>
      </c>
      <c r="C86" s="18">
        <v>44544</v>
      </c>
      <c r="D86" s="19" t="s">
        <v>18</v>
      </c>
      <c r="E86" s="19" t="s">
        <v>603</v>
      </c>
      <c r="F86" s="35">
        <v>935</v>
      </c>
      <c r="G86" s="97">
        <v>940</v>
      </c>
      <c r="H86" s="35">
        <v>5</v>
      </c>
      <c r="I86" s="20">
        <v>1250</v>
      </c>
      <c r="J86" s="21">
        <f t="shared" si="8"/>
        <v>6250</v>
      </c>
      <c r="K86" s="7"/>
      <c r="V86" s="5">
        <f t="shared" si="5"/>
        <v>1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>
        <v>44545</v>
      </c>
      <c r="D87" s="19" t="s">
        <v>69</v>
      </c>
      <c r="E87" s="19" t="s">
        <v>71</v>
      </c>
      <c r="F87" s="35">
        <v>2390</v>
      </c>
      <c r="G87" s="97">
        <v>2372</v>
      </c>
      <c r="H87" s="35">
        <f>2390-2372</f>
        <v>18</v>
      </c>
      <c r="I87" s="20">
        <v>250</v>
      </c>
      <c r="J87" s="21">
        <f t="shared" si="8"/>
        <v>4500</v>
      </c>
      <c r="K87" s="7"/>
      <c r="V87" s="5">
        <f t="shared" si="5"/>
        <v>1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>
        <v>44545</v>
      </c>
      <c r="D88" s="19" t="s">
        <v>18</v>
      </c>
      <c r="E88" s="19" t="s">
        <v>75</v>
      </c>
      <c r="F88" s="35">
        <v>756</v>
      </c>
      <c r="G88" s="97">
        <v>759</v>
      </c>
      <c r="H88" s="35">
        <v>3</v>
      </c>
      <c r="I88" s="20">
        <v>1375</v>
      </c>
      <c r="J88" s="21">
        <f t="shared" si="8"/>
        <v>4125</v>
      </c>
      <c r="K88" s="7"/>
      <c r="V88" s="5">
        <f t="shared" si="5"/>
        <v>1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>
        <v>44546</v>
      </c>
      <c r="D89" s="19" t="s">
        <v>69</v>
      </c>
      <c r="E89" s="19" t="s">
        <v>601</v>
      </c>
      <c r="F89" s="35">
        <v>2485</v>
      </c>
      <c r="G89" s="97">
        <v>2445</v>
      </c>
      <c r="H89" s="35">
        <f>2485-2445</f>
        <v>40</v>
      </c>
      <c r="I89" s="20">
        <v>350</v>
      </c>
      <c r="J89" s="21">
        <f t="shared" si="8"/>
        <v>14000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>
        <v>44546</v>
      </c>
      <c r="D90" s="19" t="s">
        <v>18</v>
      </c>
      <c r="E90" s="19" t="s">
        <v>445</v>
      </c>
      <c r="F90" s="35">
        <v>1184</v>
      </c>
      <c r="G90" s="97">
        <v>1174</v>
      </c>
      <c r="H90" s="35">
        <v>-10</v>
      </c>
      <c r="I90" s="20">
        <v>500</v>
      </c>
      <c r="J90" s="21">
        <f t="shared" si="8"/>
        <v>-5000</v>
      </c>
      <c r="K90" s="7"/>
      <c r="V90" s="5">
        <f t="shared" si="5"/>
        <v>0</v>
      </c>
      <c r="W90" s="5">
        <f t="shared" si="6"/>
        <v>1</v>
      </c>
    </row>
    <row r="91" spans="1:23" s="36" customFormat="1" x14ac:dyDescent="0.3">
      <c r="A91" s="6"/>
      <c r="B91" s="17">
        <f t="shared" si="7"/>
        <v>25</v>
      </c>
      <c r="C91" s="18">
        <v>44547</v>
      </c>
      <c r="D91" s="19" t="s">
        <v>69</v>
      </c>
      <c r="E91" s="19" t="s">
        <v>604</v>
      </c>
      <c r="F91" s="35">
        <v>257</v>
      </c>
      <c r="G91" s="97">
        <v>252</v>
      </c>
      <c r="H91" s="35">
        <v>5</v>
      </c>
      <c r="I91" s="20">
        <v>2800</v>
      </c>
      <c r="J91" s="21">
        <f t="shared" si="8"/>
        <v>14000</v>
      </c>
      <c r="K91" s="7"/>
      <c r="V91" s="5">
        <f t="shared" si="5"/>
        <v>1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>
        <v>44547</v>
      </c>
      <c r="D92" s="19" t="s">
        <v>69</v>
      </c>
      <c r="E92" s="19" t="s">
        <v>545</v>
      </c>
      <c r="F92" s="35">
        <v>1246</v>
      </c>
      <c r="G92" s="97">
        <v>1256</v>
      </c>
      <c r="H92" s="35">
        <v>-10</v>
      </c>
      <c r="I92" s="20">
        <v>475</v>
      </c>
      <c r="J92" s="21">
        <f t="shared" si="8"/>
        <v>-4750</v>
      </c>
      <c r="K92" s="7"/>
      <c r="V92" s="5">
        <f t="shared" si="5"/>
        <v>0</v>
      </c>
      <c r="W92" s="5">
        <f t="shared" si="6"/>
        <v>1</v>
      </c>
    </row>
    <row r="93" spans="1:23" s="36" customFormat="1" x14ac:dyDescent="0.3">
      <c r="A93" s="6"/>
      <c r="B93" s="17">
        <f t="shared" si="7"/>
        <v>27</v>
      </c>
      <c r="C93" s="18">
        <v>44550</v>
      </c>
      <c r="D93" s="19" t="s">
        <v>18</v>
      </c>
      <c r="E93" s="19" t="s">
        <v>237</v>
      </c>
      <c r="F93" s="35">
        <v>4550</v>
      </c>
      <c r="G93" s="97">
        <v>4580</v>
      </c>
      <c r="H93" s="35">
        <v>30</v>
      </c>
      <c r="I93" s="20">
        <v>125</v>
      </c>
      <c r="J93" s="21">
        <f t="shared" si="8"/>
        <v>3750</v>
      </c>
      <c r="K93" s="7"/>
      <c r="V93" s="5">
        <f t="shared" si="5"/>
        <v>1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>
        <v>44550</v>
      </c>
      <c r="D94" s="19" t="s">
        <v>69</v>
      </c>
      <c r="E94" s="19" t="s">
        <v>128</v>
      </c>
      <c r="F94" s="35">
        <v>2345</v>
      </c>
      <c r="G94" s="97">
        <v>2317</v>
      </c>
      <c r="H94" s="35">
        <f>2345-2317</f>
        <v>28</v>
      </c>
      <c r="I94" s="20">
        <v>300</v>
      </c>
      <c r="J94" s="21">
        <f t="shared" si="8"/>
        <v>8400</v>
      </c>
      <c r="K94" s="7"/>
      <c r="V94" s="5">
        <f t="shared" si="5"/>
        <v>1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>
        <v>44550</v>
      </c>
      <c r="D95" s="19" t="s">
        <v>18</v>
      </c>
      <c r="E95" s="19" t="s">
        <v>317</v>
      </c>
      <c r="F95" s="35">
        <v>736</v>
      </c>
      <c r="G95" s="97">
        <v>730</v>
      </c>
      <c r="H95" s="35">
        <v>-6</v>
      </c>
      <c r="I95" s="20">
        <v>1100</v>
      </c>
      <c r="J95" s="21">
        <f t="shared" si="8"/>
        <v>-6600</v>
      </c>
      <c r="K95" s="7"/>
      <c r="V95" s="5">
        <f t="shared" si="5"/>
        <v>0</v>
      </c>
      <c r="W95" s="5">
        <f t="shared" si="6"/>
        <v>1</v>
      </c>
    </row>
    <row r="96" spans="1:23" s="36" customFormat="1" x14ac:dyDescent="0.3">
      <c r="A96" s="6"/>
      <c r="B96" s="17">
        <f t="shared" si="7"/>
        <v>30</v>
      </c>
      <c r="C96" s="18">
        <v>44551</v>
      </c>
      <c r="D96" s="19" t="s">
        <v>18</v>
      </c>
      <c r="E96" s="19" t="s">
        <v>605</v>
      </c>
      <c r="F96" s="35">
        <v>946</v>
      </c>
      <c r="G96" s="97">
        <v>966</v>
      </c>
      <c r="H96" s="35">
        <v>20</v>
      </c>
      <c r="I96" s="20">
        <v>650</v>
      </c>
      <c r="J96" s="21">
        <f t="shared" si="8"/>
        <v>13000</v>
      </c>
      <c r="K96" s="7"/>
      <c r="V96" s="5">
        <f t="shared" si="5"/>
        <v>1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>
        <v>44551</v>
      </c>
      <c r="D97" s="19" t="s">
        <v>69</v>
      </c>
      <c r="E97" s="19" t="s">
        <v>181</v>
      </c>
      <c r="F97" s="35">
        <v>1785</v>
      </c>
      <c r="G97" s="97">
        <v>1771</v>
      </c>
      <c r="H97" s="35">
        <f>1785-1771</f>
        <v>14</v>
      </c>
      <c r="I97" s="20">
        <v>250</v>
      </c>
      <c r="J97" s="21">
        <f t="shared" si="8"/>
        <v>3500</v>
      </c>
      <c r="K97" s="7"/>
      <c r="V97" s="5">
        <f t="shared" si="5"/>
        <v>1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>
        <v>44552</v>
      </c>
      <c r="D98" s="19" t="s">
        <v>18</v>
      </c>
      <c r="E98" s="19" t="s">
        <v>497</v>
      </c>
      <c r="F98" s="35">
        <v>7430</v>
      </c>
      <c r="G98" s="97">
        <v>7380</v>
      </c>
      <c r="H98" s="35">
        <v>-50</v>
      </c>
      <c r="I98" s="20">
        <v>100</v>
      </c>
      <c r="J98" s="21">
        <f t="shared" si="8"/>
        <v>-5000</v>
      </c>
      <c r="K98" s="7"/>
      <c r="V98" s="5">
        <f t="shared" si="5"/>
        <v>0</v>
      </c>
      <c r="W98" s="5">
        <f t="shared" si="6"/>
        <v>1</v>
      </c>
    </row>
    <row r="99" spans="1:23" s="36" customFormat="1" x14ac:dyDescent="0.3">
      <c r="A99" s="6"/>
      <c r="B99" s="17">
        <f t="shared" si="7"/>
        <v>33</v>
      </c>
      <c r="C99" s="18">
        <v>44552</v>
      </c>
      <c r="D99" s="19" t="s">
        <v>18</v>
      </c>
      <c r="E99" s="19" t="s">
        <v>606</v>
      </c>
      <c r="F99" s="35">
        <v>1052</v>
      </c>
      <c r="G99" s="97">
        <v>1042</v>
      </c>
      <c r="H99" s="35">
        <v>-10</v>
      </c>
      <c r="I99" s="20">
        <v>725</v>
      </c>
      <c r="J99" s="21">
        <f t="shared" si="8"/>
        <v>-7250</v>
      </c>
      <c r="K99" s="7"/>
      <c r="V99" s="5">
        <f t="shared" si="5"/>
        <v>0</v>
      </c>
      <c r="W99" s="5">
        <f t="shared" si="6"/>
        <v>1</v>
      </c>
    </row>
    <row r="100" spans="1:23" s="36" customFormat="1" x14ac:dyDescent="0.3">
      <c r="A100" s="6"/>
      <c r="B100" s="17">
        <f t="shared" si="7"/>
        <v>34</v>
      </c>
      <c r="C100" s="18">
        <v>44553</v>
      </c>
      <c r="D100" s="19" t="s">
        <v>18</v>
      </c>
      <c r="E100" s="19" t="s">
        <v>176</v>
      </c>
      <c r="F100" s="35">
        <v>2580</v>
      </c>
      <c r="G100" s="97">
        <v>2585</v>
      </c>
      <c r="H100" s="35">
        <v>5</v>
      </c>
      <c r="I100" s="20">
        <v>300</v>
      </c>
      <c r="J100" s="21">
        <f t="shared" si="8"/>
        <v>1500</v>
      </c>
      <c r="K100" s="7"/>
      <c r="V100" s="5">
        <f t="shared" si="5"/>
        <v>1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>
        <v>44554</v>
      </c>
      <c r="D101" s="19" t="s">
        <v>69</v>
      </c>
      <c r="E101" s="19" t="s">
        <v>70</v>
      </c>
      <c r="F101" s="35">
        <v>667</v>
      </c>
      <c r="G101" s="97">
        <v>665</v>
      </c>
      <c r="H101" s="35">
        <v>2</v>
      </c>
      <c r="I101" s="20">
        <v>1200</v>
      </c>
      <c r="J101" s="21">
        <f t="shared" si="8"/>
        <v>2400</v>
      </c>
      <c r="K101" s="7"/>
      <c r="V101" s="5">
        <f t="shared" si="5"/>
        <v>1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>
        <v>44554</v>
      </c>
      <c r="D102" s="19" t="s">
        <v>69</v>
      </c>
      <c r="E102" s="19" t="s">
        <v>607</v>
      </c>
      <c r="F102" s="35">
        <v>164.5</v>
      </c>
      <c r="G102" s="97">
        <v>163</v>
      </c>
      <c r="H102" s="35">
        <v>1.5</v>
      </c>
      <c r="I102" s="20">
        <v>3000</v>
      </c>
      <c r="J102" s="21">
        <f t="shared" si="8"/>
        <v>4500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>
        <v>44558</v>
      </c>
      <c r="D103" s="19" t="s">
        <v>18</v>
      </c>
      <c r="E103" s="19" t="s">
        <v>92</v>
      </c>
      <c r="F103" s="35">
        <v>680</v>
      </c>
      <c r="G103" s="97">
        <v>682.3</v>
      </c>
      <c r="H103" s="35">
        <v>2.2999999999999998</v>
      </c>
      <c r="I103" s="20">
        <v>1886</v>
      </c>
      <c r="J103" s="21">
        <f t="shared" si="8"/>
        <v>4337.7999999999993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>
        <v>44558</v>
      </c>
      <c r="D104" s="19" t="s">
        <v>18</v>
      </c>
      <c r="E104" s="19" t="s">
        <v>237</v>
      </c>
      <c r="F104" s="35">
        <v>4750</v>
      </c>
      <c r="G104" s="97">
        <v>4770</v>
      </c>
      <c r="H104" s="35">
        <v>20</v>
      </c>
      <c r="I104" s="20">
        <v>125</v>
      </c>
      <c r="J104" s="21">
        <f t="shared" si="8"/>
        <v>2500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>
        <v>44559</v>
      </c>
      <c r="D105" s="19" t="s">
        <v>18</v>
      </c>
      <c r="E105" s="19" t="s">
        <v>608</v>
      </c>
      <c r="F105" s="35">
        <v>606</v>
      </c>
      <c r="G105" s="97">
        <v>600</v>
      </c>
      <c r="H105" s="35">
        <v>-6</v>
      </c>
      <c r="I105" s="20">
        <v>850</v>
      </c>
      <c r="J105" s="21">
        <f t="shared" si="8"/>
        <v>-5100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>
        <v>44559</v>
      </c>
      <c r="D106" s="19" t="s">
        <v>69</v>
      </c>
      <c r="E106" s="19" t="s">
        <v>397</v>
      </c>
      <c r="F106" s="35">
        <v>377</v>
      </c>
      <c r="G106" s="97">
        <v>373</v>
      </c>
      <c r="H106" s="35">
        <v>4</v>
      </c>
      <c r="I106" s="20">
        <v>2500</v>
      </c>
      <c r="J106" s="21">
        <f t="shared" si="8"/>
        <v>10000</v>
      </c>
      <c r="K106" s="7"/>
      <c r="V106" s="5">
        <f t="shared" si="5"/>
        <v>1</v>
      </c>
      <c r="W106" s="5">
        <f t="shared" si="6"/>
        <v>0</v>
      </c>
    </row>
    <row r="107" spans="1:23" s="36" customFormat="1" x14ac:dyDescent="0.3">
      <c r="A107" s="6"/>
      <c r="B107" s="17">
        <v>41</v>
      </c>
      <c r="C107" s="18">
        <v>44560</v>
      </c>
      <c r="D107" s="19" t="s">
        <v>69</v>
      </c>
      <c r="E107" s="19" t="s">
        <v>598</v>
      </c>
      <c r="F107" s="35">
        <v>379</v>
      </c>
      <c r="G107" s="97">
        <v>376</v>
      </c>
      <c r="H107" s="35">
        <v>3</v>
      </c>
      <c r="I107" s="20">
        <v>1800</v>
      </c>
      <c r="J107" s="21">
        <f t="shared" si="8"/>
        <v>5400</v>
      </c>
      <c r="K107" s="7"/>
      <c r="V107" s="5">
        <f t="shared" si="5"/>
        <v>1</v>
      </c>
      <c r="W107" s="5">
        <f t="shared" si="6"/>
        <v>0</v>
      </c>
    </row>
    <row r="108" spans="1:23" s="36" customFormat="1" x14ac:dyDescent="0.3">
      <c r="A108" s="6"/>
      <c r="B108" s="17">
        <f t="shared" si="7"/>
        <v>42</v>
      </c>
      <c r="C108" s="18">
        <v>44560</v>
      </c>
      <c r="D108" s="19" t="s">
        <v>18</v>
      </c>
      <c r="E108" s="19" t="s">
        <v>609</v>
      </c>
      <c r="F108" s="35">
        <v>3390</v>
      </c>
      <c r="G108" s="35">
        <v>3370</v>
      </c>
      <c r="H108" s="35">
        <v>-20</v>
      </c>
      <c r="I108" s="20">
        <v>150</v>
      </c>
      <c r="J108" s="21">
        <f t="shared" si="8"/>
        <v>-3000</v>
      </c>
      <c r="K108" s="7"/>
      <c r="V108" s="5">
        <f t="shared" si="5"/>
        <v>0</v>
      </c>
      <c r="W108" s="5">
        <f t="shared" si="6"/>
        <v>1</v>
      </c>
    </row>
    <row r="109" spans="1:23" s="36" customFormat="1" x14ac:dyDescent="0.3">
      <c r="A109" s="6"/>
      <c r="B109" s="17">
        <f t="shared" si="7"/>
        <v>43</v>
      </c>
      <c r="C109" s="18">
        <v>44561</v>
      </c>
      <c r="D109" s="19" t="s">
        <v>18</v>
      </c>
      <c r="E109" s="19" t="s">
        <v>181</v>
      </c>
      <c r="F109" s="35">
        <v>1990</v>
      </c>
      <c r="G109" s="35">
        <v>2026</v>
      </c>
      <c r="H109" s="35">
        <f>2026-1990</f>
        <v>36</v>
      </c>
      <c r="I109" s="20">
        <v>250</v>
      </c>
      <c r="J109" s="21">
        <f t="shared" si="8"/>
        <v>9000</v>
      </c>
      <c r="K109" s="7"/>
      <c r="V109" s="5">
        <f t="shared" si="5"/>
        <v>1</v>
      </c>
      <c r="W109" s="5">
        <f t="shared" si="6"/>
        <v>0</v>
      </c>
    </row>
    <row r="110" spans="1:23" s="36" customFormat="1" x14ac:dyDescent="0.3">
      <c r="A110" s="6"/>
      <c r="B110" s="17">
        <f t="shared" si="7"/>
        <v>44</v>
      </c>
      <c r="C110" s="18">
        <v>44561</v>
      </c>
      <c r="D110" s="19" t="s">
        <v>18</v>
      </c>
      <c r="E110" s="19" t="s">
        <v>604</v>
      </c>
      <c r="F110" s="35">
        <v>247</v>
      </c>
      <c r="G110" s="35">
        <v>250</v>
      </c>
      <c r="H110" s="35">
        <v>3</v>
      </c>
      <c r="I110" s="20">
        <v>2800</v>
      </c>
      <c r="J110" s="21">
        <f t="shared" si="8"/>
        <v>8400</v>
      </c>
      <c r="K110" s="7"/>
      <c r="V110" s="5">
        <f t="shared" si="5"/>
        <v>1</v>
      </c>
      <c r="W110" s="5">
        <f t="shared" si="6"/>
        <v>0</v>
      </c>
    </row>
    <row r="111" spans="1:23" s="36" customFormat="1" hidden="1" x14ac:dyDescent="0.3">
      <c r="A111" s="6"/>
      <c r="B111" s="17">
        <f t="shared" si="7"/>
        <v>45</v>
      </c>
      <c r="C111" s="18"/>
      <c r="D111" s="19"/>
      <c r="E111" s="19"/>
      <c r="F111" s="35"/>
      <c r="G111" s="35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idden="1" x14ac:dyDescent="0.3">
      <c r="A112" s="6"/>
      <c r="B112" s="17">
        <f t="shared" si="7"/>
        <v>46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idden="1" x14ac:dyDescent="0.3">
      <c r="A113" s="6"/>
      <c r="B113" s="17">
        <f t="shared" si="7"/>
        <v>47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idden="1" x14ac:dyDescent="0.3">
      <c r="A114" s="6"/>
      <c r="B114" s="17">
        <f t="shared" si="7"/>
        <v>48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idden="1" x14ac:dyDescent="0.3">
      <c r="A115" s="6"/>
      <c r="B115" s="17">
        <f t="shared" si="7"/>
        <v>49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idden="1" x14ac:dyDescent="0.3">
      <c r="A116" s="6"/>
      <c r="B116" s="17">
        <f t="shared" si="7"/>
        <v>50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idden="1" x14ac:dyDescent="0.3">
      <c r="A117" s="6"/>
      <c r="B117" s="17">
        <f t="shared" si="7"/>
        <v>51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idden="1" x14ac:dyDescent="0.3">
      <c r="A118" s="6"/>
      <c r="B118" s="17">
        <f t="shared" si="7"/>
        <v>52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idden="1" x14ac:dyDescent="0.3">
      <c r="A119" s="6"/>
      <c r="B119" s="17">
        <f t="shared" si="7"/>
        <v>53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idden="1" x14ac:dyDescent="0.3">
      <c r="A120" s="6"/>
      <c r="B120" s="17">
        <f t="shared" si="7"/>
        <v>54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idden="1" x14ac:dyDescent="0.3">
      <c r="A121" s="6"/>
      <c r="B121" s="17">
        <f t="shared" si="7"/>
        <v>55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idden="1" x14ac:dyDescent="0.3">
      <c r="A122" s="6"/>
      <c r="B122" s="17">
        <f t="shared" si="7"/>
        <v>56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idden="1" x14ac:dyDescent="0.3">
      <c r="A123" s="6"/>
      <c r="B123" s="17">
        <f t="shared" si="7"/>
        <v>57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thickBot="1" x14ac:dyDescent="0.35">
      <c r="A124" s="6"/>
      <c r="B124" s="17">
        <f t="shared" si="7"/>
        <v>58</v>
      </c>
      <c r="C124" s="79"/>
      <c r="D124" s="80"/>
      <c r="E124" s="80"/>
      <c r="F124" s="81"/>
      <c r="G124" s="81"/>
      <c r="H124" s="80"/>
      <c r="I124" s="81"/>
      <c r="J124" s="82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24" thickBot="1" x14ac:dyDescent="0.5">
      <c r="A125" s="6"/>
      <c r="B125" s="144" t="s">
        <v>22</v>
      </c>
      <c r="C125" s="145"/>
      <c r="D125" s="145"/>
      <c r="E125" s="145"/>
      <c r="F125" s="145"/>
      <c r="G125" s="145"/>
      <c r="H125" s="146"/>
      <c r="I125" s="83" t="s">
        <v>23</v>
      </c>
      <c r="J125" s="84">
        <f>SUM(J67:J124)</f>
        <v>171337.8</v>
      </c>
      <c r="K125" s="7"/>
      <c r="L125" s="5"/>
      <c r="M125" s="5"/>
      <c r="N125" s="5"/>
      <c r="O125" s="5"/>
      <c r="P125" s="5"/>
      <c r="Q125" s="5"/>
      <c r="R125" s="5"/>
      <c r="V125" s="36">
        <f>SUM(V67:V124)</f>
        <v>28</v>
      </c>
      <c r="W125" s="36">
        <f>SUM(W67:W124)</f>
        <v>12</v>
      </c>
    </row>
    <row r="126" spans="1:23" s="36" customFormat="1" ht="30" customHeight="1" thickBot="1" x14ac:dyDescent="0.35">
      <c r="A126" s="30"/>
      <c r="B126" s="31"/>
      <c r="C126" s="31"/>
      <c r="D126" s="31"/>
      <c r="E126" s="31"/>
      <c r="F126" s="31"/>
      <c r="G126" s="31"/>
      <c r="H126" s="32"/>
      <c r="I126" s="31"/>
      <c r="J126" s="32"/>
      <c r="K126" s="33"/>
      <c r="L126" s="5"/>
      <c r="M126" s="5"/>
      <c r="N126" s="5"/>
      <c r="O126" s="5"/>
      <c r="P126" s="5"/>
      <c r="Q126" s="5"/>
      <c r="R126" s="5"/>
    </row>
    <row r="127" spans="1:23" ht="15" thickBot="1" x14ac:dyDescent="0.35"/>
    <row r="128" spans="1:23" s="36" customFormat="1" ht="30" customHeight="1" thickBot="1" x14ac:dyDescent="0.35">
      <c r="A128" s="1"/>
      <c r="B128" s="2"/>
      <c r="C128" s="2"/>
      <c r="D128" s="2"/>
      <c r="E128" s="2"/>
      <c r="F128" s="2"/>
      <c r="G128" s="2"/>
      <c r="H128" s="3"/>
      <c r="I128" s="2"/>
      <c r="J128" s="3"/>
      <c r="K128" s="4"/>
    </row>
    <row r="129" spans="1:23" s="36" customFormat="1" ht="25.2" thickBot="1" x14ac:dyDescent="0.35">
      <c r="A129" s="6" t="s">
        <v>1</v>
      </c>
      <c r="B129" s="119" t="s">
        <v>2</v>
      </c>
      <c r="C129" s="120"/>
      <c r="D129" s="120"/>
      <c r="E129" s="120"/>
      <c r="F129" s="120"/>
      <c r="G129" s="120"/>
      <c r="H129" s="120"/>
      <c r="I129" s="120"/>
      <c r="J129" s="121"/>
      <c r="K129" s="7"/>
    </row>
    <row r="130" spans="1:23" s="36" customFormat="1" ht="16.2" thickBot="1" x14ac:dyDescent="0.35">
      <c r="A130" s="6"/>
      <c r="B130" s="168" t="s">
        <v>580</v>
      </c>
      <c r="C130" s="169"/>
      <c r="D130" s="169"/>
      <c r="E130" s="169"/>
      <c r="F130" s="169"/>
      <c r="G130" s="169"/>
      <c r="H130" s="169"/>
      <c r="I130" s="169"/>
      <c r="J130" s="170"/>
      <c r="K130" s="7"/>
      <c r="L130" s="22"/>
    </row>
    <row r="131" spans="1:23" s="36" customFormat="1" ht="16.2" thickBot="1" x14ac:dyDescent="0.35">
      <c r="A131" s="6"/>
      <c r="B131" s="106" t="s">
        <v>215</v>
      </c>
      <c r="C131" s="107"/>
      <c r="D131" s="107"/>
      <c r="E131" s="107"/>
      <c r="F131" s="107"/>
      <c r="G131" s="107"/>
      <c r="H131" s="107"/>
      <c r="I131" s="107"/>
      <c r="J131" s="108"/>
      <c r="K131" s="7"/>
    </row>
    <row r="132" spans="1:23" s="22" customFormat="1" ht="15" thickBot="1" x14ac:dyDescent="0.35">
      <c r="A132" s="69"/>
      <c r="B132" s="70" t="s">
        <v>9</v>
      </c>
      <c r="C132" s="71" t="s">
        <v>10</v>
      </c>
      <c r="D132" s="72" t="s">
        <v>11</v>
      </c>
      <c r="E132" s="72" t="s">
        <v>12</v>
      </c>
      <c r="F132" s="73" t="s">
        <v>65</v>
      </c>
      <c r="G132" s="73" t="s">
        <v>66</v>
      </c>
      <c r="H132" s="74" t="s">
        <v>67</v>
      </c>
      <c r="I132" s="73" t="s">
        <v>68</v>
      </c>
      <c r="J132" s="75" t="s">
        <v>17</v>
      </c>
      <c r="K132" s="76"/>
      <c r="L132" s="36"/>
      <c r="M132" s="36"/>
      <c r="N132" s="36"/>
      <c r="O132" s="36" t="s">
        <v>21</v>
      </c>
      <c r="P132" s="36"/>
      <c r="Q132" s="36"/>
      <c r="R132" s="36"/>
      <c r="V132" s="5" t="s">
        <v>5</v>
      </c>
      <c r="W132" s="5" t="s">
        <v>6</v>
      </c>
    </row>
    <row r="133" spans="1:23" s="36" customFormat="1" x14ac:dyDescent="0.3">
      <c r="A133" s="6"/>
      <c r="B133" s="14">
        <v>1</v>
      </c>
      <c r="C133" s="93">
        <v>44531</v>
      </c>
      <c r="D133" s="94" t="s">
        <v>18</v>
      </c>
      <c r="E133" s="94" t="s">
        <v>586</v>
      </c>
      <c r="F133" s="60">
        <v>70</v>
      </c>
      <c r="G133" s="60">
        <v>99</v>
      </c>
      <c r="H133" s="60">
        <v>29</v>
      </c>
      <c r="I133" s="15">
        <v>300</v>
      </c>
      <c r="J133" s="16">
        <f t="shared" ref="J133:J178" si="9">I133*H133</f>
        <v>8700</v>
      </c>
      <c r="K133" s="7"/>
      <c r="V133" s="5">
        <f t="shared" ref="V133:V178" si="10">IF($J133&gt;0,1,0)</f>
        <v>1</v>
      </c>
      <c r="W133" s="5">
        <f t="shared" ref="W133:W178" si="11">IF($J133&lt;0,1,0)</f>
        <v>0</v>
      </c>
    </row>
    <row r="134" spans="1:23" s="36" customFormat="1" x14ac:dyDescent="0.3">
      <c r="A134" s="6"/>
      <c r="B134" s="17">
        <f>B133+1</f>
        <v>2</v>
      </c>
      <c r="C134" s="18">
        <v>44531</v>
      </c>
      <c r="D134" s="19" t="s">
        <v>18</v>
      </c>
      <c r="E134" s="19" t="s">
        <v>468</v>
      </c>
      <c r="F134" s="35">
        <v>80</v>
      </c>
      <c r="G134" s="35">
        <v>110</v>
      </c>
      <c r="H134" s="35">
        <v>30</v>
      </c>
      <c r="I134" s="20">
        <v>300</v>
      </c>
      <c r="J134" s="21">
        <f t="shared" si="9"/>
        <v>9000</v>
      </c>
      <c r="K134" s="7"/>
      <c r="L134" s="36" t="s">
        <v>21</v>
      </c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ref="B135:B155" si="12">B134+1</f>
        <v>3</v>
      </c>
      <c r="C135" s="18">
        <v>44532</v>
      </c>
      <c r="D135" s="19" t="s">
        <v>18</v>
      </c>
      <c r="E135" s="19" t="s">
        <v>577</v>
      </c>
      <c r="F135" s="35">
        <v>60</v>
      </c>
      <c r="G135" s="35">
        <v>90</v>
      </c>
      <c r="H135" s="35">
        <v>30</v>
      </c>
      <c r="I135" s="20">
        <v>300</v>
      </c>
      <c r="J135" s="21">
        <f t="shared" si="9"/>
        <v>9000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4</v>
      </c>
      <c r="C136" s="18">
        <v>44532</v>
      </c>
      <c r="D136" s="19" t="s">
        <v>18</v>
      </c>
      <c r="E136" s="19" t="s">
        <v>577</v>
      </c>
      <c r="F136" s="35">
        <v>85</v>
      </c>
      <c r="G136" s="35">
        <v>97.6</v>
      </c>
      <c r="H136" s="35">
        <f>97.6-85</f>
        <v>12.599999999999994</v>
      </c>
      <c r="I136" s="20">
        <v>300</v>
      </c>
      <c r="J136" s="21">
        <f t="shared" si="9"/>
        <v>3779.9999999999982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5</v>
      </c>
      <c r="C137" s="18">
        <v>44533</v>
      </c>
      <c r="D137" s="19" t="s">
        <v>18</v>
      </c>
      <c r="E137" s="19" t="s">
        <v>479</v>
      </c>
      <c r="F137" s="35">
        <v>85</v>
      </c>
      <c r="G137" s="35">
        <v>100</v>
      </c>
      <c r="H137" s="35">
        <v>15</v>
      </c>
      <c r="I137" s="20">
        <v>300</v>
      </c>
      <c r="J137" s="21">
        <f t="shared" si="9"/>
        <v>4500</v>
      </c>
      <c r="K137" s="7"/>
      <c r="V137" s="5">
        <f t="shared" si="10"/>
        <v>1</v>
      </c>
      <c r="W137" s="5">
        <f t="shared" si="11"/>
        <v>0</v>
      </c>
    </row>
    <row r="138" spans="1:23" s="36" customFormat="1" x14ac:dyDescent="0.3">
      <c r="A138" s="6"/>
      <c r="B138" s="17">
        <f t="shared" si="12"/>
        <v>6</v>
      </c>
      <c r="C138" s="18">
        <v>44533</v>
      </c>
      <c r="D138" s="19" t="s">
        <v>18</v>
      </c>
      <c r="E138" s="19" t="s">
        <v>476</v>
      </c>
      <c r="F138" s="20">
        <v>85</v>
      </c>
      <c r="G138" s="35">
        <v>97</v>
      </c>
      <c r="H138" s="35">
        <f>97-85</f>
        <v>12</v>
      </c>
      <c r="I138" s="20">
        <v>300</v>
      </c>
      <c r="J138" s="21">
        <f t="shared" si="9"/>
        <v>3600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7</v>
      </c>
      <c r="C139" s="18">
        <v>44536</v>
      </c>
      <c r="D139" s="19" t="s">
        <v>18</v>
      </c>
      <c r="E139" s="19" t="s">
        <v>587</v>
      </c>
      <c r="F139" s="35">
        <v>80</v>
      </c>
      <c r="G139" s="35">
        <v>65</v>
      </c>
      <c r="H139" s="35">
        <v>-15</v>
      </c>
      <c r="I139" s="20">
        <v>300</v>
      </c>
      <c r="J139" s="21">
        <f t="shared" si="9"/>
        <v>-4500</v>
      </c>
      <c r="K139" s="7"/>
      <c r="V139" s="5">
        <f t="shared" si="10"/>
        <v>0</v>
      </c>
      <c r="W139" s="5">
        <f t="shared" si="11"/>
        <v>1</v>
      </c>
    </row>
    <row r="140" spans="1:23" s="36" customFormat="1" x14ac:dyDescent="0.3">
      <c r="A140" s="6"/>
      <c r="B140" s="17">
        <f t="shared" si="12"/>
        <v>8</v>
      </c>
      <c r="C140" s="18">
        <v>44536</v>
      </c>
      <c r="D140" s="19" t="s">
        <v>18</v>
      </c>
      <c r="E140" s="19" t="s">
        <v>587</v>
      </c>
      <c r="F140" s="35">
        <v>85</v>
      </c>
      <c r="G140" s="35">
        <v>115</v>
      </c>
      <c r="H140" s="35">
        <v>30</v>
      </c>
      <c r="I140" s="20">
        <v>300</v>
      </c>
      <c r="J140" s="21">
        <f t="shared" si="9"/>
        <v>9000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9</v>
      </c>
      <c r="C141" s="18">
        <v>44537</v>
      </c>
      <c r="D141" s="19" t="s">
        <v>18</v>
      </c>
      <c r="E141" s="19" t="s">
        <v>467</v>
      </c>
      <c r="F141" s="35">
        <v>80</v>
      </c>
      <c r="G141" s="35">
        <v>98.45</v>
      </c>
      <c r="H141" s="35">
        <f>98.45-80</f>
        <v>18.450000000000003</v>
      </c>
      <c r="I141" s="20">
        <v>300</v>
      </c>
      <c r="J141" s="21">
        <f t="shared" si="9"/>
        <v>5535.0000000000009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10</v>
      </c>
      <c r="C142" s="18">
        <v>44537</v>
      </c>
      <c r="D142" s="19" t="s">
        <v>18</v>
      </c>
      <c r="E142" s="19" t="s">
        <v>586</v>
      </c>
      <c r="F142" s="35">
        <v>90</v>
      </c>
      <c r="G142" s="35">
        <v>111.5</v>
      </c>
      <c r="H142" s="35">
        <f>111.5-90</f>
        <v>21.5</v>
      </c>
      <c r="I142" s="20">
        <v>300</v>
      </c>
      <c r="J142" s="21">
        <f t="shared" si="9"/>
        <v>6450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11</v>
      </c>
      <c r="C143" s="18">
        <v>44538</v>
      </c>
      <c r="D143" s="19" t="s">
        <v>18</v>
      </c>
      <c r="E143" s="19" t="s">
        <v>470</v>
      </c>
      <c r="F143" s="19">
        <v>65</v>
      </c>
      <c r="G143" s="35">
        <v>50</v>
      </c>
      <c r="H143" s="35">
        <v>-15</v>
      </c>
      <c r="I143" s="20">
        <v>300</v>
      </c>
      <c r="J143" s="21">
        <f t="shared" si="9"/>
        <v>-4500</v>
      </c>
      <c r="K143" s="7"/>
      <c r="V143" s="5">
        <f t="shared" si="10"/>
        <v>0</v>
      </c>
      <c r="W143" s="5">
        <f t="shared" si="11"/>
        <v>1</v>
      </c>
    </row>
    <row r="144" spans="1:23" s="36" customFormat="1" x14ac:dyDescent="0.3">
      <c r="A144" s="6"/>
      <c r="B144" s="17">
        <f t="shared" si="12"/>
        <v>12</v>
      </c>
      <c r="C144" s="18">
        <v>44538</v>
      </c>
      <c r="D144" s="19" t="s">
        <v>18</v>
      </c>
      <c r="E144" s="19" t="s">
        <v>470</v>
      </c>
      <c r="F144" s="35">
        <v>60</v>
      </c>
      <c r="G144" s="35">
        <v>45</v>
      </c>
      <c r="H144" s="35">
        <v>-15</v>
      </c>
      <c r="I144" s="20">
        <v>300</v>
      </c>
      <c r="J144" s="21">
        <f t="shared" si="9"/>
        <v>-4500</v>
      </c>
      <c r="K144" s="7"/>
      <c r="V144" s="5">
        <f t="shared" si="10"/>
        <v>0</v>
      </c>
      <c r="W144" s="5">
        <f t="shared" si="11"/>
        <v>1</v>
      </c>
    </row>
    <row r="145" spans="1:23" s="36" customFormat="1" x14ac:dyDescent="0.3">
      <c r="A145" s="6"/>
      <c r="B145" s="17">
        <f t="shared" si="12"/>
        <v>13</v>
      </c>
      <c r="C145" s="18">
        <v>44539</v>
      </c>
      <c r="D145" s="19" t="s">
        <v>18</v>
      </c>
      <c r="E145" s="19" t="s">
        <v>588</v>
      </c>
      <c r="F145" s="35">
        <v>65</v>
      </c>
      <c r="G145" s="35">
        <v>85</v>
      </c>
      <c r="H145" s="35">
        <v>20</v>
      </c>
      <c r="I145" s="20">
        <v>300</v>
      </c>
      <c r="J145" s="21">
        <f t="shared" si="9"/>
        <v>6000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14</v>
      </c>
      <c r="C146" s="18">
        <v>44539</v>
      </c>
      <c r="D146" s="19" t="s">
        <v>18</v>
      </c>
      <c r="E146" s="19" t="s">
        <v>470</v>
      </c>
      <c r="F146" s="77">
        <v>70</v>
      </c>
      <c r="G146" s="35">
        <v>90</v>
      </c>
      <c r="H146" s="78">
        <v>20</v>
      </c>
      <c r="I146" s="20">
        <v>300</v>
      </c>
      <c r="J146" s="21">
        <f t="shared" si="9"/>
        <v>6000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15</v>
      </c>
      <c r="C147" s="18">
        <v>44540</v>
      </c>
      <c r="D147" s="19" t="s">
        <v>18</v>
      </c>
      <c r="E147" s="19" t="s">
        <v>480</v>
      </c>
      <c r="F147" s="35">
        <v>80</v>
      </c>
      <c r="G147" s="35">
        <v>88</v>
      </c>
      <c r="H147" s="78">
        <v>8</v>
      </c>
      <c r="I147" s="20">
        <v>300</v>
      </c>
      <c r="J147" s="21">
        <f t="shared" si="9"/>
        <v>2400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16</v>
      </c>
      <c r="C148" s="18">
        <v>44540</v>
      </c>
      <c r="D148" s="19" t="s">
        <v>18</v>
      </c>
      <c r="E148" s="19" t="s">
        <v>479</v>
      </c>
      <c r="F148" s="35">
        <v>75</v>
      </c>
      <c r="G148" s="35">
        <v>105</v>
      </c>
      <c r="H148" s="78">
        <v>30</v>
      </c>
      <c r="I148" s="20">
        <v>300</v>
      </c>
      <c r="J148" s="21">
        <f t="shared" si="9"/>
        <v>9000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17</v>
      </c>
      <c r="C149" s="18">
        <v>44543</v>
      </c>
      <c r="D149" s="19" t="s">
        <v>18</v>
      </c>
      <c r="E149" s="19" t="s">
        <v>482</v>
      </c>
      <c r="F149" s="35">
        <v>75</v>
      </c>
      <c r="G149" s="35">
        <v>80</v>
      </c>
      <c r="H149" s="78">
        <v>5</v>
      </c>
      <c r="I149" s="20">
        <v>300</v>
      </c>
      <c r="J149" s="21">
        <f t="shared" si="9"/>
        <v>1500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18</v>
      </c>
      <c r="C150" s="18">
        <v>44543</v>
      </c>
      <c r="D150" s="19" t="s">
        <v>18</v>
      </c>
      <c r="E150" s="19" t="s">
        <v>475</v>
      </c>
      <c r="F150" s="35">
        <v>95</v>
      </c>
      <c r="G150" s="35">
        <v>125</v>
      </c>
      <c r="H150" s="78">
        <v>30</v>
      </c>
      <c r="I150" s="20">
        <v>300</v>
      </c>
      <c r="J150" s="21">
        <f t="shared" si="9"/>
        <v>9000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19</v>
      </c>
      <c r="C151" s="18">
        <v>44543</v>
      </c>
      <c r="D151" s="19" t="s">
        <v>18</v>
      </c>
      <c r="E151" s="19" t="s">
        <v>472</v>
      </c>
      <c r="F151" s="35">
        <v>75</v>
      </c>
      <c r="G151" s="35">
        <v>85</v>
      </c>
      <c r="H151" s="78">
        <v>10</v>
      </c>
      <c r="I151" s="20">
        <v>300</v>
      </c>
      <c r="J151" s="21">
        <f t="shared" si="9"/>
        <v>3000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20</v>
      </c>
      <c r="C152" s="18">
        <v>44544</v>
      </c>
      <c r="D152" s="19" t="s">
        <v>18</v>
      </c>
      <c r="E152" s="19" t="s">
        <v>469</v>
      </c>
      <c r="F152" s="35">
        <v>90</v>
      </c>
      <c r="G152" s="35">
        <v>105</v>
      </c>
      <c r="H152" s="35">
        <f>105-90</f>
        <v>15</v>
      </c>
      <c r="I152" s="20">
        <v>300</v>
      </c>
      <c r="J152" s="21">
        <f t="shared" si="9"/>
        <v>4500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21</v>
      </c>
      <c r="C153" s="18">
        <v>44544</v>
      </c>
      <c r="D153" s="19" t="s">
        <v>18</v>
      </c>
      <c r="E153" s="19" t="s">
        <v>589</v>
      </c>
      <c r="F153" s="35">
        <v>85</v>
      </c>
      <c r="G153" s="35">
        <v>70</v>
      </c>
      <c r="H153" s="35">
        <v>-15</v>
      </c>
      <c r="I153" s="20">
        <v>300</v>
      </c>
      <c r="J153" s="21">
        <f t="shared" si="9"/>
        <v>-4500</v>
      </c>
      <c r="K153" s="7"/>
      <c r="V153" s="5">
        <f t="shared" si="10"/>
        <v>0</v>
      </c>
      <c r="W153" s="5">
        <f t="shared" si="11"/>
        <v>1</v>
      </c>
    </row>
    <row r="154" spans="1:23" s="36" customFormat="1" x14ac:dyDescent="0.3">
      <c r="A154" s="6"/>
      <c r="B154" s="17">
        <f t="shared" si="12"/>
        <v>22</v>
      </c>
      <c r="C154" s="18">
        <v>44545</v>
      </c>
      <c r="D154" s="19" t="s">
        <v>18</v>
      </c>
      <c r="E154" s="19" t="s">
        <v>589</v>
      </c>
      <c r="F154" s="35">
        <v>70</v>
      </c>
      <c r="G154" s="35">
        <v>92</v>
      </c>
      <c r="H154" s="35">
        <f>92-70</f>
        <v>22</v>
      </c>
      <c r="I154" s="20">
        <v>300</v>
      </c>
      <c r="J154" s="21">
        <f t="shared" si="9"/>
        <v>6600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2"/>
        <v>23</v>
      </c>
      <c r="C155" s="18">
        <v>44545</v>
      </c>
      <c r="D155" s="19" t="s">
        <v>18</v>
      </c>
      <c r="E155" s="19" t="s">
        <v>589</v>
      </c>
      <c r="F155" s="35">
        <v>80</v>
      </c>
      <c r="G155" s="35">
        <v>65</v>
      </c>
      <c r="H155" s="35">
        <v>-15</v>
      </c>
      <c r="I155" s="20">
        <v>300</v>
      </c>
      <c r="J155" s="21">
        <f t="shared" si="9"/>
        <v>-4500</v>
      </c>
      <c r="K155" s="7"/>
      <c r="V155" s="5">
        <f t="shared" si="10"/>
        <v>0</v>
      </c>
      <c r="W155" s="5">
        <f t="shared" si="11"/>
        <v>1</v>
      </c>
    </row>
    <row r="156" spans="1:23" s="36" customFormat="1" x14ac:dyDescent="0.3">
      <c r="A156" s="6"/>
      <c r="B156" s="17">
        <f>B155+1</f>
        <v>24</v>
      </c>
      <c r="C156" s="18">
        <v>44545</v>
      </c>
      <c r="D156" s="19" t="s">
        <v>18</v>
      </c>
      <c r="E156" s="19" t="s">
        <v>589</v>
      </c>
      <c r="F156" s="35">
        <v>65</v>
      </c>
      <c r="G156" s="35">
        <v>76</v>
      </c>
      <c r="H156" s="35">
        <f>76-65</f>
        <v>11</v>
      </c>
      <c r="I156" s="20">
        <v>300</v>
      </c>
      <c r="J156" s="21">
        <f t="shared" si="9"/>
        <v>3300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ref="B157:B178" si="13">B156+1</f>
        <v>25</v>
      </c>
      <c r="C157" s="18">
        <v>44546</v>
      </c>
      <c r="D157" s="19" t="s">
        <v>18</v>
      </c>
      <c r="E157" s="19" t="s">
        <v>471</v>
      </c>
      <c r="F157" s="35">
        <v>75</v>
      </c>
      <c r="G157" s="35">
        <v>105</v>
      </c>
      <c r="H157" s="35">
        <v>30</v>
      </c>
      <c r="I157" s="20">
        <v>300</v>
      </c>
      <c r="J157" s="21">
        <f t="shared" si="9"/>
        <v>9000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3"/>
        <v>26</v>
      </c>
      <c r="C158" s="18">
        <v>44546</v>
      </c>
      <c r="D158" s="19" t="s">
        <v>18</v>
      </c>
      <c r="E158" s="19" t="s">
        <v>472</v>
      </c>
      <c r="F158" s="35">
        <v>65</v>
      </c>
      <c r="G158" s="35">
        <v>50</v>
      </c>
      <c r="H158" s="35">
        <v>-15</v>
      </c>
      <c r="I158" s="20">
        <v>300</v>
      </c>
      <c r="J158" s="21">
        <f t="shared" si="9"/>
        <v>-4500</v>
      </c>
      <c r="K158" s="7"/>
      <c r="V158" s="5">
        <f t="shared" si="10"/>
        <v>0</v>
      </c>
      <c r="W158" s="5">
        <f t="shared" si="11"/>
        <v>1</v>
      </c>
    </row>
    <row r="159" spans="1:23" s="36" customFormat="1" x14ac:dyDescent="0.3">
      <c r="A159" s="6"/>
      <c r="B159" s="17">
        <f t="shared" si="13"/>
        <v>27</v>
      </c>
      <c r="C159" s="18">
        <v>44546</v>
      </c>
      <c r="D159" s="19" t="s">
        <v>18</v>
      </c>
      <c r="E159" s="19" t="s">
        <v>472</v>
      </c>
      <c r="F159" s="35">
        <v>70</v>
      </c>
      <c r="G159" s="35">
        <v>100</v>
      </c>
      <c r="H159" s="35">
        <v>30</v>
      </c>
      <c r="I159" s="20">
        <v>300</v>
      </c>
      <c r="J159" s="21">
        <f t="shared" si="9"/>
        <v>9000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 t="shared" si="13"/>
        <v>28</v>
      </c>
      <c r="C160" s="18">
        <v>44547</v>
      </c>
      <c r="D160" s="19" t="s">
        <v>18</v>
      </c>
      <c r="E160" s="19" t="s">
        <v>590</v>
      </c>
      <c r="F160" s="35">
        <v>95</v>
      </c>
      <c r="G160" s="35">
        <v>125</v>
      </c>
      <c r="H160" s="35">
        <v>30</v>
      </c>
      <c r="I160" s="20">
        <v>300</v>
      </c>
      <c r="J160" s="21">
        <f t="shared" si="9"/>
        <v>9000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si="13"/>
        <v>29</v>
      </c>
      <c r="C161" s="18">
        <v>44547</v>
      </c>
      <c r="D161" s="19" t="s">
        <v>18</v>
      </c>
      <c r="E161" s="19" t="s">
        <v>591</v>
      </c>
      <c r="F161" s="35">
        <v>85</v>
      </c>
      <c r="G161" s="35">
        <v>106</v>
      </c>
      <c r="H161" s="35">
        <f>106-85</f>
        <v>21</v>
      </c>
      <c r="I161" s="20">
        <v>300</v>
      </c>
      <c r="J161" s="21">
        <f t="shared" si="9"/>
        <v>6300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30</v>
      </c>
      <c r="C162" s="18">
        <v>44550</v>
      </c>
      <c r="D162" s="19" t="s">
        <v>18</v>
      </c>
      <c r="E162" s="19" t="s">
        <v>436</v>
      </c>
      <c r="F162" s="35">
        <v>80</v>
      </c>
      <c r="G162" s="35">
        <v>110</v>
      </c>
      <c r="H162" s="35">
        <v>30</v>
      </c>
      <c r="I162" s="20">
        <v>300</v>
      </c>
      <c r="J162" s="21">
        <f t="shared" si="9"/>
        <v>9000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31</v>
      </c>
      <c r="C163" s="18">
        <v>44550</v>
      </c>
      <c r="D163" s="19" t="s">
        <v>18</v>
      </c>
      <c r="E163" s="19" t="s">
        <v>436</v>
      </c>
      <c r="F163" s="35">
        <v>100</v>
      </c>
      <c r="G163" s="35">
        <v>130</v>
      </c>
      <c r="H163" s="35">
        <v>30</v>
      </c>
      <c r="I163" s="20">
        <v>300</v>
      </c>
      <c r="J163" s="21">
        <f t="shared" si="9"/>
        <v>9000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32</v>
      </c>
      <c r="C164" s="18">
        <v>44551</v>
      </c>
      <c r="D164" s="19" t="s">
        <v>18</v>
      </c>
      <c r="E164" s="19" t="s">
        <v>442</v>
      </c>
      <c r="F164" s="35">
        <v>90</v>
      </c>
      <c r="G164" s="35">
        <v>120</v>
      </c>
      <c r="H164" s="35">
        <v>30</v>
      </c>
      <c r="I164" s="20">
        <v>300</v>
      </c>
      <c r="J164" s="21">
        <f t="shared" si="9"/>
        <v>9000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3"/>
        <v>33</v>
      </c>
      <c r="C165" s="18">
        <v>44552</v>
      </c>
      <c r="D165" s="19" t="s">
        <v>18</v>
      </c>
      <c r="E165" s="19" t="s">
        <v>592</v>
      </c>
      <c r="F165" s="35">
        <v>80</v>
      </c>
      <c r="G165" s="35">
        <v>86</v>
      </c>
      <c r="H165" s="35">
        <v>6</v>
      </c>
      <c r="I165" s="20">
        <v>300</v>
      </c>
      <c r="J165" s="21">
        <f t="shared" si="9"/>
        <v>1800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3"/>
        <v>34</v>
      </c>
      <c r="C166" s="18">
        <v>44552</v>
      </c>
      <c r="D166" s="19" t="s">
        <v>18</v>
      </c>
      <c r="E166" s="19" t="s">
        <v>442</v>
      </c>
      <c r="F166" s="35">
        <v>95</v>
      </c>
      <c r="G166" s="35">
        <v>116</v>
      </c>
      <c r="H166" s="35">
        <f>116-95</f>
        <v>21</v>
      </c>
      <c r="I166" s="20">
        <v>300</v>
      </c>
      <c r="J166" s="21">
        <f t="shared" si="9"/>
        <v>6300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3"/>
        <v>35</v>
      </c>
      <c r="C167" s="18">
        <v>44553</v>
      </c>
      <c r="D167" s="19" t="s">
        <v>18</v>
      </c>
      <c r="E167" s="19" t="s">
        <v>593</v>
      </c>
      <c r="F167" s="35">
        <v>60</v>
      </c>
      <c r="G167" s="35">
        <v>45</v>
      </c>
      <c r="H167" s="35">
        <v>-15</v>
      </c>
      <c r="I167" s="20">
        <v>300</v>
      </c>
      <c r="J167" s="21">
        <f t="shared" si="9"/>
        <v>-4500</v>
      </c>
      <c r="K167" s="7"/>
      <c r="V167" s="5">
        <f t="shared" si="10"/>
        <v>0</v>
      </c>
      <c r="W167" s="5">
        <f t="shared" si="11"/>
        <v>1</v>
      </c>
    </row>
    <row r="168" spans="1:23" s="36" customFormat="1" x14ac:dyDescent="0.3">
      <c r="A168" s="6"/>
      <c r="B168" s="17">
        <f t="shared" si="13"/>
        <v>36</v>
      </c>
      <c r="C168" s="18">
        <v>44554</v>
      </c>
      <c r="D168" s="19" t="s">
        <v>18</v>
      </c>
      <c r="E168" s="19" t="s">
        <v>591</v>
      </c>
      <c r="F168" s="35">
        <v>95</v>
      </c>
      <c r="G168" s="35">
        <v>125</v>
      </c>
      <c r="H168" s="35">
        <v>30</v>
      </c>
      <c r="I168" s="20">
        <v>300</v>
      </c>
      <c r="J168" s="21">
        <f t="shared" si="9"/>
        <v>9000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3"/>
        <v>37</v>
      </c>
      <c r="C169" s="18">
        <v>44554</v>
      </c>
      <c r="D169" s="19" t="s">
        <v>18</v>
      </c>
      <c r="E169" s="19" t="s">
        <v>594</v>
      </c>
      <c r="F169" s="35">
        <v>85</v>
      </c>
      <c r="G169" s="35">
        <v>95</v>
      </c>
      <c r="H169" s="35">
        <v>10</v>
      </c>
      <c r="I169" s="20">
        <v>300</v>
      </c>
      <c r="J169" s="21">
        <f t="shared" si="9"/>
        <v>3000</v>
      </c>
      <c r="K169" s="7"/>
      <c r="V169" s="5">
        <f t="shared" si="10"/>
        <v>1</v>
      </c>
      <c r="W169" s="5">
        <f t="shared" si="11"/>
        <v>0</v>
      </c>
    </row>
    <row r="170" spans="1:23" s="36" customFormat="1" x14ac:dyDescent="0.3">
      <c r="A170" s="6"/>
      <c r="B170" s="17">
        <f t="shared" si="13"/>
        <v>38</v>
      </c>
      <c r="C170" s="18">
        <v>44557</v>
      </c>
      <c r="D170" s="19" t="s">
        <v>18</v>
      </c>
      <c r="E170" s="19" t="s">
        <v>595</v>
      </c>
      <c r="F170" s="35">
        <v>100</v>
      </c>
      <c r="G170" s="35">
        <v>130</v>
      </c>
      <c r="H170" s="35">
        <v>30</v>
      </c>
      <c r="I170" s="20">
        <v>300</v>
      </c>
      <c r="J170" s="21">
        <f t="shared" si="9"/>
        <v>9000</v>
      </c>
      <c r="K170" s="7"/>
      <c r="V170" s="5">
        <f t="shared" si="10"/>
        <v>1</v>
      </c>
      <c r="W170" s="5">
        <f t="shared" si="11"/>
        <v>0</v>
      </c>
    </row>
    <row r="171" spans="1:23" s="36" customFormat="1" x14ac:dyDescent="0.3">
      <c r="A171" s="6"/>
      <c r="B171" s="17">
        <f t="shared" si="13"/>
        <v>39</v>
      </c>
      <c r="C171" s="18">
        <v>44557</v>
      </c>
      <c r="D171" s="19" t="s">
        <v>18</v>
      </c>
      <c r="E171" s="19" t="s">
        <v>468</v>
      </c>
      <c r="F171" s="35">
        <v>85</v>
      </c>
      <c r="G171" s="35">
        <v>100</v>
      </c>
      <c r="H171" s="35">
        <v>15</v>
      </c>
      <c r="I171" s="20">
        <v>300</v>
      </c>
      <c r="J171" s="21">
        <f t="shared" si="9"/>
        <v>4500</v>
      </c>
      <c r="K171" s="7"/>
      <c r="V171" s="5">
        <f t="shared" si="10"/>
        <v>1</v>
      </c>
      <c r="W171" s="5">
        <f t="shared" si="11"/>
        <v>0</v>
      </c>
    </row>
    <row r="172" spans="1:23" s="36" customFormat="1" x14ac:dyDescent="0.3">
      <c r="A172" s="6"/>
      <c r="B172" s="17">
        <f t="shared" si="13"/>
        <v>40</v>
      </c>
      <c r="C172" s="18">
        <v>44558</v>
      </c>
      <c r="D172" s="19" t="s">
        <v>18</v>
      </c>
      <c r="E172" s="19" t="s">
        <v>577</v>
      </c>
      <c r="F172" s="35">
        <v>65</v>
      </c>
      <c r="G172" s="35">
        <v>75</v>
      </c>
      <c r="H172" s="35">
        <v>10</v>
      </c>
      <c r="I172" s="20">
        <v>300</v>
      </c>
      <c r="J172" s="21">
        <f t="shared" si="9"/>
        <v>3000</v>
      </c>
      <c r="K172" s="7"/>
      <c r="V172" s="5">
        <f t="shared" si="10"/>
        <v>1</v>
      </c>
      <c r="W172" s="5">
        <f t="shared" si="11"/>
        <v>0</v>
      </c>
    </row>
    <row r="173" spans="1:23" s="36" customFormat="1" x14ac:dyDescent="0.3">
      <c r="A173" s="6"/>
      <c r="B173" s="17">
        <f t="shared" si="13"/>
        <v>41</v>
      </c>
      <c r="C173" s="18">
        <v>44558</v>
      </c>
      <c r="D173" s="19" t="s">
        <v>18</v>
      </c>
      <c r="E173" s="19" t="s">
        <v>577</v>
      </c>
      <c r="F173" s="35">
        <v>75</v>
      </c>
      <c r="G173" s="35">
        <v>85</v>
      </c>
      <c r="H173" s="35">
        <v>10</v>
      </c>
      <c r="I173" s="20">
        <v>300</v>
      </c>
      <c r="J173" s="21">
        <f t="shared" si="9"/>
        <v>3000</v>
      </c>
      <c r="K173" s="7"/>
      <c r="V173" s="5">
        <f t="shared" si="10"/>
        <v>1</v>
      </c>
      <c r="W173" s="5">
        <f t="shared" si="11"/>
        <v>0</v>
      </c>
    </row>
    <row r="174" spans="1:23" s="36" customFormat="1" x14ac:dyDescent="0.3">
      <c r="A174" s="6"/>
      <c r="B174" s="17">
        <f t="shared" si="13"/>
        <v>42</v>
      </c>
      <c r="C174" s="18">
        <v>44559</v>
      </c>
      <c r="D174" s="19" t="s">
        <v>18</v>
      </c>
      <c r="E174" s="19" t="s">
        <v>577</v>
      </c>
      <c r="F174" s="35">
        <v>85</v>
      </c>
      <c r="G174" s="35">
        <v>70</v>
      </c>
      <c r="H174" s="35">
        <v>-15</v>
      </c>
      <c r="I174" s="20">
        <v>300</v>
      </c>
      <c r="J174" s="21">
        <f t="shared" si="9"/>
        <v>-4500</v>
      </c>
      <c r="K174" s="7"/>
      <c r="V174" s="5">
        <f t="shared" si="10"/>
        <v>0</v>
      </c>
      <c r="W174" s="5">
        <f t="shared" si="11"/>
        <v>1</v>
      </c>
    </row>
    <row r="175" spans="1:23" s="36" customFormat="1" x14ac:dyDescent="0.3">
      <c r="A175" s="6"/>
      <c r="B175" s="17">
        <f t="shared" si="13"/>
        <v>43</v>
      </c>
      <c r="C175" s="18">
        <v>44560</v>
      </c>
      <c r="D175" s="19" t="s">
        <v>18</v>
      </c>
      <c r="E175" s="19" t="s">
        <v>586</v>
      </c>
      <c r="F175" s="35">
        <v>50</v>
      </c>
      <c r="G175" s="35">
        <v>65</v>
      </c>
      <c r="H175" s="35">
        <v>15</v>
      </c>
      <c r="I175" s="20">
        <v>300</v>
      </c>
      <c r="J175" s="21">
        <f t="shared" si="9"/>
        <v>4500</v>
      </c>
      <c r="K175" s="7"/>
      <c r="V175" s="5">
        <f t="shared" si="10"/>
        <v>1</v>
      </c>
      <c r="W175" s="5">
        <f t="shared" si="11"/>
        <v>0</v>
      </c>
    </row>
    <row r="176" spans="1:23" s="36" customFormat="1" x14ac:dyDescent="0.3">
      <c r="A176" s="6"/>
      <c r="B176" s="17">
        <f t="shared" si="13"/>
        <v>44</v>
      </c>
      <c r="C176" s="18">
        <v>44560</v>
      </c>
      <c r="D176" s="19" t="s">
        <v>18</v>
      </c>
      <c r="E176" s="19" t="s">
        <v>467</v>
      </c>
      <c r="F176" s="35">
        <v>95</v>
      </c>
      <c r="G176" s="35">
        <v>105</v>
      </c>
      <c r="H176" s="35">
        <f>105-95</f>
        <v>10</v>
      </c>
      <c r="I176" s="20">
        <v>300</v>
      </c>
      <c r="J176" s="21">
        <f t="shared" si="9"/>
        <v>3000</v>
      </c>
      <c r="K176" s="7"/>
      <c r="V176" s="5">
        <f t="shared" si="10"/>
        <v>1</v>
      </c>
      <c r="W176" s="5">
        <f t="shared" si="11"/>
        <v>0</v>
      </c>
    </row>
    <row r="177" spans="1:23" s="36" customFormat="1" x14ac:dyDescent="0.3">
      <c r="A177" s="6"/>
      <c r="B177" s="17">
        <f t="shared" si="13"/>
        <v>45</v>
      </c>
      <c r="C177" s="18">
        <v>44561</v>
      </c>
      <c r="D177" s="19" t="s">
        <v>18</v>
      </c>
      <c r="E177" s="19" t="s">
        <v>470</v>
      </c>
      <c r="F177" s="35">
        <v>80</v>
      </c>
      <c r="G177" s="35">
        <v>95</v>
      </c>
      <c r="H177" s="35">
        <v>15</v>
      </c>
      <c r="I177" s="20">
        <v>300</v>
      </c>
      <c r="J177" s="21">
        <f t="shared" si="9"/>
        <v>4500</v>
      </c>
      <c r="K177" s="7"/>
      <c r="V177" s="5">
        <f t="shared" si="10"/>
        <v>1</v>
      </c>
      <c r="W177" s="5">
        <f t="shared" si="11"/>
        <v>0</v>
      </c>
    </row>
    <row r="178" spans="1:23" s="36" customFormat="1" ht="15" thickBot="1" x14ac:dyDescent="0.35">
      <c r="A178" s="6"/>
      <c r="B178" s="95">
        <f t="shared" si="13"/>
        <v>46</v>
      </c>
      <c r="C178" s="79"/>
      <c r="D178" s="80"/>
      <c r="E178" s="80"/>
      <c r="F178" s="96"/>
      <c r="G178" s="96"/>
      <c r="H178" s="96"/>
      <c r="I178" s="81"/>
      <c r="J178" s="82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ht="24" thickBot="1" x14ac:dyDescent="0.5">
      <c r="A179" s="6"/>
      <c r="B179" s="165" t="s">
        <v>22</v>
      </c>
      <c r="C179" s="166"/>
      <c r="D179" s="166"/>
      <c r="E179" s="166"/>
      <c r="F179" s="166"/>
      <c r="G179" s="166"/>
      <c r="H179" s="167"/>
      <c r="I179" s="83" t="s">
        <v>23</v>
      </c>
      <c r="J179" s="84">
        <f>SUM(J133:J178)</f>
        <v>186765</v>
      </c>
      <c r="K179" s="7"/>
      <c r="L179" s="5"/>
      <c r="M179" s="5"/>
      <c r="N179" s="5"/>
      <c r="O179" s="5"/>
      <c r="P179" s="5"/>
      <c r="Q179" s="5"/>
      <c r="R179" s="5"/>
      <c r="V179" s="36">
        <f>SUM(V133:V178)</f>
        <v>37</v>
      </c>
      <c r="W179" s="36">
        <f>SUM(W133:W178)</f>
        <v>8</v>
      </c>
    </row>
    <row r="180" spans="1:23" s="36" customFormat="1" ht="30" customHeight="1" thickBot="1" x14ac:dyDescent="0.35">
      <c r="A180" s="30"/>
      <c r="B180" s="31"/>
      <c r="C180" s="31"/>
      <c r="D180" s="31"/>
      <c r="E180" s="31"/>
      <c r="F180" s="31"/>
      <c r="G180" s="31"/>
      <c r="H180" s="32"/>
      <c r="I180" s="31"/>
      <c r="J180" s="32"/>
      <c r="K180" s="33"/>
      <c r="L180" s="5"/>
      <c r="M180" s="5"/>
      <c r="N180" s="5"/>
      <c r="O180" s="5"/>
      <c r="P180" s="5"/>
      <c r="Q180" s="5"/>
      <c r="R180" s="5"/>
    </row>
  </sheetData>
  <mergeCells count="44">
    <mergeCell ref="B125:H125"/>
    <mergeCell ref="B129:J129"/>
    <mergeCell ref="B130:J130"/>
    <mergeCell ref="B131:J131"/>
    <mergeCell ref="B179:H17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59" r:id="rId1" xr:uid="{00000000-0004-0000-1100-000000000000}"/>
    <hyperlink ref="B125" r:id="rId2" xr:uid="{00000000-0004-0000-1100-000001000000}"/>
    <hyperlink ref="B179" r:id="rId3" xr:uid="{00000000-0004-0000-1100-000002000000}"/>
    <hyperlink ref="M1" location="MASTER!A1" display="Back" xr:uid="{00000000-0004-0000-1100-000003000000}"/>
    <hyperlink ref="M6:M7" location="'NOV 2021'!A70" display="EXTRA STOCK FUTURE" xr:uid="{00000000-0004-0000-1100-000004000000}"/>
    <hyperlink ref="M8:M9" location="'NOV 2021'!A140" display="EXTRA NIFTY OPTION" xr:uid="{00000000-0004-0000-1100-000005000000}"/>
  </hyperlinks>
  <pageMargins left="0" right="0" top="0" bottom="0" header="0" footer="0"/>
  <pageSetup paperSize="9" orientation="portrait" r:id="rId4"/>
  <drawing r:id="rId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180"/>
  <sheetViews>
    <sheetView zoomScaleNormal="100" workbookViewId="0"/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44562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95" t="s">
        <v>107</v>
      </c>
      <c r="N4" s="111">
        <f>COUNT(C6:C58)</f>
        <v>37</v>
      </c>
      <c r="O4" s="113">
        <f>V59</f>
        <v>29</v>
      </c>
      <c r="P4" s="113">
        <f>W59</f>
        <v>8</v>
      </c>
      <c r="Q4" s="197">
        <f>N4-O4-P4</f>
        <v>0</v>
      </c>
      <c r="R4" s="199">
        <f>O4/N4</f>
        <v>0.78378378378378377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96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44564</v>
      </c>
      <c r="D6" s="90" t="s">
        <v>18</v>
      </c>
      <c r="E6" s="90" t="s">
        <v>299</v>
      </c>
      <c r="F6" s="90">
        <v>140</v>
      </c>
      <c r="G6" s="90">
        <v>240</v>
      </c>
      <c r="H6" s="91">
        <v>100</v>
      </c>
      <c r="I6" s="90">
        <v>100</v>
      </c>
      <c r="J6" s="92">
        <f t="shared" ref="J6:J58" si="0">H6*I6</f>
        <v>10000</v>
      </c>
      <c r="K6" s="7"/>
      <c r="M6" s="213" t="s">
        <v>108</v>
      </c>
      <c r="N6" s="112">
        <f>COUNT(C67:C124)</f>
        <v>36</v>
      </c>
      <c r="O6" s="113">
        <f>V125</f>
        <v>29</v>
      </c>
      <c r="P6" s="113">
        <f>W125</f>
        <v>5</v>
      </c>
      <c r="Q6" s="198">
        <v>0</v>
      </c>
      <c r="R6" s="203">
        <f t="shared" ref="R6" si="1">O6/N6</f>
        <v>0.80555555555555558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x14ac:dyDescent="0.3">
      <c r="A7" s="6"/>
      <c r="B7" s="17">
        <v>2</v>
      </c>
      <c r="C7" s="85">
        <v>44564</v>
      </c>
      <c r="D7" s="86" t="s">
        <v>18</v>
      </c>
      <c r="E7" s="86" t="s">
        <v>260</v>
      </c>
      <c r="F7" s="86">
        <v>150</v>
      </c>
      <c r="G7" s="86">
        <v>250</v>
      </c>
      <c r="H7" s="87">
        <v>100</v>
      </c>
      <c r="I7" s="86">
        <v>100</v>
      </c>
      <c r="J7" s="21">
        <f t="shared" si="0"/>
        <v>10000</v>
      </c>
      <c r="K7" s="7"/>
      <c r="M7" s="213"/>
      <c r="N7" s="112"/>
      <c r="O7" s="114"/>
      <c r="P7" s="114"/>
      <c r="Q7" s="198"/>
      <c r="R7" s="200"/>
      <c r="V7" s="5">
        <f t="shared" si="2"/>
        <v>1</v>
      </c>
      <c r="W7" s="5">
        <f t="shared" si="3"/>
        <v>0</v>
      </c>
    </row>
    <row r="8" spans="1:23" x14ac:dyDescent="0.3">
      <c r="A8" s="6"/>
      <c r="B8" s="88">
        <v>3</v>
      </c>
      <c r="C8" s="85">
        <v>44565</v>
      </c>
      <c r="D8" s="86" t="s">
        <v>18</v>
      </c>
      <c r="E8" s="86" t="s">
        <v>247</v>
      </c>
      <c r="F8" s="86">
        <v>140</v>
      </c>
      <c r="G8" s="86">
        <v>210</v>
      </c>
      <c r="H8" s="87">
        <f>210-140</f>
        <v>70</v>
      </c>
      <c r="I8" s="86">
        <v>100</v>
      </c>
      <c r="J8" s="21">
        <f t="shared" si="0"/>
        <v>7000</v>
      </c>
      <c r="K8" s="7"/>
      <c r="M8" s="214" t="s">
        <v>194</v>
      </c>
      <c r="N8" s="112">
        <f>COUNT(C133:C178)</f>
        <v>39</v>
      </c>
      <c r="O8" s="114">
        <f>V179</f>
        <v>34</v>
      </c>
      <c r="P8" s="114">
        <f>W179</f>
        <v>5</v>
      </c>
      <c r="Q8" s="198">
        <f>N8-O8-P8</f>
        <v>0</v>
      </c>
      <c r="R8" s="203">
        <f t="shared" ref="R8:R10" si="4">O8/N8</f>
        <v>0.87179487179487181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44565</v>
      </c>
      <c r="D9" s="86" t="s">
        <v>18</v>
      </c>
      <c r="E9" s="86" t="s">
        <v>261</v>
      </c>
      <c r="F9" s="86">
        <v>140</v>
      </c>
      <c r="G9" s="86">
        <v>90</v>
      </c>
      <c r="H9" s="87">
        <v>-50</v>
      </c>
      <c r="I9" s="86">
        <v>100</v>
      </c>
      <c r="J9" s="21">
        <f t="shared" si="0"/>
        <v>-5000</v>
      </c>
      <c r="K9" s="7"/>
      <c r="M9" s="215"/>
      <c r="N9" s="184"/>
      <c r="O9" s="172"/>
      <c r="P9" s="172"/>
      <c r="Q9" s="174"/>
      <c r="R9" s="204"/>
      <c r="V9" s="5">
        <f t="shared" si="2"/>
        <v>0</v>
      </c>
      <c r="W9" s="5">
        <f t="shared" si="3"/>
        <v>1</v>
      </c>
    </row>
    <row r="10" spans="1:23" ht="16.5" customHeight="1" x14ac:dyDescent="0.3">
      <c r="A10" s="6"/>
      <c r="B10" s="88">
        <v>5</v>
      </c>
      <c r="C10" s="85">
        <v>44566</v>
      </c>
      <c r="D10" s="86" t="s">
        <v>18</v>
      </c>
      <c r="E10" s="86" t="s">
        <v>266</v>
      </c>
      <c r="F10" s="86">
        <v>120</v>
      </c>
      <c r="G10" s="86">
        <v>220</v>
      </c>
      <c r="H10" s="87">
        <v>100</v>
      </c>
      <c r="I10" s="86">
        <v>100</v>
      </c>
      <c r="J10" s="21">
        <f t="shared" si="0"/>
        <v>10000</v>
      </c>
      <c r="K10" s="7"/>
      <c r="M10" s="207" t="s">
        <v>19</v>
      </c>
      <c r="N10" s="149">
        <f>SUM(N4:N9)</f>
        <v>112</v>
      </c>
      <c r="O10" s="209">
        <f>SUM(O4:O9)</f>
        <v>92</v>
      </c>
      <c r="P10" s="209">
        <f>SUM(P4:P9)</f>
        <v>18</v>
      </c>
      <c r="Q10" s="211">
        <f>SUM(Q4:Q9)</f>
        <v>0</v>
      </c>
      <c r="R10" s="199">
        <f t="shared" si="4"/>
        <v>0.8214285714285714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44566</v>
      </c>
      <c r="D11" s="86" t="s">
        <v>18</v>
      </c>
      <c r="E11" s="86" t="s">
        <v>266</v>
      </c>
      <c r="F11" s="86">
        <v>130</v>
      </c>
      <c r="G11" s="86">
        <v>230</v>
      </c>
      <c r="H11" s="87">
        <v>100</v>
      </c>
      <c r="I11" s="86">
        <v>100</v>
      </c>
      <c r="J11" s="21">
        <f t="shared" si="0"/>
        <v>10000</v>
      </c>
      <c r="K11" s="7"/>
      <c r="M11" s="208"/>
      <c r="N11" s="150"/>
      <c r="O11" s="210"/>
      <c r="P11" s="210"/>
      <c r="Q11" s="212"/>
      <c r="R11" s="204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44567</v>
      </c>
      <c r="D12" s="86" t="s">
        <v>18</v>
      </c>
      <c r="E12" s="86" t="s">
        <v>614</v>
      </c>
      <c r="F12" s="86">
        <v>120</v>
      </c>
      <c r="G12" s="86">
        <v>70</v>
      </c>
      <c r="H12" s="87">
        <v>-50</v>
      </c>
      <c r="I12" s="86">
        <v>100</v>
      </c>
      <c r="J12" s="21">
        <f t="shared" si="0"/>
        <v>-5000</v>
      </c>
      <c r="K12" s="7"/>
      <c r="M12" s="126" t="s">
        <v>20</v>
      </c>
      <c r="N12" s="130"/>
      <c r="O12" s="131"/>
      <c r="P12" s="138">
        <f>R10</f>
        <v>0.8214285714285714</v>
      </c>
      <c r="Q12" s="139"/>
      <c r="R12" s="137"/>
      <c r="V12" s="5">
        <f t="shared" si="2"/>
        <v>0</v>
      </c>
      <c r="W12" s="5">
        <f t="shared" si="3"/>
        <v>1</v>
      </c>
    </row>
    <row r="13" spans="1:23" ht="15" customHeight="1" x14ac:dyDescent="0.3">
      <c r="A13" s="6"/>
      <c r="B13" s="17">
        <v>8</v>
      </c>
      <c r="C13" s="85">
        <v>44567</v>
      </c>
      <c r="D13" s="86" t="s">
        <v>18</v>
      </c>
      <c r="E13" s="86" t="s">
        <v>615</v>
      </c>
      <c r="F13" s="86">
        <v>120</v>
      </c>
      <c r="G13" s="86">
        <v>150</v>
      </c>
      <c r="H13" s="87">
        <v>30</v>
      </c>
      <c r="I13" s="86">
        <v>100</v>
      </c>
      <c r="J13" s="21">
        <f t="shared" si="0"/>
        <v>3000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44568</v>
      </c>
      <c r="D14" s="86" t="s">
        <v>18</v>
      </c>
      <c r="E14" s="86" t="s">
        <v>506</v>
      </c>
      <c r="F14" s="86">
        <v>140</v>
      </c>
      <c r="G14" s="86">
        <v>175</v>
      </c>
      <c r="H14" s="87">
        <v>35</v>
      </c>
      <c r="I14" s="86">
        <v>100</v>
      </c>
      <c r="J14" s="21">
        <f t="shared" si="0"/>
        <v>3500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44568</v>
      </c>
      <c r="D15" s="86" t="s">
        <v>18</v>
      </c>
      <c r="E15" s="86" t="s">
        <v>454</v>
      </c>
      <c r="F15" s="86">
        <v>130</v>
      </c>
      <c r="G15" s="86">
        <v>170</v>
      </c>
      <c r="H15" s="87">
        <v>40</v>
      </c>
      <c r="I15" s="86">
        <v>100</v>
      </c>
      <c r="J15" s="21">
        <f t="shared" si="0"/>
        <v>4000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18">
        <v>44571</v>
      </c>
      <c r="D16" s="19" t="s">
        <v>18</v>
      </c>
      <c r="E16" s="19" t="s">
        <v>462</v>
      </c>
      <c r="F16" s="35">
        <v>140</v>
      </c>
      <c r="G16" s="35">
        <v>179</v>
      </c>
      <c r="H16" s="35">
        <v>39</v>
      </c>
      <c r="I16" s="20">
        <v>100</v>
      </c>
      <c r="J16" s="21">
        <f t="shared" si="0"/>
        <v>3900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18">
        <v>44571</v>
      </c>
      <c r="D17" s="19" t="s">
        <v>18</v>
      </c>
      <c r="E17" s="19" t="s">
        <v>462</v>
      </c>
      <c r="F17" s="35">
        <v>150</v>
      </c>
      <c r="G17" s="35">
        <v>170</v>
      </c>
      <c r="H17" s="35">
        <v>20</v>
      </c>
      <c r="I17" s="20">
        <v>100</v>
      </c>
      <c r="J17" s="21">
        <f t="shared" si="0"/>
        <v>2000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18">
        <v>44572</v>
      </c>
      <c r="D18" s="19" t="s">
        <v>18</v>
      </c>
      <c r="E18" s="19" t="s">
        <v>462</v>
      </c>
      <c r="F18" s="35">
        <v>110</v>
      </c>
      <c r="G18" s="35">
        <v>160</v>
      </c>
      <c r="H18" s="35">
        <v>50</v>
      </c>
      <c r="I18" s="20">
        <v>100</v>
      </c>
      <c r="J18" s="21">
        <f t="shared" si="0"/>
        <v>5000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18">
        <v>44572</v>
      </c>
      <c r="D19" s="19" t="s">
        <v>18</v>
      </c>
      <c r="E19" s="19" t="s">
        <v>463</v>
      </c>
      <c r="F19" s="35">
        <v>130</v>
      </c>
      <c r="G19" s="35">
        <v>200</v>
      </c>
      <c r="H19" s="35">
        <f>200-130</f>
        <v>70</v>
      </c>
      <c r="I19" s="20">
        <v>100</v>
      </c>
      <c r="J19" s="21">
        <f t="shared" si="0"/>
        <v>7000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18">
        <v>44573</v>
      </c>
      <c r="D20" s="19" t="s">
        <v>18</v>
      </c>
      <c r="E20" s="19" t="s">
        <v>616</v>
      </c>
      <c r="F20" s="35">
        <v>130</v>
      </c>
      <c r="G20" s="35">
        <v>145</v>
      </c>
      <c r="H20" s="78">
        <v>15</v>
      </c>
      <c r="I20" s="20">
        <v>100</v>
      </c>
      <c r="J20" s="21">
        <f t="shared" si="0"/>
        <v>1500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18">
        <v>44573</v>
      </c>
      <c r="D21" s="19" t="s">
        <v>18</v>
      </c>
      <c r="E21" s="19" t="s">
        <v>506</v>
      </c>
      <c r="F21" s="35">
        <v>140</v>
      </c>
      <c r="G21" s="35">
        <v>160</v>
      </c>
      <c r="H21" s="35">
        <v>20</v>
      </c>
      <c r="I21" s="20">
        <v>100</v>
      </c>
      <c r="J21" s="21">
        <f t="shared" si="0"/>
        <v>2000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44574</v>
      </c>
      <c r="D22" s="19" t="s">
        <v>18</v>
      </c>
      <c r="E22" s="19" t="s">
        <v>461</v>
      </c>
      <c r="F22" s="35">
        <v>110</v>
      </c>
      <c r="G22" s="35">
        <v>143</v>
      </c>
      <c r="H22" s="35">
        <f>143-110</f>
        <v>33</v>
      </c>
      <c r="I22" s="20">
        <v>100</v>
      </c>
      <c r="J22" s="21">
        <f t="shared" si="0"/>
        <v>3300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44574</v>
      </c>
      <c r="D23" s="19" t="s">
        <v>18</v>
      </c>
      <c r="E23" s="19" t="s">
        <v>457</v>
      </c>
      <c r="F23" s="35">
        <v>110</v>
      </c>
      <c r="G23" s="35">
        <v>160</v>
      </c>
      <c r="H23" s="35">
        <v>50</v>
      </c>
      <c r="I23" s="20">
        <v>100</v>
      </c>
      <c r="J23" s="21">
        <f t="shared" si="0"/>
        <v>5000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44575</v>
      </c>
      <c r="D24" s="19" t="s">
        <v>18</v>
      </c>
      <c r="E24" s="19" t="s">
        <v>619</v>
      </c>
      <c r="F24" s="35">
        <v>130</v>
      </c>
      <c r="G24" s="35">
        <v>145</v>
      </c>
      <c r="H24" s="35">
        <v>15</v>
      </c>
      <c r="I24" s="20">
        <v>100</v>
      </c>
      <c r="J24" s="21">
        <f t="shared" si="0"/>
        <v>1500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44578</v>
      </c>
      <c r="D25" s="19" t="s">
        <v>18</v>
      </c>
      <c r="E25" s="19" t="s">
        <v>506</v>
      </c>
      <c r="F25" s="35">
        <v>140</v>
      </c>
      <c r="G25" s="35">
        <v>160</v>
      </c>
      <c r="H25" s="35">
        <v>20</v>
      </c>
      <c r="I25" s="20">
        <v>100</v>
      </c>
      <c r="J25" s="21">
        <f t="shared" si="0"/>
        <v>2000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44578</v>
      </c>
      <c r="D26" s="19" t="s">
        <v>18</v>
      </c>
      <c r="E26" s="19" t="s">
        <v>462</v>
      </c>
      <c r="F26" s="35">
        <v>150</v>
      </c>
      <c r="G26" s="35">
        <v>170</v>
      </c>
      <c r="H26" s="35">
        <v>20</v>
      </c>
      <c r="I26" s="20">
        <v>100</v>
      </c>
      <c r="J26" s="21">
        <f t="shared" si="0"/>
        <v>2000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44579</v>
      </c>
      <c r="D27" s="19" t="s">
        <v>18</v>
      </c>
      <c r="E27" s="19" t="s">
        <v>463</v>
      </c>
      <c r="F27" s="35">
        <v>130</v>
      </c>
      <c r="G27" s="35">
        <v>230</v>
      </c>
      <c r="H27" s="19">
        <v>100</v>
      </c>
      <c r="I27" s="20">
        <v>100</v>
      </c>
      <c r="J27" s="21">
        <f t="shared" si="0"/>
        <v>10000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44579</v>
      </c>
      <c r="D28" s="19" t="s">
        <v>18</v>
      </c>
      <c r="E28" s="19" t="s">
        <v>462</v>
      </c>
      <c r="F28" s="35">
        <v>130</v>
      </c>
      <c r="G28" s="35">
        <v>230</v>
      </c>
      <c r="H28" s="19">
        <v>100</v>
      </c>
      <c r="I28" s="20">
        <v>100</v>
      </c>
      <c r="J28" s="21">
        <f t="shared" si="0"/>
        <v>10000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44580</v>
      </c>
      <c r="D29" s="19" t="s">
        <v>18</v>
      </c>
      <c r="E29" s="19" t="s">
        <v>507</v>
      </c>
      <c r="F29" s="20">
        <v>130</v>
      </c>
      <c r="G29" s="20">
        <v>80</v>
      </c>
      <c r="H29" s="19">
        <v>-50</v>
      </c>
      <c r="I29" s="20">
        <v>100</v>
      </c>
      <c r="J29" s="21">
        <f t="shared" si="0"/>
        <v>-5000</v>
      </c>
      <c r="K29" s="7"/>
      <c r="V29" s="5">
        <f t="shared" si="2"/>
        <v>0</v>
      </c>
      <c r="W29" s="5">
        <f t="shared" si="3"/>
        <v>1</v>
      </c>
    </row>
    <row r="30" spans="1:23" x14ac:dyDescent="0.3">
      <c r="A30" s="6"/>
      <c r="B30" s="88">
        <v>25</v>
      </c>
      <c r="C30" s="24">
        <v>44580</v>
      </c>
      <c r="D30" s="25" t="s">
        <v>18</v>
      </c>
      <c r="E30" s="25" t="s">
        <v>571</v>
      </c>
      <c r="F30" s="26">
        <v>130</v>
      </c>
      <c r="G30" s="61">
        <v>230</v>
      </c>
      <c r="H30" s="61">
        <v>100</v>
      </c>
      <c r="I30" s="26">
        <v>100</v>
      </c>
      <c r="J30" s="21">
        <f t="shared" si="0"/>
        <v>10000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44581</v>
      </c>
      <c r="D31" s="25" t="s">
        <v>18</v>
      </c>
      <c r="E31" s="25" t="s">
        <v>622</v>
      </c>
      <c r="F31" s="26">
        <v>100</v>
      </c>
      <c r="G31" s="61">
        <v>50</v>
      </c>
      <c r="H31" s="61">
        <v>-50</v>
      </c>
      <c r="I31" s="26">
        <v>100</v>
      </c>
      <c r="J31" s="21">
        <f t="shared" si="0"/>
        <v>-5000</v>
      </c>
      <c r="K31" s="7"/>
      <c r="V31" s="5">
        <f t="shared" si="2"/>
        <v>0</v>
      </c>
      <c r="W31" s="5">
        <f t="shared" si="3"/>
        <v>1</v>
      </c>
    </row>
    <row r="32" spans="1:23" x14ac:dyDescent="0.3">
      <c r="A32" s="6"/>
      <c r="B32" s="88">
        <v>27</v>
      </c>
      <c r="C32" s="24">
        <v>44582</v>
      </c>
      <c r="D32" s="25" t="s">
        <v>18</v>
      </c>
      <c r="E32" s="25" t="s">
        <v>271</v>
      </c>
      <c r="F32" s="26">
        <v>150</v>
      </c>
      <c r="G32" s="61">
        <v>100</v>
      </c>
      <c r="H32" s="61">
        <v>-50</v>
      </c>
      <c r="I32" s="26">
        <v>100</v>
      </c>
      <c r="J32" s="21">
        <f t="shared" si="0"/>
        <v>-5000</v>
      </c>
      <c r="K32" s="7"/>
      <c r="V32" s="5">
        <f t="shared" si="2"/>
        <v>0</v>
      </c>
      <c r="W32" s="5">
        <f t="shared" si="3"/>
        <v>1</v>
      </c>
    </row>
    <row r="33" spans="1:23" x14ac:dyDescent="0.3">
      <c r="A33" s="6"/>
      <c r="B33" s="17">
        <v>28</v>
      </c>
      <c r="C33" s="24">
        <v>44582</v>
      </c>
      <c r="D33" s="25" t="s">
        <v>18</v>
      </c>
      <c r="E33" s="25" t="s">
        <v>282</v>
      </c>
      <c r="F33" s="26">
        <v>130</v>
      </c>
      <c r="G33" s="61">
        <v>178</v>
      </c>
      <c r="H33" s="61">
        <f>178-130</f>
        <v>48</v>
      </c>
      <c r="I33" s="26">
        <v>100</v>
      </c>
      <c r="J33" s="21">
        <f t="shared" si="0"/>
        <v>4800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44585</v>
      </c>
      <c r="D34" s="25" t="s">
        <v>18</v>
      </c>
      <c r="E34" s="25" t="s">
        <v>622</v>
      </c>
      <c r="F34" s="26">
        <v>130</v>
      </c>
      <c r="G34" s="61">
        <v>115</v>
      </c>
      <c r="H34" s="61">
        <v>-15</v>
      </c>
      <c r="I34" s="26">
        <v>100</v>
      </c>
      <c r="J34" s="21">
        <f t="shared" si="0"/>
        <v>-1500</v>
      </c>
      <c r="K34" s="7"/>
      <c r="V34" s="5">
        <f t="shared" si="2"/>
        <v>0</v>
      </c>
      <c r="W34" s="5">
        <f t="shared" si="3"/>
        <v>1</v>
      </c>
    </row>
    <row r="35" spans="1:23" x14ac:dyDescent="0.3">
      <c r="A35" s="6"/>
      <c r="B35" s="17">
        <v>30</v>
      </c>
      <c r="C35" s="24">
        <v>44585</v>
      </c>
      <c r="D35" s="25" t="s">
        <v>18</v>
      </c>
      <c r="E35" s="25" t="s">
        <v>624</v>
      </c>
      <c r="F35" s="26">
        <v>140</v>
      </c>
      <c r="G35" s="61">
        <v>240</v>
      </c>
      <c r="H35" s="61">
        <v>100</v>
      </c>
      <c r="I35" s="26">
        <v>100</v>
      </c>
      <c r="J35" s="21">
        <f t="shared" si="0"/>
        <v>10000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44586</v>
      </c>
      <c r="D36" s="25" t="s">
        <v>18</v>
      </c>
      <c r="E36" s="25" t="s">
        <v>504</v>
      </c>
      <c r="F36" s="26">
        <v>130</v>
      </c>
      <c r="G36" s="61">
        <v>156</v>
      </c>
      <c r="H36" s="61">
        <v>26</v>
      </c>
      <c r="I36" s="26">
        <v>100</v>
      </c>
      <c r="J36" s="21">
        <f t="shared" si="0"/>
        <v>2600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44586</v>
      </c>
      <c r="D37" s="25" t="s">
        <v>18</v>
      </c>
      <c r="E37" s="25" t="s">
        <v>452</v>
      </c>
      <c r="F37" s="26">
        <v>150</v>
      </c>
      <c r="G37" s="61">
        <v>250</v>
      </c>
      <c r="H37" s="61">
        <v>100</v>
      </c>
      <c r="I37" s="26">
        <v>100</v>
      </c>
      <c r="J37" s="21">
        <f t="shared" si="0"/>
        <v>10000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44588</v>
      </c>
      <c r="D38" s="25" t="s">
        <v>18</v>
      </c>
      <c r="E38" s="25" t="s">
        <v>581</v>
      </c>
      <c r="F38" s="26">
        <v>110</v>
      </c>
      <c r="G38" s="61">
        <v>60</v>
      </c>
      <c r="H38" s="61">
        <v>-50</v>
      </c>
      <c r="I38" s="26">
        <v>100</v>
      </c>
      <c r="J38" s="21">
        <f t="shared" si="0"/>
        <v>-5000</v>
      </c>
      <c r="K38" s="7"/>
      <c r="V38" s="5">
        <f t="shared" si="2"/>
        <v>0</v>
      </c>
      <c r="W38" s="5">
        <f t="shared" si="3"/>
        <v>1</v>
      </c>
    </row>
    <row r="39" spans="1:23" x14ac:dyDescent="0.3">
      <c r="A39" s="6"/>
      <c r="B39" s="17">
        <v>34</v>
      </c>
      <c r="C39" s="24">
        <v>44588</v>
      </c>
      <c r="D39" s="25" t="s">
        <v>18</v>
      </c>
      <c r="E39" s="25" t="s">
        <v>504</v>
      </c>
      <c r="F39" s="26">
        <v>80</v>
      </c>
      <c r="G39" s="61">
        <v>162</v>
      </c>
      <c r="H39" s="61">
        <f>162-80</f>
        <v>82</v>
      </c>
      <c r="I39" s="26">
        <v>100</v>
      </c>
      <c r="J39" s="21">
        <f t="shared" si="0"/>
        <v>8200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44589</v>
      </c>
      <c r="D40" s="25" t="s">
        <v>18</v>
      </c>
      <c r="E40" s="25" t="s">
        <v>626</v>
      </c>
      <c r="F40" s="26">
        <v>170</v>
      </c>
      <c r="G40" s="61">
        <v>120</v>
      </c>
      <c r="H40" s="61">
        <v>-50</v>
      </c>
      <c r="I40" s="26">
        <v>100</v>
      </c>
      <c r="J40" s="21">
        <f t="shared" si="0"/>
        <v>-5000</v>
      </c>
      <c r="K40" s="7"/>
      <c r="V40" s="5">
        <f t="shared" si="2"/>
        <v>0</v>
      </c>
      <c r="W40" s="5">
        <f t="shared" si="3"/>
        <v>1</v>
      </c>
    </row>
    <row r="41" spans="1:23" x14ac:dyDescent="0.3">
      <c r="A41" s="6"/>
      <c r="B41" s="17">
        <v>36</v>
      </c>
      <c r="C41" s="24">
        <v>44592</v>
      </c>
      <c r="D41" s="25" t="s">
        <v>18</v>
      </c>
      <c r="E41" s="25" t="s">
        <v>627</v>
      </c>
      <c r="F41" s="26">
        <v>190</v>
      </c>
      <c r="G41" s="61">
        <v>206</v>
      </c>
      <c r="H41" s="61">
        <f>206-190</f>
        <v>16</v>
      </c>
      <c r="I41" s="26">
        <v>100</v>
      </c>
      <c r="J41" s="21">
        <f t="shared" si="0"/>
        <v>1600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24">
        <v>44592</v>
      </c>
      <c r="D42" s="25" t="s">
        <v>18</v>
      </c>
      <c r="E42" s="25" t="s">
        <v>455</v>
      </c>
      <c r="F42" s="26">
        <v>140</v>
      </c>
      <c r="G42" s="61">
        <v>190</v>
      </c>
      <c r="H42" s="61">
        <v>50</v>
      </c>
      <c r="I42" s="26">
        <v>100</v>
      </c>
      <c r="J42" s="21">
        <f t="shared" si="0"/>
        <v>5000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17">
        <v>38</v>
      </c>
      <c r="C43" s="24"/>
      <c r="D43" s="25"/>
      <c r="E43" s="25"/>
      <c r="F43" s="26"/>
      <c r="G43" s="61"/>
      <c r="H43" s="61"/>
      <c r="I43" s="26"/>
      <c r="J43" s="21">
        <f t="shared" si="0"/>
        <v>0</v>
      </c>
      <c r="K43" s="7"/>
      <c r="V43" s="5">
        <f t="shared" si="2"/>
        <v>0</v>
      </c>
      <c r="W43" s="5">
        <f t="shared" si="3"/>
        <v>0</v>
      </c>
    </row>
    <row r="44" spans="1:23" x14ac:dyDescent="0.3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x14ac:dyDescent="0.3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x14ac:dyDescent="0.3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x14ac:dyDescent="0.3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x14ac:dyDescent="0.3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128400</v>
      </c>
      <c r="K59" s="7"/>
      <c r="V59" s="5">
        <f>SUM(V6:V58)</f>
        <v>29</v>
      </c>
      <c r="W59" s="5">
        <f>SUM(W6:W58)</f>
        <v>8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610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44564</v>
      </c>
      <c r="D67" s="67" t="s">
        <v>18</v>
      </c>
      <c r="E67" s="67" t="s">
        <v>598</v>
      </c>
      <c r="F67" s="68">
        <v>387</v>
      </c>
      <c r="G67" s="68">
        <v>389</v>
      </c>
      <c r="H67" s="97">
        <v>2</v>
      </c>
      <c r="I67" s="68">
        <v>1800</v>
      </c>
      <c r="J67" s="92">
        <f>H67*I67</f>
        <v>3600</v>
      </c>
      <c r="K67" s="7"/>
      <c r="V67" s="5">
        <f t="shared" ref="V67:V124" si="5">IF($J67&gt;0,1,0)</f>
        <v>1</v>
      </c>
      <c r="W67" s="5">
        <f t="shared" ref="W67:W124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44564</v>
      </c>
      <c r="D68" s="67" t="s">
        <v>18</v>
      </c>
      <c r="E68" s="67" t="s">
        <v>374</v>
      </c>
      <c r="F68" s="68">
        <v>1905</v>
      </c>
      <c r="G68" s="97">
        <v>1920</v>
      </c>
      <c r="H68" s="97">
        <f>1920-1905</f>
        <v>15</v>
      </c>
      <c r="I68" s="20">
        <v>325</v>
      </c>
      <c r="J68" s="21">
        <f>H68*I68</f>
        <v>4875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4" si="7">B68+1</f>
        <v>3</v>
      </c>
      <c r="C69" s="18">
        <v>44565</v>
      </c>
      <c r="D69" s="19" t="s">
        <v>69</v>
      </c>
      <c r="E69" s="19" t="s">
        <v>612</v>
      </c>
      <c r="F69" s="35">
        <v>620</v>
      </c>
      <c r="G69" s="97">
        <v>626</v>
      </c>
      <c r="H69" s="35">
        <v>-6</v>
      </c>
      <c r="I69" s="20">
        <v>800</v>
      </c>
      <c r="J69" s="21">
        <f>H69*I69</f>
        <v>-4800</v>
      </c>
      <c r="K69" s="7"/>
      <c r="V69" s="5">
        <f t="shared" si="5"/>
        <v>0</v>
      </c>
      <c r="W69" s="5">
        <f t="shared" si="6"/>
        <v>1</v>
      </c>
    </row>
    <row r="70" spans="1:23" s="36" customFormat="1" x14ac:dyDescent="0.3">
      <c r="A70" s="6"/>
      <c r="B70" s="17">
        <f t="shared" si="7"/>
        <v>4</v>
      </c>
      <c r="C70" s="18">
        <v>44565</v>
      </c>
      <c r="D70" s="19" t="s">
        <v>18</v>
      </c>
      <c r="E70" s="19" t="s">
        <v>71</v>
      </c>
      <c r="F70" s="35">
        <v>2430</v>
      </c>
      <c r="G70" s="97">
        <v>2460</v>
      </c>
      <c r="H70" s="35">
        <v>30</v>
      </c>
      <c r="I70" s="20">
        <v>250</v>
      </c>
      <c r="J70" s="21">
        <f>H70*I70</f>
        <v>7500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44566</v>
      </c>
      <c r="D71" s="19" t="s">
        <v>18</v>
      </c>
      <c r="E71" s="19" t="s">
        <v>613</v>
      </c>
      <c r="F71" s="35">
        <v>426</v>
      </c>
      <c r="G71" s="97">
        <v>438</v>
      </c>
      <c r="H71" s="35">
        <f>438-426</f>
        <v>12</v>
      </c>
      <c r="I71" s="20">
        <v>1500</v>
      </c>
      <c r="J71" s="21">
        <f>H71*I71</f>
        <v>18000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44566</v>
      </c>
      <c r="D72" s="19" t="s">
        <v>18</v>
      </c>
      <c r="E72" s="19" t="s">
        <v>390</v>
      </c>
      <c r="F72" s="20">
        <v>5110</v>
      </c>
      <c r="G72" s="97">
        <v>5070</v>
      </c>
      <c r="H72" s="35">
        <v>-40</v>
      </c>
      <c r="I72" s="20">
        <v>125</v>
      </c>
      <c r="J72" s="21">
        <f t="shared" ref="J72:J124" si="8">I72*H72</f>
        <v>-5000</v>
      </c>
      <c r="K72" s="7"/>
      <c r="V72" s="5">
        <f t="shared" si="5"/>
        <v>0</v>
      </c>
      <c r="W72" s="5">
        <f t="shared" si="6"/>
        <v>1</v>
      </c>
    </row>
    <row r="73" spans="1:23" s="36" customFormat="1" x14ac:dyDescent="0.3">
      <c r="A73" s="6"/>
      <c r="B73" s="17">
        <f t="shared" si="7"/>
        <v>7</v>
      </c>
      <c r="C73" s="18">
        <v>44567</v>
      </c>
      <c r="D73" s="19" t="s">
        <v>69</v>
      </c>
      <c r="E73" s="19" t="s">
        <v>71</v>
      </c>
      <c r="F73" s="35">
        <v>2440</v>
      </c>
      <c r="G73" s="97">
        <v>2425</v>
      </c>
      <c r="H73" s="35">
        <f>2440-2425</f>
        <v>15</v>
      </c>
      <c r="I73" s="20">
        <v>250</v>
      </c>
      <c r="J73" s="21">
        <f t="shared" si="8"/>
        <v>3750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44567</v>
      </c>
      <c r="D74" s="19" t="s">
        <v>69</v>
      </c>
      <c r="E74" s="19" t="s">
        <v>545</v>
      </c>
      <c r="F74" s="35">
        <v>1260</v>
      </c>
      <c r="G74" s="97">
        <v>1256.3</v>
      </c>
      <c r="H74" s="35">
        <f>1260-1256.3</f>
        <v>3.7000000000000455</v>
      </c>
      <c r="I74" s="20">
        <v>475</v>
      </c>
      <c r="J74" s="21">
        <f t="shared" si="8"/>
        <v>1757.5000000000216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44568</v>
      </c>
      <c r="D75" s="19" t="s">
        <v>18</v>
      </c>
      <c r="E75" s="19" t="s">
        <v>181</v>
      </c>
      <c r="F75" s="35">
        <v>2010</v>
      </c>
      <c r="G75" s="97">
        <v>2025</v>
      </c>
      <c r="H75" s="35">
        <v>15</v>
      </c>
      <c r="I75" s="20">
        <v>250</v>
      </c>
      <c r="J75" s="21">
        <f t="shared" si="8"/>
        <v>3750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44568</v>
      </c>
      <c r="D76" s="19" t="s">
        <v>18</v>
      </c>
      <c r="E76" s="19" t="s">
        <v>359</v>
      </c>
      <c r="F76" s="35">
        <v>850</v>
      </c>
      <c r="G76" s="97">
        <v>840</v>
      </c>
      <c r="H76" s="35">
        <v>-10</v>
      </c>
      <c r="I76" s="20">
        <v>700</v>
      </c>
      <c r="J76" s="21">
        <f t="shared" si="8"/>
        <v>-7000</v>
      </c>
      <c r="K76" s="7"/>
      <c r="V76" s="5">
        <f t="shared" si="5"/>
        <v>0</v>
      </c>
      <c r="W76" s="5">
        <f t="shared" si="6"/>
        <v>1</v>
      </c>
    </row>
    <row r="77" spans="1:23" s="36" customFormat="1" x14ac:dyDescent="0.3">
      <c r="A77" s="6"/>
      <c r="B77" s="17">
        <f t="shared" si="7"/>
        <v>11</v>
      </c>
      <c r="C77" s="18">
        <v>44571</v>
      </c>
      <c r="D77" s="19" t="s">
        <v>18</v>
      </c>
      <c r="E77" s="19" t="s">
        <v>398</v>
      </c>
      <c r="F77" s="19">
        <v>1610</v>
      </c>
      <c r="G77" s="97">
        <v>1617</v>
      </c>
      <c r="H77" s="35">
        <v>7</v>
      </c>
      <c r="I77" s="20">
        <v>350</v>
      </c>
      <c r="J77" s="21">
        <f t="shared" si="8"/>
        <v>2450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>
        <v>44571</v>
      </c>
      <c r="D78" s="19" t="s">
        <v>18</v>
      </c>
      <c r="E78" s="19" t="s">
        <v>488</v>
      </c>
      <c r="F78" s="35">
        <v>1420</v>
      </c>
      <c r="G78" s="97">
        <v>1441</v>
      </c>
      <c r="H78" s="35">
        <f>1441-1420</f>
        <v>21</v>
      </c>
      <c r="I78" s="20">
        <v>407</v>
      </c>
      <c r="J78" s="21">
        <f t="shared" si="8"/>
        <v>8547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44572</v>
      </c>
      <c r="D79" s="19" t="s">
        <v>69</v>
      </c>
      <c r="E79" s="19" t="s">
        <v>548</v>
      </c>
      <c r="F79" s="35">
        <v>556</v>
      </c>
      <c r="G79" s="97">
        <v>554</v>
      </c>
      <c r="H79" s="35">
        <v>2</v>
      </c>
      <c r="I79" s="20">
        <v>1250</v>
      </c>
      <c r="J79" s="21">
        <f t="shared" si="8"/>
        <v>2500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44572</v>
      </c>
      <c r="D80" s="19" t="s">
        <v>18</v>
      </c>
      <c r="E80" s="19" t="s">
        <v>310</v>
      </c>
      <c r="F80" s="77">
        <v>1350</v>
      </c>
      <c r="G80" s="97">
        <v>1370</v>
      </c>
      <c r="H80" s="78">
        <v>20</v>
      </c>
      <c r="I80" s="20">
        <v>500</v>
      </c>
      <c r="J80" s="21">
        <f t="shared" si="8"/>
        <v>10000</v>
      </c>
      <c r="K80" s="7"/>
      <c r="V80" s="5">
        <f t="shared" si="5"/>
        <v>1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>
        <v>44573</v>
      </c>
      <c r="D81" s="19" t="s">
        <v>18</v>
      </c>
      <c r="E81" s="19" t="s">
        <v>545</v>
      </c>
      <c r="F81" s="35">
        <v>1310</v>
      </c>
      <c r="G81" s="97">
        <v>1322</v>
      </c>
      <c r="H81" s="78">
        <f>1322-1310</f>
        <v>12</v>
      </c>
      <c r="I81" s="20">
        <v>475</v>
      </c>
      <c r="J81" s="21">
        <f t="shared" si="8"/>
        <v>5700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>
        <v>44573</v>
      </c>
      <c r="D82" s="19" t="s">
        <v>18</v>
      </c>
      <c r="E82" s="19" t="s">
        <v>111</v>
      </c>
      <c r="F82" s="35">
        <v>512</v>
      </c>
      <c r="G82" s="97">
        <v>514</v>
      </c>
      <c r="H82" s="78">
        <v>2</v>
      </c>
      <c r="I82" s="20">
        <v>1500</v>
      </c>
      <c r="J82" s="21">
        <f t="shared" si="8"/>
        <v>3000</v>
      </c>
      <c r="K82" s="7"/>
      <c r="V82" s="5">
        <f t="shared" si="5"/>
        <v>1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>
        <v>44574</v>
      </c>
      <c r="D83" s="19" t="s">
        <v>69</v>
      </c>
      <c r="E83" s="19" t="s">
        <v>374</v>
      </c>
      <c r="F83" s="35">
        <v>1925</v>
      </c>
      <c r="G83" s="97">
        <v>1916.55</v>
      </c>
      <c r="H83" s="35">
        <f>1925-1916.55</f>
        <v>8.4500000000000455</v>
      </c>
      <c r="I83" s="20">
        <v>500</v>
      </c>
      <c r="J83" s="21">
        <f t="shared" si="8"/>
        <v>4225.0000000000227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>
        <v>44574</v>
      </c>
      <c r="D84" s="19" t="s">
        <v>18</v>
      </c>
      <c r="E84" s="19" t="s">
        <v>617</v>
      </c>
      <c r="F84" s="35">
        <v>526</v>
      </c>
      <c r="G84" s="97">
        <v>529</v>
      </c>
      <c r="H84" s="35">
        <v>3</v>
      </c>
      <c r="I84" s="20">
        <v>1150</v>
      </c>
      <c r="J84" s="21">
        <f t="shared" si="8"/>
        <v>3450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>
        <v>44575</v>
      </c>
      <c r="D85" s="19" t="s">
        <v>18</v>
      </c>
      <c r="E85" s="19" t="s">
        <v>544</v>
      </c>
      <c r="F85" s="35">
        <v>1635</v>
      </c>
      <c r="G85" s="97">
        <v>1657</v>
      </c>
      <c r="H85" s="35">
        <f>1657-1635</f>
        <v>22</v>
      </c>
      <c r="I85" s="20">
        <v>350</v>
      </c>
      <c r="J85" s="21">
        <f t="shared" si="8"/>
        <v>7700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>
        <v>44575</v>
      </c>
      <c r="D86" s="19" t="s">
        <v>18</v>
      </c>
      <c r="E86" s="19" t="s">
        <v>618</v>
      </c>
      <c r="F86" s="35">
        <v>1475</v>
      </c>
      <c r="G86" s="97">
        <v>1475</v>
      </c>
      <c r="H86" s="35">
        <v>0</v>
      </c>
      <c r="I86" s="20">
        <v>350</v>
      </c>
      <c r="J86" s="21">
        <f t="shared" si="8"/>
        <v>0</v>
      </c>
      <c r="K86" s="7"/>
      <c r="V86" s="5">
        <f t="shared" si="5"/>
        <v>0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>
        <v>44578</v>
      </c>
      <c r="D87" s="19" t="s">
        <v>18</v>
      </c>
      <c r="E87" s="19" t="s">
        <v>561</v>
      </c>
      <c r="F87" s="35">
        <v>1880</v>
      </c>
      <c r="G87" s="97">
        <v>1900</v>
      </c>
      <c r="H87" s="35">
        <f>1900-1880</f>
        <v>20</v>
      </c>
      <c r="I87" s="20">
        <v>500</v>
      </c>
      <c r="J87" s="21">
        <f t="shared" si="8"/>
        <v>10000</v>
      </c>
      <c r="K87" s="7"/>
      <c r="V87" s="5">
        <f t="shared" si="5"/>
        <v>1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>
        <v>44578</v>
      </c>
      <c r="D88" s="19" t="s">
        <v>69</v>
      </c>
      <c r="E88" s="19" t="s">
        <v>448</v>
      </c>
      <c r="F88" s="35">
        <v>2640</v>
      </c>
      <c r="G88" s="97">
        <v>2660</v>
      </c>
      <c r="H88" s="35">
        <v>-20</v>
      </c>
      <c r="I88" s="20">
        <v>250</v>
      </c>
      <c r="J88" s="21">
        <f t="shared" si="8"/>
        <v>-5000</v>
      </c>
      <c r="K88" s="7"/>
      <c r="V88" s="5">
        <f t="shared" si="5"/>
        <v>0</v>
      </c>
      <c r="W88" s="5">
        <f t="shared" si="6"/>
        <v>1</v>
      </c>
    </row>
    <row r="89" spans="1:23" s="36" customFormat="1" x14ac:dyDescent="0.3">
      <c r="A89" s="6"/>
      <c r="B89" s="17">
        <f t="shared" si="7"/>
        <v>23</v>
      </c>
      <c r="C89" s="18">
        <v>44579</v>
      </c>
      <c r="D89" s="19" t="s">
        <v>18</v>
      </c>
      <c r="E89" s="19" t="s">
        <v>548</v>
      </c>
      <c r="F89" s="35">
        <v>612</v>
      </c>
      <c r="G89" s="97">
        <v>624</v>
      </c>
      <c r="H89" s="35">
        <v>12</v>
      </c>
      <c r="I89" s="20">
        <v>1250</v>
      </c>
      <c r="J89" s="21">
        <f t="shared" si="8"/>
        <v>15000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>
        <v>44579</v>
      </c>
      <c r="D90" s="19" t="s">
        <v>69</v>
      </c>
      <c r="E90" s="19" t="s">
        <v>543</v>
      </c>
      <c r="F90" s="35">
        <v>1002</v>
      </c>
      <c r="G90" s="97">
        <v>982</v>
      </c>
      <c r="H90" s="35">
        <f>1002-982</f>
        <v>20</v>
      </c>
      <c r="I90" s="20">
        <v>850</v>
      </c>
      <c r="J90" s="21">
        <f t="shared" si="8"/>
        <v>17000</v>
      </c>
      <c r="K90" s="7"/>
      <c r="V90" s="5">
        <f t="shared" si="5"/>
        <v>1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>
        <v>44580</v>
      </c>
      <c r="D91" s="19" t="s">
        <v>18</v>
      </c>
      <c r="E91" s="19" t="s">
        <v>621</v>
      </c>
      <c r="F91" s="35">
        <v>1500</v>
      </c>
      <c r="G91" s="97">
        <v>1515</v>
      </c>
      <c r="H91" s="35">
        <v>15</v>
      </c>
      <c r="I91" s="20">
        <v>400</v>
      </c>
      <c r="J91" s="21">
        <f t="shared" si="8"/>
        <v>6000</v>
      </c>
      <c r="K91" s="7"/>
      <c r="V91" s="5">
        <f t="shared" si="5"/>
        <v>1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>
        <v>44580</v>
      </c>
      <c r="D92" s="19" t="s">
        <v>18</v>
      </c>
      <c r="E92" s="19" t="s">
        <v>489</v>
      </c>
      <c r="F92" s="35">
        <v>856</v>
      </c>
      <c r="G92" s="97">
        <v>866</v>
      </c>
      <c r="H92" s="35">
        <v>10</v>
      </c>
      <c r="I92" s="20">
        <v>875</v>
      </c>
      <c r="J92" s="21">
        <f t="shared" si="8"/>
        <v>8750</v>
      </c>
      <c r="K92" s="7"/>
      <c r="V92" s="5">
        <f t="shared" si="5"/>
        <v>1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>
        <v>44581</v>
      </c>
      <c r="D93" s="19" t="s">
        <v>18</v>
      </c>
      <c r="E93" s="19" t="s">
        <v>623</v>
      </c>
      <c r="F93" s="35">
        <v>2415</v>
      </c>
      <c r="G93" s="97">
        <v>2446</v>
      </c>
      <c r="H93" s="35">
        <f>2446-2415</f>
        <v>31</v>
      </c>
      <c r="I93" s="20">
        <v>275</v>
      </c>
      <c r="J93" s="21">
        <f t="shared" si="8"/>
        <v>8525</v>
      </c>
      <c r="K93" s="7"/>
      <c r="V93" s="5">
        <f t="shared" si="5"/>
        <v>1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>
        <v>44581</v>
      </c>
      <c r="D94" s="19" t="s">
        <v>18</v>
      </c>
      <c r="E94" s="19" t="s">
        <v>602</v>
      </c>
      <c r="F94" s="35">
        <v>1090</v>
      </c>
      <c r="G94" s="97">
        <v>1080</v>
      </c>
      <c r="H94" s="35">
        <v>-10</v>
      </c>
      <c r="I94" s="20">
        <v>850</v>
      </c>
      <c r="J94" s="21">
        <f t="shared" si="8"/>
        <v>-8500</v>
      </c>
      <c r="K94" s="7"/>
      <c r="V94" s="5">
        <f t="shared" si="5"/>
        <v>0</v>
      </c>
      <c r="W94" s="5">
        <f t="shared" si="6"/>
        <v>1</v>
      </c>
    </row>
    <row r="95" spans="1:23" s="36" customFormat="1" x14ac:dyDescent="0.3">
      <c r="A95" s="6"/>
      <c r="B95" s="17">
        <f t="shared" si="7"/>
        <v>29</v>
      </c>
      <c r="C95" s="18">
        <v>44582</v>
      </c>
      <c r="D95" s="19" t="s">
        <v>69</v>
      </c>
      <c r="E95" s="19" t="s">
        <v>327</v>
      </c>
      <c r="F95" s="35">
        <v>893</v>
      </c>
      <c r="G95" s="97">
        <v>888</v>
      </c>
      <c r="H95" s="35">
        <v>5</v>
      </c>
      <c r="I95" s="20">
        <v>500</v>
      </c>
      <c r="J95" s="21">
        <f t="shared" si="8"/>
        <v>2500</v>
      </c>
      <c r="K95" s="7"/>
      <c r="V95" s="5">
        <f t="shared" si="5"/>
        <v>1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>
        <v>44582</v>
      </c>
      <c r="D96" s="19" t="s">
        <v>18</v>
      </c>
      <c r="E96" s="19" t="s">
        <v>302</v>
      </c>
      <c r="F96" s="35">
        <v>727</v>
      </c>
      <c r="G96" s="97">
        <v>737</v>
      </c>
      <c r="H96" s="35">
        <v>10</v>
      </c>
      <c r="I96" s="20">
        <v>675</v>
      </c>
      <c r="J96" s="21">
        <f t="shared" si="8"/>
        <v>6750</v>
      </c>
      <c r="K96" s="7"/>
      <c r="V96" s="5">
        <f t="shared" si="5"/>
        <v>1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>
        <v>44585</v>
      </c>
      <c r="D97" s="19" t="s">
        <v>18</v>
      </c>
      <c r="E97" s="19" t="s">
        <v>447</v>
      </c>
      <c r="F97" s="35">
        <v>885</v>
      </c>
      <c r="G97" s="97">
        <v>894</v>
      </c>
      <c r="H97" s="35">
        <f>894-885</f>
        <v>9</v>
      </c>
      <c r="I97" s="20">
        <v>650</v>
      </c>
      <c r="J97" s="21">
        <f t="shared" si="8"/>
        <v>5850</v>
      </c>
      <c r="K97" s="7"/>
      <c r="V97" s="5">
        <f t="shared" si="5"/>
        <v>1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>
        <v>44585</v>
      </c>
      <c r="D98" s="19" t="s">
        <v>69</v>
      </c>
      <c r="E98" s="19" t="s">
        <v>625</v>
      </c>
      <c r="F98" s="35">
        <v>140.5</v>
      </c>
      <c r="G98" s="97">
        <v>136.5</v>
      </c>
      <c r="H98" s="35">
        <v>4</v>
      </c>
      <c r="I98" s="20">
        <v>2900</v>
      </c>
      <c r="J98" s="21">
        <f t="shared" si="8"/>
        <v>11600</v>
      </c>
      <c r="K98" s="7"/>
      <c r="V98" s="5">
        <f t="shared" si="5"/>
        <v>1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>
        <v>44586</v>
      </c>
      <c r="D99" s="19" t="s">
        <v>18</v>
      </c>
      <c r="E99" s="19" t="s">
        <v>294</v>
      </c>
      <c r="F99" s="35">
        <v>1960</v>
      </c>
      <c r="G99" s="97">
        <v>1990</v>
      </c>
      <c r="H99" s="35">
        <v>30</v>
      </c>
      <c r="I99" s="20">
        <v>550</v>
      </c>
      <c r="J99" s="21">
        <f t="shared" si="8"/>
        <v>16500</v>
      </c>
      <c r="K99" s="7"/>
      <c r="V99" s="5">
        <f t="shared" si="5"/>
        <v>1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>
        <v>44586</v>
      </c>
      <c r="D100" s="19" t="s">
        <v>18</v>
      </c>
      <c r="E100" s="19" t="s">
        <v>70</v>
      </c>
      <c r="F100" s="35">
        <v>740</v>
      </c>
      <c r="G100" s="97">
        <v>749.9</v>
      </c>
      <c r="H100" s="35">
        <v>9.9</v>
      </c>
      <c r="I100" s="20">
        <v>1200</v>
      </c>
      <c r="J100" s="21">
        <f t="shared" si="8"/>
        <v>11880</v>
      </c>
      <c r="K100" s="7"/>
      <c r="V100" s="5">
        <f t="shared" si="5"/>
        <v>1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>
        <v>44588</v>
      </c>
      <c r="D101" s="19" t="s">
        <v>18</v>
      </c>
      <c r="E101" s="19" t="s">
        <v>447</v>
      </c>
      <c r="F101" s="35">
        <v>917</v>
      </c>
      <c r="G101" s="97">
        <v>923.9</v>
      </c>
      <c r="H101" s="35">
        <f>923.9-917</f>
        <v>6.8999999999999773</v>
      </c>
      <c r="I101" s="20">
        <v>650</v>
      </c>
      <c r="J101" s="21">
        <f t="shared" si="8"/>
        <v>4484.9999999999854</v>
      </c>
      <c r="K101" s="7"/>
      <c r="V101" s="5">
        <f t="shared" si="5"/>
        <v>1</v>
      </c>
      <c r="W101" s="5">
        <f t="shared" si="6"/>
        <v>0</v>
      </c>
    </row>
    <row r="102" spans="1:23" s="36" customFormat="1" ht="15" thickBot="1" x14ac:dyDescent="0.35">
      <c r="A102" s="6"/>
      <c r="B102" s="17">
        <v>36</v>
      </c>
      <c r="C102" s="18">
        <v>44588</v>
      </c>
      <c r="D102" s="19" t="s">
        <v>69</v>
      </c>
      <c r="E102" s="19" t="s">
        <v>621</v>
      </c>
      <c r="F102" s="35">
        <v>1250</v>
      </c>
      <c r="G102" s="97">
        <v>1242</v>
      </c>
      <c r="H102" s="35">
        <v>8</v>
      </c>
      <c r="I102" s="20">
        <v>400</v>
      </c>
      <c r="J102" s="21">
        <f t="shared" si="8"/>
        <v>3200</v>
      </c>
      <c r="K102" s="7"/>
      <c r="V102" s="5"/>
      <c r="W102" s="5"/>
    </row>
    <row r="103" spans="1:23" s="36" customFormat="1" hidden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hidden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hidden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hidden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>
        <f t="shared" si="5"/>
        <v>0</v>
      </c>
      <c r="W106" s="5">
        <f t="shared" si="6"/>
        <v>0</v>
      </c>
    </row>
    <row r="107" spans="1:23" s="36" customFormat="1" hidden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>
        <f t="shared" si="5"/>
        <v>0</v>
      </c>
      <c r="W107" s="5">
        <f t="shared" si="6"/>
        <v>0</v>
      </c>
    </row>
    <row r="108" spans="1:23" s="36" customFormat="1" hidden="1" x14ac:dyDescent="0.3">
      <c r="A108" s="6"/>
      <c r="B108" s="17">
        <f t="shared" si="7"/>
        <v>42</v>
      </c>
      <c r="C108" s="18"/>
      <c r="D108" s="19"/>
      <c r="E108" s="19"/>
      <c r="F108" s="35"/>
      <c r="G108" s="35"/>
      <c r="H108" s="35"/>
      <c r="I108" s="20"/>
      <c r="J108" s="21">
        <f t="shared" si="8"/>
        <v>0</v>
      </c>
      <c r="K108" s="7"/>
      <c r="V108" s="5">
        <f t="shared" si="5"/>
        <v>0</v>
      </c>
      <c r="W108" s="5">
        <f t="shared" si="6"/>
        <v>0</v>
      </c>
    </row>
    <row r="109" spans="1:23" s="36" customFormat="1" hidden="1" x14ac:dyDescent="0.3">
      <c r="A109" s="6"/>
      <c r="B109" s="17">
        <f t="shared" si="7"/>
        <v>43</v>
      </c>
      <c r="C109" s="18"/>
      <c r="D109" s="19"/>
      <c r="E109" s="19"/>
      <c r="F109" s="35"/>
      <c r="G109" s="35"/>
      <c r="H109" s="35"/>
      <c r="I109" s="20"/>
      <c r="J109" s="21">
        <f t="shared" si="8"/>
        <v>0</v>
      </c>
      <c r="K109" s="7"/>
      <c r="V109" s="5">
        <f t="shared" si="5"/>
        <v>0</v>
      </c>
      <c r="W109" s="5">
        <f t="shared" si="6"/>
        <v>0</v>
      </c>
    </row>
    <row r="110" spans="1:23" s="36" customFormat="1" hidden="1" x14ac:dyDescent="0.3">
      <c r="A110" s="6"/>
      <c r="B110" s="17">
        <f t="shared" si="7"/>
        <v>44</v>
      </c>
      <c r="C110" s="18"/>
      <c r="D110" s="19"/>
      <c r="E110" s="19"/>
      <c r="F110" s="35"/>
      <c r="G110" s="35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idden="1" x14ac:dyDescent="0.3">
      <c r="A111" s="6"/>
      <c r="B111" s="17">
        <f t="shared" si="7"/>
        <v>45</v>
      </c>
      <c r="C111" s="18"/>
      <c r="D111" s="19"/>
      <c r="E111" s="19"/>
      <c r="F111" s="35"/>
      <c r="G111" s="35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idden="1" x14ac:dyDescent="0.3">
      <c r="A112" s="6"/>
      <c r="B112" s="17">
        <f t="shared" si="7"/>
        <v>46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idden="1" x14ac:dyDescent="0.3">
      <c r="A113" s="6"/>
      <c r="B113" s="17">
        <f t="shared" si="7"/>
        <v>47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idden="1" x14ac:dyDescent="0.3">
      <c r="A114" s="6"/>
      <c r="B114" s="17">
        <f t="shared" si="7"/>
        <v>48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idden="1" x14ac:dyDescent="0.3">
      <c r="A115" s="6"/>
      <c r="B115" s="17">
        <f t="shared" si="7"/>
        <v>49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idden="1" x14ac:dyDescent="0.3">
      <c r="A116" s="6"/>
      <c r="B116" s="17">
        <f t="shared" si="7"/>
        <v>50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idden="1" x14ac:dyDescent="0.3">
      <c r="A117" s="6"/>
      <c r="B117" s="17">
        <f t="shared" si="7"/>
        <v>51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idden="1" x14ac:dyDescent="0.3">
      <c r="A118" s="6"/>
      <c r="B118" s="17">
        <f t="shared" si="7"/>
        <v>52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idden="1" x14ac:dyDescent="0.3">
      <c r="A119" s="6"/>
      <c r="B119" s="17">
        <f t="shared" si="7"/>
        <v>53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idden="1" x14ac:dyDescent="0.3">
      <c r="A120" s="6"/>
      <c r="B120" s="17">
        <f t="shared" si="7"/>
        <v>54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idden="1" x14ac:dyDescent="0.3">
      <c r="A121" s="6"/>
      <c r="B121" s="17">
        <f t="shared" si="7"/>
        <v>55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idden="1" x14ac:dyDescent="0.3">
      <c r="A122" s="6"/>
      <c r="B122" s="17">
        <f t="shared" si="7"/>
        <v>56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idden="1" x14ac:dyDescent="0.3">
      <c r="A123" s="6"/>
      <c r="B123" s="17">
        <f t="shared" si="7"/>
        <v>57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hidden="1" thickBot="1" x14ac:dyDescent="0.35">
      <c r="A124" s="6"/>
      <c r="B124" s="17">
        <f t="shared" si="7"/>
        <v>58</v>
      </c>
      <c r="C124" s="79"/>
      <c r="D124" s="80"/>
      <c r="E124" s="80"/>
      <c r="F124" s="81"/>
      <c r="G124" s="81"/>
      <c r="H124" s="80"/>
      <c r="I124" s="81"/>
      <c r="J124" s="82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24" thickBot="1" x14ac:dyDescent="0.5">
      <c r="A125" s="6"/>
      <c r="B125" s="144" t="s">
        <v>22</v>
      </c>
      <c r="C125" s="145"/>
      <c r="D125" s="145"/>
      <c r="E125" s="145"/>
      <c r="F125" s="145"/>
      <c r="G125" s="145"/>
      <c r="H125" s="146"/>
      <c r="I125" s="83" t="s">
        <v>23</v>
      </c>
      <c r="J125" s="84">
        <f>SUM(J67:J124)</f>
        <v>188544.50000000006</v>
      </c>
      <c r="K125" s="7"/>
      <c r="L125" s="5"/>
      <c r="M125" s="5"/>
      <c r="N125" s="5"/>
      <c r="O125" s="5"/>
      <c r="P125" s="5"/>
      <c r="Q125" s="5"/>
      <c r="R125" s="5"/>
      <c r="V125" s="36">
        <f>SUM(V67:V124)</f>
        <v>29</v>
      </c>
      <c r="W125" s="36">
        <f>SUM(W67:W124)</f>
        <v>5</v>
      </c>
    </row>
    <row r="126" spans="1:23" s="36" customFormat="1" ht="30" customHeight="1" thickBot="1" x14ac:dyDescent="0.35">
      <c r="A126" s="30"/>
      <c r="B126" s="31"/>
      <c r="C126" s="31"/>
      <c r="D126" s="31"/>
      <c r="E126" s="31"/>
      <c r="F126" s="31"/>
      <c r="G126" s="31"/>
      <c r="H126" s="32"/>
      <c r="I126" s="31"/>
      <c r="J126" s="32"/>
      <c r="K126" s="33"/>
      <c r="L126" s="5"/>
      <c r="M126" s="5"/>
      <c r="N126" s="5"/>
      <c r="O126" s="5"/>
      <c r="P126" s="5"/>
      <c r="Q126" s="5"/>
      <c r="R126" s="5"/>
    </row>
    <row r="127" spans="1:23" ht="15" thickBot="1" x14ac:dyDescent="0.35"/>
    <row r="128" spans="1:23" s="36" customFormat="1" ht="30" customHeight="1" thickBot="1" x14ac:dyDescent="0.35">
      <c r="A128" s="1"/>
      <c r="B128" s="2"/>
      <c r="C128" s="2"/>
      <c r="D128" s="2"/>
      <c r="E128" s="2"/>
      <c r="F128" s="2"/>
      <c r="G128" s="2"/>
      <c r="H128" s="3"/>
      <c r="I128" s="2"/>
      <c r="J128" s="3"/>
      <c r="K128" s="4"/>
    </row>
    <row r="129" spans="1:23" s="36" customFormat="1" ht="25.2" thickBot="1" x14ac:dyDescent="0.35">
      <c r="A129" s="6" t="s">
        <v>1</v>
      </c>
      <c r="B129" s="119" t="s">
        <v>2</v>
      </c>
      <c r="C129" s="120"/>
      <c r="D129" s="120"/>
      <c r="E129" s="120"/>
      <c r="F129" s="120"/>
      <c r="G129" s="120"/>
      <c r="H129" s="120"/>
      <c r="I129" s="120"/>
      <c r="J129" s="121"/>
      <c r="K129" s="7"/>
    </row>
    <row r="130" spans="1:23" s="36" customFormat="1" ht="16.2" thickBot="1" x14ac:dyDescent="0.35">
      <c r="A130" s="6"/>
      <c r="B130" s="168" t="s">
        <v>611</v>
      </c>
      <c r="C130" s="169"/>
      <c r="D130" s="169"/>
      <c r="E130" s="169"/>
      <c r="F130" s="169"/>
      <c r="G130" s="169"/>
      <c r="H130" s="169"/>
      <c r="I130" s="169"/>
      <c r="J130" s="170"/>
      <c r="K130" s="7"/>
      <c r="L130" s="22"/>
    </row>
    <row r="131" spans="1:23" s="36" customFormat="1" ht="16.2" thickBot="1" x14ac:dyDescent="0.35">
      <c r="A131" s="6"/>
      <c r="B131" s="106" t="s">
        <v>215</v>
      </c>
      <c r="C131" s="107"/>
      <c r="D131" s="107"/>
      <c r="E131" s="107"/>
      <c r="F131" s="107"/>
      <c r="G131" s="107"/>
      <c r="H131" s="107"/>
      <c r="I131" s="107"/>
      <c r="J131" s="108"/>
      <c r="K131" s="7"/>
    </row>
    <row r="132" spans="1:23" s="22" customFormat="1" ht="15" thickBot="1" x14ac:dyDescent="0.35">
      <c r="A132" s="69"/>
      <c r="B132" s="70" t="s">
        <v>9</v>
      </c>
      <c r="C132" s="71" t="s">
        <v>10</v>
      </c>
      <c r="D132" s="72" t="s">
        <v>11</v>
      </c>
      <c r="E132" s="72" t="s">
        <v>12</v>
      </c>
      <c r="F132" s="73" t="s">
        <v>65</v>
      </c>
      <c r="G132" s="73" t="s">
        <v>66</v>
      </c>
      <c r="H132" s="74" t="s">
        <v>67</v>
      </c>
      <c r="I132" s="73" t="s">
        <v>68</v>
      </c>
      <c r="J132" s="75" t="s">
        <v>17</v>
      </c>
      <c r="K132" s="76"/>
      <c r="L132" s="36"/>
      <c r="M132" s="36"/>
      <c r="N132" s="36"/>
      <c r="O132" s="36" t="s">
        <v>21</v>
      </c>
      <c r="P132" s="36"/>
      <c r="Q132" s="36"/>
      <c r="R132" s="36"/>
      <c r="V132" s="5" t="s">
        <v>5</v>
      </c>
      <c r="W132" s="5" t="s">
        <v>6</v>
      </c>
    </row>
    <row r="133" spans="1:23" s="36" customFormat="1" x14ac:dyDescent="0.3">
      <c r="A133" s="6"/>
      <c r="B133" s="14">
        <v>1</v>
      </c>
      <c r="C133" s="93">
        <v>44564</v>
      </c>
      <c r="D133" s="94" t="s">
        <v>18</v>
      </c>
      <c r="E133" s="94" t="s">
        <v>476</v>
      </c>
      <c r="F133" s="60">
        <v>80</v>
      </c>
      <c r="G133" s="60">
        <v>110</v>
      </c>
      <c r="H133" s="60">
        <v>30</v>
      </c>
      <c r="I133" s="15">
        <v>300</v>
      </c>
      <c r="J133" s="16">
        <f t="shared" ref="J133:J178" si="9">I133*H133</f>
        <v>9000</v>
      </c>
      <c r="K133" s="7"/>
      <c r="V133" s="5">
        <f t="shared" ref="V133:V178" si="10">IF($J133&gt;0,1,0)</f>
        <v>1</v>
      </c>
      <c r="W133" s="5">
        <f t="shared" ref="W133:W178" si="11">IF($J133&lt;0,1,0)</f>
        <v>0</v>
      </c>
    </row>
    <row r="134" spans="1:23" s="36" customFormat="1" x14ac:dyDescent="0.3">
      <c r="A134" s="6"/>
      <c r="B134" s="17">
        <f>B133+1</f>
        <v>2</v>
      </c>
      <c r="C134" s="18">
        <v>44564</v>
      </c>
      <c r="D134" s="19" t="s">
        <v>18</v>
      </c>
      <c r="E134" s="19" t="s">
        <v>479</v>
      </c>
      <c r="F134" s="35">
        <v>80</v>
      </c>
      <c r="G134" s="35">
        <v>110</v>
      </c>
      <c r="H134" s="35">
        <v>30</v>
      </c>
      <c r="I134" s="20">
        <v>300</v>
      </c>
      <c r="J134" s="21">
        <f t="shared" si="9"/>
        <v>9000</v>
      </c>
      <c r="K134" s="7"/>
      <c r="L134" s="36" t="s">
        <v>21</v>
      </c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ref="B135:B155" si="12">B134+1</f>
        <v>3</v>
      </c>
      <c r="C135" s="18">
        <v>44565</v>
      </c>
      <c r="D135" s="19" t="s">
        <v>18</v>
      </c>
      <c r="E135" s="19" t="s">
        <v>482</v>
      </c>
      <c r="F135" s="35">
        <v>80</v>
      </c>
      <c r="G135" s="35">
        <v>107</v>
      </c>
      <c r="H135" s="35">
        <f>107-80</f>
        <v>27</v>
      </c>
      <c r="I135" s="20">
        <v>300</v>
      </c>
      <c r="J135" s="21">
        <f t="shared" si="9"/>
        <v>8100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4</v>
      </c>
      <c r="C136" s="18">
        <v>44565</v>
      </c>
      <c r="D136" s="19" t="s">
        <v>18</v>
      </c>
      <c r="E136" s="19" t="s">
        <v>482</v>
      </c>
      <c r="F136" s="35">
        <v>90</v>
      </c>
      <c r="G136" s="35">
        <v>102</v>
      </c>
      <c r="H136" s="35">
        <f>102-90</f>
        <v>12</v>
      </c>
      <c r="I136" s="20">
        <v>300</v>
      </c>
      <c r="J136" s="21">
        <f t="shared" si="9"/>
        <v>3600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5</v>
      </c>
      <c r="C137" s="18">
        <v>44565</v>
      </c>
      <c r="D137" s="19" t="s">
        <v>18</v>
      </c>
      <c r="E137" s="19" t="s">
        <v>482</v>
      </c>
      <c r="F137" s="35">
        <v>90</v>
      </c>
      <c r="G137" s="35">
        <v>75</v>
      </c>
      <c r="H137" s="35">
        <v>-15</v>
      </c>
      <c r="I137" s="20">
        <v>300</v>
      </c>
      <c r="J137" s="21">
        <f t="shared" si="9"/>
        <v>-4500</v>
      </c>
      <c r="K137" s="7"/>
      <c r="V137" s="5">
        <f t="shared" si="10"/>
        <v>0</v>
      </c>
      <c r="W137" s="5">
        <f t="shared" si="11"/>
        <v>1</v>
      </c>
    </row>
    <row r="138" spans="1:23" s="36" customFormat="1" x14ac:dyDescent="0.3">
      <c r="A138" s="6"/>
      <c r="B138" s="17">
        <f t="shared" si="12"/>
        <v>6</v>
      </c>
      <c r="C138" s="18">
        <v>44566</v>
      </c>
      <c r="D138" s="19" t="s">
        <v>18</v>
      </c>
      <c r="E138" s="19" t="s">
        <v>477</v>
      </c>
      <c r="F138" s="20">
        <v>85</v>
      </c>
      <c r="G138" s="35">
        <v>100</v>
      </c>
      <c r="H138" s="35">
        <v>15</v>
      </c>
      <c r="I138" s="20">
        <v>300</v>
      </c>
      <c r="J138" s="21">
        <f t="shared" si="9"/>
        <v>4500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7</v>
      </c>
      <c r="C139" s="18">
        <v>44566</v>
      </c>
      <c r="D139" s="19" t="s">
        <v>18</v>
      </c>
      <c r="E139" s="19" t="s">
        <v>477</v>
      </c>
      <c r="F139" s="35">
        <v>80</v>
      </c>
      <c r="G139" s="35">
        <v>65</v>
      </c>
      <c r="H139" s="35">
        <v>-15</v>
      </c>
      <c r="I139" s="20">
        <v>300</v>
      </c>
      <c r="J139" s="21">
        <f t="shared" si="9"/>
        <v>-4500</v>
      </c>
      <c r="K139" s="7"/>
      <c r="V139" s="5">
        <f t="shared" si="10"/>
        <v>0</v>
      </c>
      <c r="W139" s="5">
        <f t="shared" si="11"/>
        <v>1</v>
      </c>
    </row>
    <row r="140" spans="1:23" s="36" customFormat="1" x14ac:dyDescent="0.3">
      <c r="A140" s="6"/>
      <c r="B140" s="17">
        <f t="shared" si="12"/>
        <v>8</v>
      </c>
      <c r="C140" s="18">
        <v>44567</v>
      </c>
      <c r="D140" s="19" t="s">
        <v>18</v>
      </c>
      <c r="E140" s="19" t="s">
        <v>485</v>
      </c>
      <c r="F140" s="35">
        <v>80</v>
      </c>
      <c r="G140" s="35">
        <v>91.7</v>
      </c>
      <c r="H140" s="35">
        <v>11.7</v>
      </c>
      <c r="I140" s="20">
        <v>300</v>
      </c>
      <c r="J140" s="21">
        <f t="shared" si="9"/>
        <v>3510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9</v>
      </c>
      <c r="C141" s="18">
        <v>44567</v>
      </c>
      <c r="D141" s="19" t="s">
        <v>18</v>
      </c>
      <c r="E141" s="19" t="s">
        <v>485</v>
      </c>
      <c r="F141" s="35">
        <v>75</v>
      </c>
      <c r="G141" s="35">
        <v>102</v>
      </c>
      <c r="H141" s="35">
        <f>102-75</f>
        <v>27</v>
      </c>
      <c r="I141" s="20">
        <v>300</v>
      </c>
      <c r="J141" s="21">
        <f t="shared" si="9"/>
        <v>8100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10</v>
      </c>
      <c r="C142" s="18">
        <v>44568</v>
      </c>
      <c r="D142" s="19" t="s">
        <v>18</v>
      </c>
      <c r="E142" s="19" t="s">
        <v>481</v>
      </c>
      <c r="F142" s="35">
        <v>95</v>
      </c>
      <c r="G142" s="35">
        <v>121</v>
      </c>
      <c r="H142" s="35">
        <f>121-95</f>
        <v>26</v>
      </c>
      <c r="I142" s="20">
        <v>300</v>
      </c>
      <c r="J142" s="21">
        <f t="shared" si="9"/>
        <v>7800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11</v>
      </c>
      <c r="C143" s="18">
        <v>44568</v>
      </c>
      <c r="D143" s="19" t="s">
        <v>18</v>
      </c>
      <c r="E143" s="19" t="s">
        <v>526</v>
      </c>
      <c r="F143" s="19">
        <v>90</v>
      </c>
      <c r="G143" s="35">
        <v>97</v>
      </c>
      <c r="H143" s="35">
        <v>7</v>
      </c>
      <c r="I143" s="20">
        <v>300</v>
      </c>
      <c r="J143" s="21">
        <f t="shared" si="9"/>
        <v>2100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12</v>
      </c>
      <c r="C144" s="18">
        <v>44571</v>
      </c>
      <c r="D144" s="19" t="s">
        <v>18</v>
      </c>
      <c r="E144" s="19" t="s">
        <v>526</v>
      </c>
      <c r="F144" s="35">
        <v>100</v>
      </c>
      <c r="G144" s="35">
        <v>120</v>
      </c>
      <c r="H144" s="35">
        <v>20</v>
      </c>
      <c r="I144" s="20">
        <v>300</v>
      </c>
      <c r="J144" s="21">
        <f t="shared" si="9"/>
        <v>6000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13</v>
      </c>
      <c r="C145" s="18">
        <v>44571</v>
      </c>
      <c r="D145" s="19" t="s">
        <v>18</v>
      </c>
      <c r="E145" s="19" t="s">
        <v>526</v>
      </c>
      <c r="F145" s="35">
        <v>85</v>
      </c>
      <c r="G145" s="35">
        <v>105</v>
      </c>
      <c r="H145" s="35">
        <f>105-85</f>
        <v>20</v>
      </c>
      <c r="I145" s="20">
        <v>300</v>
      </c>
      <c r="J145" s="21">
        <f t="shared" si="9"/>
        <v>6000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14</v>
      </c>
      <c r="C146" s="18">
        <v>44572</v>
      </c>
      <c r="D146" s="19" t="s">
        <v>18</v>
      </c>
      <c r="E146" s="19" t="s">
        <v>527</v>
      </c>
      <c r="F146" s="77">
        <v>90</v>
      </c>
      <c r="G146" s="35">
        <v>111</v>
      </c>
      <c r="H146" s="78">
        <f>111-90</f>
        <v>21</v>
      </c>
      <c r="I146" s="20">
        <v>300</v>
      </c>
      <c r="J146" s="21">
        <f t="shared" si="9"/>
        <v>6300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15</v>
      </c>
      <c r="C147" s="18">
        <v>44572</v>
      </c>
      <c r="D147" s="19" t="s">
        <v>18</v>
      </c>
      <c r="E147" s="19" t="s">
        <v>527</v>
      </c>
      <c r="F147" s="35">
        <v>85</v>
      </c>
      <c r="G147" s="35">
        <v>91</v>
      </c>
      <c r="H147" s="78">
        <f>91-85</f>
        <v>6</v>
      </c>
      <c r="I147" s="20">
        <v>300</v>
      </c>
      <c r="J147" s="21">
        <f t="shared" si="9"/>
        <v>1800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16</v>
      </c>
      <c r="C148" s="18">
        <v>44573</v>
      </c>
      <c r="D148" s="19" t="s">
        <v>18</v>
      </c>
      <c r="E148" s="19" t="s">
        <v>539</v>
      </c>
      <c r="F148" s="35">
        <v>80</v>
      </c>
      <c r="G148" s="35">
        <v>110</v>
      </c>
      <c r="H148" s="78">
        <v>30</v>
      </c>
      <c r="I148" s="20">
        <v>300</v>
      </c>
      <c r="J148" s="21">
        <f t="shared" si="9"/>
        <v>9000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17</v>
      </c>
      <c r="C149" s="18">
        <v>44573</v>
      </c>
      <c r="D149" s="19" t="s">
        <v>18</v>
      </c>
      <c r="E149" s="19" t="s">
        <v>539</v>
      </c>
      <c r="F149" s="35">
        <v>90</v>
      </c>
      <c r="G149" s="35">
        <v>105</v>
      </c>
      <c r="H149" s="78">
        <f>105-90</f>
        <v>15</v>
      </c>
      <c r="I149" s="20">
        <v>300</v>
      </c>
      <c r="J149" s="21">
        <f t="shared" si="9"/>
        <v>4500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18</v>
      </c>
      <c r="C150" s="18">
        <v>44574</v>
      </c>
      <c r="D150" s="19" t="s">
        <v>18</v>
      </c>
      <c r="E150" s="19" t="s">
        <v>539</v>
      </c>
      <c r="F150" s="35">
        <v>70</v>
      </c>
      <c r="G150" s="35">
        <v>100</v>
      </c>
      <c r="H150" s="78">
        <v>30</v>
      </c>
      <c r="I150" s="20">
        <v>300</v>
      </c>
      <c r="J150" s="21">
        <f t="shared" si="9"/>
        <v>9000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19</v>
      </c>
      <c r="C151" s="18">
        <v>44574</v>
      </c>
      <c r="D151" s="19" t="s">
        <v>18</v>
      </c>
      <c r="E151" s="19" t="s">
        <v>538</v>
      </c>
      <c r="F151" s="35">
        <v>70</v>
      </c>
      <c r="G151" s="35">
        <v>79</v>
      </c>
      <c r="H151" s="78">
        <v>9</v>
      </c>
      <c r="I151" s="20">
        <v>300</v>
      </c>
      <c r="J151" s="21">
        <f t="shared" si="9"/>
        <v>2700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20</v>
      </c>
      <c r="C152" s="18">
        <v>44575</v>
      </c>
      <c r="D152" s="19" t="s">
        <v>18</v>
      </c>
      <c r="E152" s="19" t="s">
        <v>540</v>
      </c>
      <c r="F152" s="35">
        <v>85</v>
      </c>
      <c r="G152" s="35">
        <v>105</v>
      </c>
      <c r="H152" s="35">
        <f>105-85</f>
        <v>20</v>
      </c>
      <c r="I152" s="20">
        <v>300</v>
      </c>
      <c r="J152" s="21">
        <f t="shared" si="9"/>
        <v>6000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21</v>
      </c>
      <c r="C153" s="18">
        <v>44575</v>
      </c>
      <c r="D153" s="19" t="s">
        <v>18</v>
      </c>
      <c r="E153" s="19" t="s">
        <v>540</v>
      </c>
      <c r="F153" s="35">
        <v>90</v>
      </c>
      <c r="G153" s="35">
        <v>105</v>
      </c>
      <c r="H153" s="35">
        <v>15</v>
      </c>
      <c r="I153" s="20">
        <v>300</v>
      </c>
      <c r="J153" s="21">
        <f t="shared" si="9"/>
        <v>4500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2"/>
        <v>22</v>
      </c>
      <c r="C154" s="18">
        <v>44578</v>
      </c>
      <c r="D154" s="19" t="s">
        <v>18</v>
      </c>
      <c r="E154" s="19" t="s">
        <v>540</v>
      </c>
      <c r="F154" s="35">
        <v>95</v>
      </c>
      <c r="G154" s="35">
        <v>115</v>
      </c>
      <c r="H154" s="35">
        <f>115-95</f>
        <v>20</v>
      </c>
      <c r="I154" s="20">
        <v>300</v>
      </c>
      <c r="J154" s="21">
        <f t="shared" si="9"/>
        <v>6000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2"/>
        <v>23</v>
      </c>
      <c r="C155" s="18">
        <v>44578</v>
      </c>
      <c r="D155" s="19" t="s">
        <v>18</v>
      </c>
      <c r="E155" s="19" t="s">
        <v>620</v>
      </c>
      <c r="F155" s="35">
        <v>85</v>
      </c>
      <c r="G155" s="35">
        <v>92</v>
      </c>
      <c r="H155" s="35">
        <f>92-85</f>
        <v>7</v>
      </c>
      <c r="I155" s="20">
        <v>300</v>
      </c>
      <c r="J155" s="21">
        <f t="shared" si="9"/>
        <v>2100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>B155+1</f>
        <v>24</v>
      </c>
      <c r="C156" s="18">
        <v>44579</v>
      </c>
      <c r="D156" s="19" t="s">
        <v>18</v>
      </c>
      <c r="E156" s="19" t="s">
        <v>536</v>
      </c>
      <c r="F156" s="35">
        <v>80</v>
      </c>
      <c r="G156" s="35">
        <v>103</v>
      </c>
      <c r="H156" s="35">
        <f>103-80</f>
        <v>23</v>
      </c>
      <c r="I156" s="20">
        <v>300</v>
      </c>
      <c r="J156" s="21">
        <f t="shared" si="9"/>
        <v>6900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ref="B157:B178" si="13">B156+1</f>
        <v>25</v>
      </c>
      <c r="C157" s="18">
        <v>44579</v>
      </c>
      <c r="D157" s="19" t="s">
        <v>18</v>
      </c>
      <c r="E157" s="19" t="s">
        <v>529</v>
      </c>
      <c r="F157" s="35">
        <v>90</v>
      </c>
      <c r="G157" s="35">
        <v>120</v>
      </c>
      <c r="H157" s="35">
        <f>120-90</f>
        <v>30</v>
      </c>
      <c r="I157" s="20">
        <v>300</v>
      </c>
      <c r="J157" s="21">
        <f t="shared" si="9"/>
        <v>9000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3"/>
        <v>26</v>
      </c>
      <c r="C158" s="18">
        <v>44580</v>
      </c>
      <c r="D158" s="19" t="s">
        <v>18</v>
      </c>
      <c r="E158" s="19" t="s">
        <v>526</v>
      </c>
      <c r="F158" s="35">
        <v>80</v>
      </c>
      <c r="G158" s="35">
        <v>86</v>
      </c>
      <c r="H158" s="35">
        <v>6</v>
      </c>
      <c r="I158" s="20">
        <v>300</v>
      </c>
      <c r="J158" s="21">
        <f t="shared" si="9"/>
        <v>1800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3"/>
        <v>27</v>
      </c>
      <c r="C159" s="18">
        <v>44580</v>
      </c>
      <c r="D159" s="19" t="s">
        <v>18</v>
      </c>
      <c r="E159" s="19" t="s">
        <v>537</v>
      </c>
      <c r="F159" s="35">
        <v>90</v>
      </c>
      <c r="G159" s="35">
        <v>105</v>
      </c>
      <c r="H159" s="35">
        <v>15</v>
      </c>
      <c r="I159" s="20">
        <v>300</v>
      </c>
      <c r="J159" s="21">
        <f t="shared" si="9"/>
        <v>4500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 t="shared" si="13"/>
        <v>28</v>
      </c>
      <c r="C160" s="18">
        <v>44581</v>
      </c>
      <c r="D160" s="19" t="s">
        <v>18</v>
      </c>
      <c r="E160" s="19" t="s">
        <v>567</v>
      </c>
      <c r="F160" s="35">
        <v>50</v>
      </c>
      <c r="G160" s="35">
        <v>35</v>
      </c>
      <c r="H160" s="35">
        <v>-15</v>
      </c>
      <c r="I160" s="20">
        <v>300</v>
      </c>
      <c r="J160" s="21">
        <f t="shared" si="9"/>
        <v>-4500</v>
      </c>
      <c r="K160" s="7"/>
      <c r="V160" s="5">
        <f t="shared" si="10"/>
        <v>0</v>
      </c>
      <c r="W160" s="5">
        <f t="shared" si="11"/>
        <v>1</v>
      </c>
    </row>
    <row r="161" spans="1:23" s="36" customFormat="1" x14ac:dyDescent="0.3">
      <c r="A161" s="6"/>
      <c r="B161" s="17">
        <f t="shared" si="13"/>
        <v>29</v>
      </c>
      <c r="C161" s="18">
        <v>44582</v>
      </c>
      <c r="D161" s="19" t="s">
        <v>18</v>
      </c>
      <c r="E161" s="19" t="s">
        <v>575</v>
      </c>
      <c r="F161" s="35">
        <v>95</v>
      </c>
      <c r="G161" s="35">
        <v>117</v>
      </c>
      <c r="H161" s="35">
        <f>117-95</f>
        <v>22</v>
      </c>
      <c r="I161" s="20">
        <v>300</v>
      </c>
      <c r="J161" s="21">
        <f t="shared" si="9"/>
        <v>6600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30</v>
      </c>
      <c r="C162" s="18">
        <v>44582</v>
      </c>
      <c r="D162" s="19" t="s">
        <v>18</v>
      </c>
      <c r="E162" s="19" t="s">
        <v>485</v>
      </c>
      <c r="F162" s="35">
        <v>95</v>
      </c>
      <c r="G162" s="35">
        <v>125</v>
      </c>
      <c r="H162" s="35">
        <v>30</v>
      </c>
      <c r="I162" s="20">
        <v>300</v>
      </c>
      <c r="J162" s="21">
        <f t="shared" si="9"/>
        <v>9000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31</v>
      </c>
      <c r="C163" s="18">
        <v>44585</v>
      </c>
      <c r="D163" s="19" t="s">
        <v>18</v>
      </c>
      <c r="E163" s="19" t="s">
        <v>472</v>
      </c>
      <c r="F163" s="35">
        <v>90</v>
      </c>
      <c r="G163" s="35">
        <v>120</v>
      </c>
      <c r="H163" s="35">
        <f>120-90</f>
        <v>30</v>
      </c>
      <c r="I163" s="20">
        <v>300</v>
      </c>
      <c r="J163" s="21">
        <f t="shared" si="9"/>
        <v>9000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32</v>
      </c>
      <c r="C164" s="18">
        <v>44585</v>
      </c>
      <c r="D164" s="19" t="s">
        <v>18</v>
      </c>
      <c r="E164" s="19" t="s">
        <v>480</v>
      </c>
      <c r="F164" s="35">
        <v>90</v>
      </c>
      <c r="G164" s="35">
        <v>95</v>
      </c>
      <c r="H164" s="35">
        <v>5</v>
      </c>
      <c r="I164" s="20">
        <v>300</v>
      </c>
      <c r="J164" s="21">
        <f t="shared" si="9"/>
        <v>1500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3"/>
        <v>33</v>
      </c>
      <c r="C165" s="18">
        <v>44586</v>
      </c>
      <c r="D165" s="19" t="s">
        <v>18</v>
      </c>
      <c r="E165" s="19" t="s">
        <v>586</v>
      </c>
      <c r="F165" s="35">
        <v>100</v>
      </c>
      <c r="G165" s="35">
        <v>130</v>
      </c>
      <c r="H165" s="35">
        <v>30</v>
      </c>
      <c r="I165" s="20">
        <v>300</v>
      </c>
      <c r="J165" s="21">
        <f t="shared" si="9"/>
        <v>9000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3"/>
        <v>34</v>
      </c>
      <c r="C166" s="18">
        <v>44586</v>
      </c>
      <c r="D166" s="19" t="s">
        <v>18</v>
      </c>
      <c r="E166" s="19" t="s">
        <v>586</v>
      </c>
      <c r="F166" s="35">
        <v>80</v>
      </c>
      <c r="G166" s="35">
        <v>95</v>
      </c>
      <c r="H166" s="35">
        <v>15</v>
      </c>
      <c r="I166" s="20">
        <v>300</v>
      </c>
      <c r="J166" s="21">
        <f t="shared" si="9"/>
        <v>4500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3"/>
        <v>35</v>
      </c>
      <c r="C167" s="18">
        <v>44588</v>
      </c>
      <c r="D167" s="19" t="s">
        <v>18</v>
      </c>
      <c r="E167" s="19" t="s">
        <v>591</v>
      </c>
      <c r="F167" s="35">
        <v>60</v>
      </c>
      <c r="G167" s="35">
        <v>90</v>
      </c>
      <c r="H167" s="35">
        <v>30</v>
      </c>
      <c r="I167" s="20">
        <v>300</v>
      </c>
      <c r="J167" s="21">
        <f t="shared" si="9"/>
        <v>9000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3"/>
        <v>36</v>
      </c>
      <c r="C168" s="18">
        <v>44588</v>
      </c>
      <c r="D168" s="19" t="s">
        <v>18</v>
      </c>
      <c r="E168" s="19" t="s">
        <v>576</v>
      </c>
      <c r="F168" s="35">
        <v>80</v>
      </c>
      <c r="G168" s="35">
        <v>110</v>
      </c>
      <c r="H168" s="35">
        <v>30</v>
      </c>
      <c r="I168" s="20">
        <v>300</v>
      </c>
      <c r="J168" s="21">
        <f t="shared" si="9"/>
        <v>9000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3"/>
        <v>37</v>
      </c>
      <c r="C169" s="18">
        <v>44589</v>
      </c>
      <c r="D169" s="19" t="s">
        <v>18</v>
      </c>
      <c r="E169" s="19" t="s">
        <v>482</v>
      </c>
      <c r="F169" s="35">
        <v>110</v>
      </c>
      <c r="G169" s="35">
        <v>90</v>
      </c>
      <c r="H169" s="35">
        <v>-15</v>
      </c>
      <c r="I169" s="20">
        <v>300</v>
      </c>
      <c r="J169" s="21">
        <f t="shared" si="9"/>
        <v>-4500</v>
      </c>
      <c r="K169" s="7"/>
      <c r="V169" s="5">
        <f t="shared" si="10"/>
        <v>0</v>
      </c>
      <c r="W169" s="5">
        <f t="shared" si="11"/>
        <v>1</v>
      </c>
    </row>
    <row r="170" spans="1:23" s="36" customFormat="1" x14ac:dyDescent="0.3">
      <c r="A170" s="6"/>
      <c r="B170" s="17">
        <f t="shared" si="13"/>
        <v>38</v>
      </c>
      <c r="C170" s="18">
        <v>44592</v>
      </c>
      <c r="D170" s="19" t="s">
        <v>18</v>
      </c>
      <c r="E170" s="19" t="s">
        <v>481</v>
      </c>
      <c r="F170" s="35">
        <v>100</v>
      </c>
      <c r="G170" s="35">
        <v>85</v>
      </c>
      <c r="H170" s="35">
        <v>-15</v>
      </c>
      <c r="I170" s="20">
        <v>300</v>
      </c>
      <c r="J170" s="21">
        <f t="shared" si="9"/>
        <v>-4500</v>
      </c>
      <c r="K170" s="7"/>
      <c r="V170" s="5">
        <f t="shared" si="10"/>
        <v>0</v>
      </c>
      <c r="W170" s="5">
        <f t="shared" si="11"/>
        <v>1</v>
      </c>
    </row>
    <row r="171" spans="1:23" s="36" customFormat="1" x14ac:dyDescent="0.3">
      <c r="A171" s="6"/>
      <c r="B171" s="17">
        <f t="shared" si="13"/>
        <v>39</v>
      </c>
      <c r="C171" s="18">
        <v>44592</v>
      </c>
      <c r="D171" s="19" t="s">
        <v>18</v>
      </c>
      <c r="E171" s="19" t="s">
        <v>482</v>
      </c>
      <c r="F171" s="35">
        <v>95</v>
      </c>
      <c r="G171" s="35">
        <v>110</v>
      </c>
      <c r="H171" s="35">
        <v>15</v>
      </c>
      <c r="I171" s="20">
        <v>300</v>
      </c>
      <c r="J171" s="21">
        <f t="shared" si="9"/>
        <v>4500</v>
      </c>
      <c r="K171" s="7"/>
      <c r="V171" s="5">
        <f t="shared" si="10"/>
        <v>1</v>
      </c>
      <c r="W171" s="5">
        <f t="shared" si="11"/>
        <v>0</v>
      </c>
    </row>
    <row r="172" spans="1:23" s="36" customFormat="1" x14ac:dyDescent="0.3">
      <c r="A172" s="6"/>
      <c r="B172" s="17">
        <f t="shared" si="13"/>
        <v>40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x14ac:dyDescent="0.3">
      <c r="A173" s="6"/>
      <c r="B173" s="17">
        <f t="shared" si="13"/>
        <v>41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x14ac:dyDescent="0.3">
      <c r="A174" s="6"/>
      <c r="B174" s="17">
        <f t="shared" si="13"/>
        <v>42</v>
      </c>
      <c r="C174" s="18"/>
      <c r="D174" s="19"/>
      <c r="E174" s="19"/>
      <c r="F174" s="35"/>
      <c r="G174" s="35"/>
      <c r="H174" s="35"/>
      <c r="I174" s="20"/>
      <c r="J174" s="21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x14ac:dyDescent="0.3">
      <c r="A175" s="6"/>
      <c r="B175" s="17">
        <f t="shared" si="13"/>
        <v>43</v>
      </c>
      <c r="C175" s="18"/>
      <c r="D175" s="19"/>
      <c r="E175" s="19"/>
      <c r="F175" s="35"/>
      <c r="G175" s="35"/>
      <c r="H175" s="35"/>
      <c r="I175" s="20"/>
      <c r="J175" s="21">
        <f t="shared" si="9"/>
        <v>0</v>
      </c>
      <c r="K175" s="7"/>
      <c r="V175" s="5">
        <f t="shared" si="10"/>
        <v>0</v>
      </c>
      <c r="W175" s="5">
        <f t="shared" si="11"/>
        <v>0</v>
      </c>
    </row>
    <row r="176" spans="1:23" s="36" customFormat="1" x14ac:dyDescent="0.3">
      <c r="A176" s="6"/>
      <c r="B176" s="17">
        <f t="shared" si="13"/>
        <v>44</v>
      </c>
      <c r="C176" s="18"/>
      <c r="D176" s="19"/>
      <c r="E176" s="19"/>
      <c r="F176" s="35"/>
      <c r="G176" s="35"/>
      <c r="H176" s="35"/>
      <c r="I176" s="20"/>
      <c r="J176" s="21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x14ac:dyDescent="0.3">
      <c r="A177" s="6"/>
      <c r="B177" s="17">
        <f t="shared" si="13"/>
        <v>45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ht="15" thickBot="1" x14ac:dyDescent="0.35">
      <c r="A178" s="6"/>
      <c r="B178" s="95">
        <f t="shared" si="13"/>
        <v>46</v>
      </c>
      <c r="C178" s="79"/>
      <c r="D178" s="80"/>
      <c r="E178" s="80"/>
      <c r="F178" s="96"/>
      <c r="G178" s="96"/>
      <c r="H178" s="96"/>
      <c r="I178" s="81"/>
      <c r="J178" s="82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ht="24" thickBot="1" x14ac:dyDescent="0.5">
      <c r="A179" s="6"/>
      <c r="B179" s="165" t="s">
        <v>22</v>
      </c>
      <c r="C179" s="166"/>
      <c r="D179" s="166"/>
      <c r="E179" s="166"/>
      <c r="F179" s="166"/>
      <c r="G179" s="166"/>
      <c r="H179" s="167"/>
      <c r="I179" s="83" t="s">
        <v>23</v>
      </c>
      <c r="J179" s="84">
        <f>SUM(J133:J178)</f>
        <v>181410</v>
      </c>
      <c r="K179" s="7"/>
      <c r="L179" s="5"/>
      <c r="M179" s="5"/>
      <c r="N179" s="5"/>
      <c r="O179" s="5"/>
      <c r="P179" s="5"/>
      <c r="Q179" s="5"/>
      <c r="R179" s="5"/>
      <c r="V179" s="36">
        <f>SUM(V133:V178)</f>
        <v>34</v>
      </c>
      <c r="W179" s="36">
        <f>SUM(W133:W178)</f>
        <v>5</v>
      </c>
    </row>
    <row r="180" spans="1:23" s="36" customFormat="1" ht="30" customHeight="1" thickBot="1" x14ac:dyDescent="0.35">
      <c r="A180" s="30"/>
      <c r="B180" s="31"/>
      <c r="C180" s="31"/>
      <c r="D180" s="31"/>
      <c r="E180" s="31"/>
      <c r="F180" s="31"/>
      <c r="G180" s="31"/>
      <c r="H180" s="32"/>
      <c r="I180" s="31"/>
      <c r="J180" s="32"/>
      <c r="K180" s="33"/>
      <c r="L180" s="5"/>
      <c r="M180" s="5"/>
      <c r="N180" s="5"/>
      <c r="O180" s="5"/>
      <c r="P180" s="5"/>
      <c r="Q180" s="5"/>
      <c r="R180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B125:H125"/>
    <mergeCell ref="B129:J129"/>
    <mergeCell ref="B130:J130"/>
    <mergeCell ref="B131:J131"/>
    <mergeCell ref="B179:H179"/>
  </mergeCells>
  <hyperlinks>
    <hyperlink ref="B59" r:id="rId1" xr:uid="{00000000-0004-0000-1200-000000000000}"/>
    <hyperlink ref="B125" r:id="rId2" xr:uid="{00000000-0004-0000-1200-000001000000}"/>
    <hyperlink ref="B179" r:id="rId3" xr:uid="{00000000-0004-0000-1200-000002000000}"/>
    <hyperlink ref="M1" location="MASTER!A1" display="Back" xr:uid="{00000000-0004-0000-1200-000003000000}"/>
    <hyperlink ref="M6:M7" location="'NOV 2021'!A70" display="EXTRA STOCK FUTURE" xr:uid="{00000000-0004-0000-1200-000004000000}"/>
    <hyperlink ref="M8:M9" location="'NOV 2021'!A140" display="EXTRA NIFTY OPTION" xr:uid="{00000000-0004-0000-1200-000005000000}"/>
  </hyperlinks>
  <pageMargins left="0" right="0" top="0" bottom="0" header="0" footer="0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6"/>
  <sheetViews>
    <sheetView topLeftCell="A34" workbookViewId="0">
      <selection activeCell="M1" sqref="M1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7.109375" style="5" customWidth="1"/>
    <col min="6" max="7" width="11.44140625" style="5" customWidth="1"/>
    <col min="8" max="8" width="11.4414062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15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5.2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24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44044</v>
      </c>
      <c r="C3" s="104"/>
      <c r="D3" s="104"/>
      <c r="E3" s="104"/>
      <c r="F3" s="104"/>
      <c r="G3" s="104"/>
      <c r="H3" s="104"/>
      <c r="I3" s="104"/>
      <c r="J3" s="105"/>
      <c r="K3" s="7"/>
      <c r="M3" s="123"/>
      <c r="N3" s="125"/>
      <c r="O3" s="125"/>
      <c r="P3" s="125"/>
      <c r="Q3" s="125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09" t="s">
        <v>107</v>
      </c>
      <c r="N4" s="111">
        <v>47</v>
      </c>
      <c r="O4" s="113">
        <v>41</v>
      </c>
      <c r="P4" s="113">
        <v>6</v>
      </c>
      <c r="Q4" s="115">
        <f>N4-O4-P4</f>
        <v>0</v>
      </c>
      <c r="R4" s="117">
        <f>O4/N4</f>
        <v>0.87234042553191493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10"/>
      <c r="N5" s="112"/>
      <c r="O5" s="114"/>
      <c r="P5" s="114"/>
      <c r="Q5" s="116"/>
      <c r="R5" s="118"/>
      <c r="V5" s="5" t="s">
        <v>5</v>
      </c>
      <c r="W5" s="5" t="s">
        <v>6</v>
      </c>
    </row>
    <row r="6" spans="1:23" x14ac:dyDescent="0.3">
      <c r="A6" s="6"/>
      <c r="B6" s="14">
        <v>1</v>
      </c>
      <c r="C6" s="66">
        <v>44046</v>
      </c>
      <c r="D6" s="67" t="s">
        <v>18</v>
      </c>
      <c r="E6" s="67" t="s">
        <v>40</v>
      </c>
      <c r="F6" s="68">
        <v>300</v>
      </c>
      <c r="G6" s="68">
        <v>350</v>
      </c>
      <c r="H6" s="60">
        <v>50</v>
      </c>
      <c r="I6" s="15">
        <v>100</v>
      </c>
      <c r="J6" s="16">
        <f>H6*I6</f>
        <v>5000</v>
      </c>
      <c r="K6" s="7"/>
      <c r="M6" s="147" t="s">
        <v>19</v>
      </c>
      <c r="N6" s="149">
        <f>SUM(N4:N5)</f>
        <v>47</v>
      </c>
      <c r="O6" s="149">
        <f>SUM(O4:O5)</f>
        <v>41</v>
      </c>
      <c r="P6" s="149">
        <f>SUM(P4:P5)</f>
        <v>6</v>
      </c>
      <c r="Q6" s="151">
        <f>SUM(Q4:Q5)</f>
        <v>0</v>
      </c>
      <c r="R6" s="117">
        <f t="shared" ref="R6" si="0">O6/N6</f>
        <v>0.87234042553191493</v>
      </c>
      <c r="V6" s="5">
        <f>IF($J6&gt;0,1,0)</f>
        <v>1</v>
      </c>
      <c r="W6" s="5">
        <f>IF($J6&lt;0,1,0)</f>
        <v>0</v>
      </c>
    </row>
    <row r="7" spans="1:23" ht="15" thickBot="1" x14ac:dyDescent="0.35">
      <c r="A7" s="6"/>
      <c r="B7" s="17">
        <v>2</v>
      </c>
      <c r="C7" s="66">
        <v>44046</v>
      </c>
      <c r="D7" s="67" t="s">
        <v>18</v>
      </c>
      <c r="E7" s="67" t="s">
        <v>41</v>
      </c>
      <c r="F7" s="68">
        <v>250</v>
      </c>
      <c r="G7" s="68">
        <v>294</v>
      </c>
      <c r="H7" s="67">
        <v>44</v>
      </c>
      <c r="I7" s="20">
        <v>100</v>
      </c>
      <c r="J7" s="21">
        <f t="shared" ref="J7:J54" si="1">H7*I7</f>
        <v>4400</v>
      </c>
      <c r="K7" s="7"/>
      <c r="M7" s="148"/>
      <c r="N7" s="150"/>
      <c r="O7" s="150"/>
      <c r="P7" s="150"/>
      <c r="Q7" s="152"/>
      <c r="R7" s="153"/>
      <c r="V7" s="5">
        <f t="shared" ref="V7:V14" si="2">IF($J7&gt;0,1,0)</f>
        <v>1</v>
      </c>
      <c r="W7" s="5">
        <f t="shared" ref="W7:W14" si="3">IF($J7&lt;0,1,0)</f>
        <v>0</v>
      </c>
    </row>
    <row r="8" spans="1:23" x14ac:dyDescent="0.3">
      <c r="A8" s="6"/>
      <c r="B8" s="17">
        <v>3</v>
      </c>
      <c r="C8" s="18">
        <v>44047</v>
      </c>
      <c r="D8" s="19" t="s">
        <v>18</v>
      </c>
      <c r="E8" s="19" t="s">
        <v>40</v>
      </c>
      <c r="F8" s="35">
        <v>210</v>
      </c>
      <c r="G8" s="35">
        <v>170</v>
      </c>
      <c r="H8" s="35">
        <v>-40</v>
      </c>
      <c r="I8" s="20">
        <v>100</v>
      </c>
      <c r="J8" s="21">
        <f t="shared" si="1"/>
        <v>-4000</v>
      </c>
      <c r="K8" s="7"/>
      <c r="M8" s="126" t="s">
        <v>20</v>
      </c>
      <c r="N8" s="127"/>
      <c r="O8" s="128"/>
      <c r="P8" s="135">
        <f>R6</f>
        <v>0.87234042553191493</v>
      </c>
      <c r="Q8" s="136"/>
      <c r="R8" s="137"/>
      <c r="V8" s="5">
        <f t="shared" si="2"/>
        <v>0</v>
      </c>
      <c r="W8" s="5">
        <f t="shared" si="3"/>
        <v>1</v>
      </c>
    </row>
    <row r="9" spans="1:23" x14ac:dyDescent="0.3">
      <c r="A9" s="6"/>
      <c r="B9" s="17">
        <v>4</v>
      </c>
      <c r="C9" s="18">
        <v>44047</v>
      </c>
      <c r="D9" s="19" t="s">
        <v>18</v>
      </c>
      <c r="E9" s="19" t="s">
        <v>42</v>
      </c>
      <c r="F9" s="35">
        <v>220</v>
      </c>
      <c r="G9" s="35">
        <v>260</v>
      </c>
      <c r="H9" s="35">
        <v>40</v>
      </c>
      <c r="I9" s="20">
        <v>100</v>
      </c>
      <c r="J9" s="21">
        <f t="shared" si="1"/>
        <v>4000</v>
      </c>
      <c r="K9" s="7"/>
      <c r="M9" s="129"/>
      <c r="N9" s="130"/>
      <c r="O9" s="131"/>
      <c r="P9" s="138"/>
      <c r="Q9" s="139"/>
      <c r="R9" s="140"/>
      <c r="V9" s="5">
        <f t="shared" si="2"/>
        <v>1</v>
      </c>
      <c r="W9" s="5">
        <f t="shared" si="3"/>
        <v>0</v>
      </c>
    </row>
    <row r="10" spans="1:23" ht="15" thickBot="1" x14ac:dyDescent="0.35">
      <c r="A10" s="6"/>
      <c r="B10" s="17">
        <v>5</v>
      </c>
      <c r="C10" s="18">
        <v>44048</v>
      </c>
      <c r="D10" s="19" t="s">
        <v>18</v>
      </c>
      <c r="E10" s="19" t="s">
        <v>43</v>
      </c>
      <c r="F10" s="35">
        <v>160</v>
      </c>
      <c r="G10" s="35">
        <v>110</v>
      </c>
      <c r="H10" s="35">
        <v>-50</v>
      </c>
      <c r="I10" s="20">
        <v>100</v>
      </c>
      <c r="J10" s="21">
        <f t="shared" si="1"/>
        <v>-5000</v>
      </c>
      <c r="K10" s="7"/>
      <c r="M10" s="132"/>
      <c r="N10" s="133"/>
      <c r="O10" s="134"/>
      <c r="P10" s="141"/>
      <c r="Q10" s="142"/>
      <c r="R10" s="143"/>
      <c r="V10" s="5">
        <f t="shared" si="2"/>
        <v>0</v>
      </c>
      <c r="W10" s="5">
        <f t="shared" si="3"/>
        <v>1</v>
      </c>
    </row>
    <row r="11" spans="1:23" x14ac:dyDescent="0.3">
      <c r="A11" s="6"/>
      <c r="B11" s="17">
        <v>6</v>
      </c>
      <c r="C11" s="18">
        <v>44048</v>
      </c>
      <c r="D11" s="19" t="s">
        <v>18</v>
      </c>
      <c r="E11" s="19" t="s">
        <v>44</v>
      </c>
      <c r="F11" s="35">
        <v>150</v>
      </c>
      <c r="G11" s="35">
        <v>169</v>
      </c>
      <c r="H11" s="35">
        <v>19</v>
      </c>
      <c r="I11" s="20">
        <v>100</v>
      </c>
      <c r="J11" s="21">
        <f t="shared" si="1"/>
        <v>1900</v>
      </c>
      <c r="K11" s="7"/>
      <c r="V11" s="5">
        <f t="shared" si="2"/>
        <v>1</v>
      </c>
      <c r="W11" s="5">
        <f t="shared" si="3"/>
        <v>0</v>
      </c>
    </row>
    <row r="12" spans="1:23" x14ac:dyDescent="0.3">
      <c r="A12" s="6"/>
      <c r="B12" s="17">
        <v>7</v>
      </c>
      <c r="C12" s="18">
        <v>44049</v>
      </c>
      <c r="D12" s="19" t="s">
        <v>18</v>
      </c>
      <c r="E12" s="19" t="s">
        <v>45</v>
      </c>
      <c r="F12" s="35">
        <v>120</v>
      </c>
      <c r="G12" s="35">
        <v>220</v>
      </c>
      <c r="H12" s="35">
        <v>100</v>
      </c>
      <c r="I12" s="20">
        <v>100</v>
      </c>
      <c r="J12" s="21">
        <f t="shared" si="1"/>
        <v>10000</v>
      </c>
      <c r="K12" s="7"/>
      <c r="V12" s="5">
        <f t="shared" si="2"/>
        <v>1</v>
      </c>
      <c r="W12" s="5">
        <f t="shared" si="3"/>
        <v>0</v>
      </c>
    </row>
    <row r="13" spans="1:23" x14ac:dyDescent="0.3">
      <c r="A13" s="6"/>
      <c r="B13" s="17">
        <v>8</v>
      </c>
      <c r="C13" s="18">
        <v>44049</v>
      </c>
      <c r="D13" s="19" t="s">
        <v>18</v>
      </c>
      <c r="E13" s="19" t="s">
        <v>44</v>
      </c>
      <c r="F13" s="35">
        <v>120</v>
      </c>
      <c r="G13" s="35">
        <v>170</v>
      </c>
      <c r="H13" s="35">
        <v>50</v>
      </c>
      <c r="I13" s="20">
        <v>100</v>
      </c>
      <c r="J13" s="21">
        <f t="shared" si="1"/>
        <v>5000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7">
        <v>9</v>
      </c>
      <c r="C14" s="18">
        <v>44053</v>
      </c>
      <c r="D14" s="19" t="s">
        <v>18</v>
      </c>
      <c r="E14" s="19" t="s">
        <v>34</v>
      </c>
      <c r="F14" s="35">
        <v>150</v>
      </c>
      <c r="G14" s="35">
        <v>100</v>
      </c>
      <c r="H14" s="35">
        <v>-50</v>
      </c>
      <c r="I14" s="20">
        <v>100</v>
      </c>
      <c r="J14" s="21">
        <f t="shared" si="1"/>
        <v>-5000</v>
      </c>
      <c r="K14" s="7"/>
      <c r="M14" s="5" t="s">
        <v>21</v>
      </c>
      <c r="V14" s="5">
        <f t="shared" si="2"/>
        <v>0</v>
      </c>
      <c r="W14" s="5">
        <f t="shared" si="3"/>
        <v>1</v>
      </c>
    </row>
    <row r="15" spans="1:23" x14ac:dyDescent="0.3">
      <c r="A15" s="6"/>
      <c r="B15" s="17">
        <v>10</v>
      </c>
      <c r="C15" s="18">
        <v>44054</v>
      </c>
      <c r="D15" s="19" t="s">
        <v>18</v>
      </c>
      <c r="E15" s="19" t="s">
        <v>34</v>
      </c>
      <c r="F15" s="35">
        <v>120</v>
      </c>
      <c r="G15" s="35">
        <v>160</v>
      </c>
      <c r="H15" s="35">
        <v>40</v>
      </c>
      <c r="I15" s="20">
        <v>100</v>
      </c>
      <c r="J15" s="21">
        <f t="shared" si="1"/>
        <v>4000</v>
      </c>
      <c r="K15" s="7"/>
      <c r="V15" s="5">
        <f>IF($J15&gt;0,1,0)</f>
        <v>1</v>
      </c>
      <c r="W15" s="5">
        <f>IF($J15&lt;0,1,0)</f>
        <v>0</v>
      </c>
    </row>
    <row r="16" spans="1:23" hidden="1" x14ac:dyDescent="0.3">
      <c r="A16" s="6"/>
      <c r="B16" s="17">
        <v>11</v>
      </c>
      <c r="C16" s="18"/>
      <c r="D16" s="19"/>
      <c r="E16" s="19"/>
      <c r="F16" s="35"/>
      <c r="G16" s="35"/>
      <c r="H16" s="35"/>
      <c r="I16" s="20"/>
      <c r="J16" s="21">
        <f t="shared" si="1"/>
        <v>0</v>
      </c>
      <c r="K16" s="7"/>
      <c r="V16" s="5">
        <f t="shared" ref="V16:V54" si="4">IF($J16&gt;0,1,0)</f>
        <v>0</v>
      </c>
      <c r="W16" s="5">
        <f t="shared" ref="W16:W54" si="5">IF($J16&lt;0,1,0)</f>
        <v>0</v>
      </c>
    </row>
    <row r="17" spans="1:23" hidden="1" x14ac:dyDescent="0.3">
      <c r="A17" s="6"/>
      <c r="B17" s="17">
        <v>12</v>
      </c>
      <c r="C17" s="18"/>
      <c r="D17" s="19"/>
      <c r="E17" s="19"/>
      <c r="F17" s="35"/>
      <c r="G17" s="35"/>
      <c r="H17" s="35"/>
      <c r="I17" s="20"/>
      <c r="J17" s="21">
        <f t="shared" si="1"/>
        <v>0</v>
      </c>
      <c r="K17" s="7"/>
      <c r="V17" s="5">
        <f t="shared" si="4"/>
        <v>0</v>
      </c>
      <c r="W17" s="5">
        <f t="shared" si="5"/>
        <v>0</v>
      </c>
    </row>
    <row r="18" spans="1:23" hidden="1" x14ac:dyDescent="0.3">
      <c r="A18" s="6"/>
      <c r="B18" s="17">
        <v>13</v>
      </c>
      <c r="C18" s="18"/>
      <c r="D18" s="19"/>
      <c r="E18" s="19"/>
      <c r="F18" s="35"/>
      <c r="G18" s="35"/>
      <c r="H18" s="35"/>
      <c r="I18" s="20"/>
      <c r="J18" s="21">
        <f t="shared" si="1"/>
        <v>0</v>
      </c>
      <c r="K18" s="7"/>
      <c r="V18" s="5">
        <f t="shared" si="4"/>
        <v>0</v>
      </c>
      <c r="W18" s="5">
        <f t="shared" si="5"/>
        <v>0</v>
      </c>
    </row>
    <row r="19" spans="1:23" hidden="1" x14ac:dyDescent="0.3">
      <c r="A19" s="6"/>
      <c r="B19" s="17">
        <v>14</v>
      </c>
      <c r="C19" s="18"/>
      <c r="D19" s="19"/>
      <c r="E19" s="19"/>
      <c r="F19" s="35"/>
      <c r="G19" s="35"/>
      <c r="H19" s="35"/>
      <c r="I19" s="20"/>
      <c r="J19" s="21">
        <f t="shared" si="1"/>
        <v>0</v>
      </c>
      <c r="K19" s="7"/>
      <c r="V19" s="5">
        <f t="shared" si="4"/>
        <v>0</v>
      </c>
      <c r="W19" s="5">
        <f t="shared" si="5"/>
        <v>0</v>
      </c>
    </row>
    <row r="20" spans="1:23" hidden="1" x14ac:dyDescent="0.3">
      <c r="A20" s="6"/>
      <c r="B20" s="17">
        <v>15</v>
      </c>
      <c r="C20" s="18"/>
      <c r="D20" s="19"/>
      <c r="E20" s="19"/>
      <c r="F20" s="35"/>
      <c r="G20" s="35"/>
      <c r="H20" s="35"/>
      <c r="I20" s="20"/>
      <c r="J20" s="21">
        <f t="shared" si="1"/>
        <v>0</v>
      </c>
      <c r="K20" s="7"/>
      <c r="V20" s="5">
        <f t="shared" si="4"/>
        <v>0</v>
      </c>
      <c r="W20" s="5">
        <f t="shared" si="5"/>
        <v>0</v>
      </c>
    </row>
    <row r="21" spans="1:23" hidden="1" x14ac:dyDescent="0.3">
      <c r="A21" s="6"/>
      <c r="B21" s="17">
        <v>16</v>
      </c>
      <c r="C21" s="18"/>
      <c r="D21" s="19"/>
      <c r="E21" s="19"/>
      <c r="F21" s="35"/>
      <c r="G21" s="35"/>
      <c r="H21" s="35"/>
      <c r="I21" s="20"/>
      <c r="J21" s="21">
        <f t="shared" si="1"/>
        <v>0</v>
      </c>
      <c r="K21" s="7"/>
      <c r="O21" s="22"/>
      <c r="P21" s="22"/>
      <c r="Q21" s="22"/>
      <c r="R21" s="22"/>
      <c r="V21" s="5">
        <f t="shared" si="4"/>
        <v>0</v>
      </c>
      <c r="W21" s="5">
        <f t="shared" si="5"/>
        <v>0</v>
      </c>
    </row>
    <row r="22" spans="1:23" hidden="1" x14ac:dyDescent="0.3">
      <c r="A22" s="6"/>
      <c r="B22" s="17">
        <v>17</v>
      </c>
      <c r="C22" s="18"/>
      <c r="D22" s="19"/>
      <c r="E22" s="19"/>
      <c r="F22" s="35"/>
      <c r="G22" s="35"/>
      <c r="H22" s="35"/>
      <c r="I22" s="20"/>
      <c r="J22" s="21">
        <f t="shared" si="1"/>
        <v>0</v>
      </c>
      <c r="K22" s="7"/>
      <c r="V22" s="5">
        <f t="shared" si="4"/>
        <v>0</v>
      </c>
      <c r="W22" s="5">
        <f t="shared" si="5"/>
        <v>0</v>
      </c>
    </row>
    <row r="23" spans="1:23" hidden="1" x14ac:dyDescent="0.3">
      <c r="A23" s="6"/>
      <c r="B23" s="17">
        <v>18</v>
      </c>
      <c r="C23" s="18"/>
      <c r="D23" s="19"/>
      <c r="E23" s="19"/>
      <c r="F23" s="35"/>
      <c r="G23" s="35"/>
      <c r="H23" s="35"/>
      <c r="I23" s="20"/>
      <c r="J23" s="21">
        <f t="shared" si="1"/>
        <v>0</v>
      </c>
      <c r="K23" s="7"/>
      <c r="V23" s="5">
        <f t="shared" si="4"/>
        <v>0</v>
      </c>
      <c r="W23" s="5">
        <f t="shared" si="5"/>
        <v>0</v>
      </c>
    </row>
    <row r="24" spans="1:23" hidden="1" x14ac:dyDescent="0.3">
      <c r="A24" s="6"/>
      <c r="B24" s="17">
        <v>19</v>
      </c>
      <c r="C24" s="18"/>
      <c r="D24" s="19"/>
      <c r="E24" s="19"/>
      <c r="F24" s="35"/>
      <c r="G24" s="35"/>
      <c r="H24" s="35"/>
      <c r="I24" s="20"/>
      <c r="J24" s="21">
        <f t="shared" si="1"/>
        <v>0</v>
      </c>
      <c r="K24" s="7"/>
      <c r="V24" s="5">
        <f t="shared" si="4"/>
        <v>0</v>
      </c>
      <c r="W24" s="5">
        <f t="shared" si="5"/>
        <v>0</v>
      </c>
    </row>
    <row r="25" spans="1:23" hidden="1" x14ac:dyDescent="0.3">
      <c r="A25" s="6"/>
      <c r="B25" s="17">
        <v>20</v>
      </c>
      <c r="C25" s="18"/>
      <c r="D25" s="19"/>
      <c r="E25" s="19"/>
      <c r="F25" s="35"/>
      <c r="G25" s="35"/>
      <c r="H25" s="19"/>
      <c r="I25" s="20"/>
      <c r="J25" s="21">
        <f t="shared" si="1"/>
        <v>0</v>
      </c>
      <c r="K25" s="7"/>
      <c r="V25" s="5">
        <f t="shared" si="4"/>
        <v>0</v>
      </c>
      <c r="W25" s="5">
        <f t="shared" si="5"/>
        <v>0</v>
      </c>
    </row>
    <row r="26" spans="1:23" hidden="1" x14ac:dyDescent="0.3">
      <c r="A26" s="6"/>
      <c r="B26" s="17">
        <v>21</v>
      </c>
      <c r="C26" s="18"/>
      <c r="D26" s="19"/>
      <c r="E26" s="19"/>
      <c r="F26" s="35"/>
      <c r="G26" s="35"/>
      <c r="H26" s="19"/>
      <c r="I26" s="20"/>
      <c r="J26" s="21">
        <f t="shared" si="1"/>
        <v>0</v>
      </c>
      <c r="K26" s="7"/>
      <c r="V26" s="5">
        <f t="shared" si="4"/>
        <v>0</v>
      </c>
      <c r="W26" s="5">
        <f t="shared" si="5"/>
        <v>0</v>
      </c>
    </row>
    <row r="27" spans="1:23" hidden="1" x14ac:dyDescent="0.3">
      <c r="A27" s="6"/>
      <c r="B27" s="17">
        <v>22</v>
      </c>
      <c r="C27" s="18"/>
      <c r="D27" s="19"/>
      <c r="E27" s="19"/>
      <c r="F27" s="20"/>
      <c r="G27" s="20"/>
      <c r="H27" s="19"/>
      <c r="I27" s="20"/>
      <c r="J27" s="21">
        <f t="shared" si="1"/>
        <v>0</v>
      </c>
      <c r="K27" s="7"/>
      <c r="V27" s="5">
        <f t="shared" si="4"/>
        <v>0</v>
      </c>
      <c r="W27" s="5">
        <f t="shared" si="5"/>
        <v>0</v>
      </c>
    </row>
    <row r="28" spans="1:23" x14ac:dyDescent="0.3">
      <c r="A28" s="6"/>
      <c r="B28" s="23">
        <v>11</v>
      </c>
      <c r="C28" s="24">
        <v>44055</v>
      </c>
      <c r="D28" s="25" t="s">
        <v>18</v>
      </c>
      <c r="E28" s="25" t="s">
        <v>34</v>
      </c>
      <c r="F28" s="26">
        <v>100</v>
      </c>
      <c r="G28" s="61">
        <v>145</v>
      </c>
      <c r="H28" s="61">
        <v>45</v>
      </c>
      <c r="I28" s="26">
        <v>100</v>
      </c>
      <c r="J28" s="21">
        <f t="shared" si="1"/>
        <v>4500</v>
      </c>
      <c r="K28" s="7"/>
      <c r="V28" s="5">
        <f t="shared" si="4"/>
        <v>1</v>
      </c>
      <c r="W28" s="5">
        <f t="shared" si="5"/>
        <v>0</v>
      </c>
    </row>
    <row r="29" spans="1:23" x14ac:dyDescent="0.3">
      <c r="A29" s="6"/>
      <c r="B29" s="23">
        <v>12</v>
      </c>
      <c r="C29" s="24">
        <v>44056</v>
      </c>
      <c r="D29" s="25" t="s">
        <v>18</v>
      </c>
      <c r="E29" s="25" t="s">
        <v>34</v>
      </c>
      <c r="F29" s="26">
        <v>100</v>
      </c>
      <c r="G29" s="61">
        <v>50</v>
      </c>
      <c r="H29" s="61">
        <v>-50</v>
      </c>
      <c r="I29" s="26">
        <v>100</v>
      </c>
      <c r="J29" s="21">
        <f t="shared" si="1"/>
        <v>-5000</v>
      </c>
      <c r="K29" s="7"/>
      <c r="V29" s="5">
        <f t="shared" si="4"/>
        <v>0</v>
      </c>
      <c r="W29" s="5">
        <f t="shared" si="5"/>
        <v>1</v>
      </c>
    </row>
    <row r="30" spans="1:23" x14ac:dyDescent="0.3">
      <c r="A30" s="6"/>
      <c r="B30" s="23">
        <v>13</v>
      </c>
      <c r="C30" s="24">
        <v>44056</v>
      </c>
      <c r="D30" s="25" t="s">
        <v>18</v>
      </c>
      <c r="E30" s="25" t="s">
        <v>46</v>
      </c>
      <c r="F30" s="26">
        <v>55</v>
      </c>
      <c r="G30" s="61">
        <v>71</v>
      </c>
      <c r="H30" s="61">
        <v>16</v>
      </c>
      <c r="I30" s="26">
        <v>100</v>
      </c>
      <c r="J30" s="21">
        <f t="shared" si="1"/>
        <v>1600</v>
      </c>
      <c r="K30" s="7"/>
      <c r="V30" s="5">
        <f t="shared" si="4"/>
        <v>1</v>
      </c>
      <c r="W30" s="5">
        <f t="shared" si="5"/>
        <v>0</v>
      </c>
    </row>
    <row r="31" spans="1:23" x14ac:dyDescent="0.3">
      <c r="A31" s="6"/>
      <c r="B31" s="23">
        <v>14</v>
      </c>
      <c r="C31" s="24">
        <v>44057</v>
      </c>
      <c r="D31" s="25" t="s">
        <v>18</v>
      </c>
      <c r="E31" s="25" t="s">
        <v>47</v>
      </c>
      <c r="F31" s="26">
        <v>170</v>
      </c>
      <c r="G31" s="61">
        <v>270</v>
      </c>
      <c r="H31" s="61">
        <v>100</v>
      </c>
      <c r="I31" s="26">
        <v>100</v>
      </c>
      <c r="J31" s="21">
        <f t="shared" si="1"/>
        <v>10000</v>
      </c>
      <c r="K31" s="7"/>
      <c r="V31" s="5">
        <f t="shared" si="4"/>
        <v>1</v>
      </c>
      <c r="W31" s="5">
        <f t="shared" si="5"/>
        <v>0</v>
      </c>
    </row>
    <row r="32" spans="1:23" x14ac:dyDescent="0.3">
      <c r="A32" s="6"/>
      <c r="B32" s="23">
        <v>15</v>
      </c>
      <c r="C32" s="24">
        <v>44057</v>
      </c>
      <c r="D32" s="25" t="s">
        <v>18</v>
      </c>
      <c r="E32" s="25" t="s">
        <v>35</v>
      </c>
      <c r="F32" s="26">
        <v>160</v>
      </c>
      <c r="G32" s="61">
        <v>166</v>
      </c>
      <c r="H32" s="61">
        <v>6</v>
      </c>
      <c r="I32" s="26">
        <v>100</v>
      </c>
      <c r="J32" s="21">
        <f t="shared" si="1"/>
        <v>600</v>
      </c>
      <c r="K32" s="7"/>
      <c r="V32" s="5">
        <f t="shared" si="4"/>
        <v>1</v>
      </c>
      <c r="W32" s="5">
        <f t="shared" si="5"/>
        <v>0</v>
      </c>
    </row>
    <row r="33" spans="1:23" x14ac:dyDescent="0.3">
      <c r="A33" s="6"/>
      <c r="B33" s="23">
        <v>16</v>
      </c>
      <c r="C33" s="24">
        <v>44060</v>
      </c>
      <c r="D33" s="25" t="s">
        <v>18</v>
      </c>
      <c r="E33" s="25" t="s">
        <v>39</v>
      </c>
      <c r="F33" s="26">
        <v>150</v>
      </c>
      <c r="G33" s="61">
        <v>200</v>
      </c>
      <c r="H33" s="61">
        <v>50</v>
      </c>
      <c r="I33" s="26">
        <v>100</v>
      </c>
      <c r="J33" s="21">
        <f t="shared" si="1"/>
        <v>5000</v>
      </c>
      <c r="K33" s="7"/>
      <c r="V33" s="5">
        <f t="shared" si="4"/>
        <v>1</v>
      </c>
      <c r="W33" s="5">
        <f t="shared" si="5"/>
        <v>0</v>
      </c>
    </row>
    <row r="34" spans="1:23" x14ac:dyDescent="0.3">
      <c r="A34" s="6"/>
      <c r="B34" s="23">
        <v>17</v>
      </c>
      <c r="C34" s="24">
        <v>44060</v>
      </c>
      <c r="D34" s="25" t="s">
        <v>18</v>
      </c>
      <c r="E34" s="25" t="s">
        <v>40</v>
      </c>
      <c r="F34" s="26">
        <v>150</v>
      </c>
      <c r="G34" s="61">
        <v>218</v>
      </c>
      <c r="H34" s="61">
        <v>68</v>
      </c>
      <c r="I34" s="26">
        <v>100</v>
      </c>
      <c r="J34" s="21">
        <f t="shared" si="1"/>
        <v>6800</v>
      </c>
      <c r="K34" s="7"/>
      <c r="V34" s="5">
        <f t="shared" si="4"/>
        <v>1</v>
      </c>
      <c r="W34" s="5">
        <f t="shared" si="5"/>
        <v>0</v>
      </c>
    </row>
    <row r="35" spans="1:23" x14ac:dyDescent="0.3">
      <c r="A35" s="6"/>
      <c r="B35" s="23">
        <v>18</v>
      </c>
      <c r="C35" s="24">
        <v>44061</v>
      </c>
      <c r="D35" s="25" t="s">
        <v>18</v>
      </c>
      <c r="E35" s="25" t="s">
        <v>46</v>
      </c>
      <c r="F35" s="26">
        <v>130</v>
      </c>
      <c r="G35" s="61">
        <v>204</v>
      </c>
      <c r="H35" s="61">
        <v>74</v>
      </c>
      <c r="I35" s="26">
        <v>100</v>
      </c>
      <c r="J35" s="21">
        <f t="shared" si="1"/>
        <v>7400</v>
      </c>
      <c r="K35" s="7"/>
      <c r="V35" s="5">
        <f t="shared" si="4"/>
        <v>1</v>
      </c>
      <c r="W35" s="5">
        <f t="shared" si="5"/>
        <v>0</v>
      </c>
    </row>
    <row r="36" spans="1:23" x14ac:dyDescent="0.3">
      <c r="A36" s="6"/>
      <c r="B36" s="23">
        <v>19</v>
      </c>
      <c r="C36" s="24">
        <v>44062</v>
      </c>
      <c r="D36" s="25" t="s">
        <v>18</v>
      </c>
      <c r="E36" s="25" t="s">
        <v>48</v>
      </c>
      <c r="F36" s="26">
        <v>110</v>
      </c>
      <c r="G36" s="61">
        <v>131</v>
      </c>
      <c r="H36" s="61">
        <v>21</v>
      </c>
      <c r="I36" s="26">
        <v>100</v>
      </c>
      <c r="J36" s="21">
        <f t="shared" si="1"/>
        <v>2100</v>
      </c>
      <c r="K36" s="7"/>
      <c r="V36" s="5">
        <f t="shared" si="4"/>
        <v>1</v>
      </c>
      <c r="W36" s="5">
        <f t="shared" si="5"/>
        <v>0</v>
      </c>
    </row>
    <row r="37" spans="1:23" x14ac:dyDescent="0.3">
      <c r="A37" s="6"/>
      <c r="B37" s="23">
        <v>20</v>
      </c>
      <c r="C37" s="24">
        <v>44063</v>
      </c>
      <c r="D37" s="25" t="s">
        <v>18</v>
      </c>
      <c r="E37" s="25" t="s">
        <v>49</v>
      </c>
      <c r="F37" s="26">
        <v>60</v>
      </c>
      <c r="G37" s="61">
        <v>85</v>
      </c>
      <c r="H37" s="61">
        <v>25</v>
      </c>
      <c r="I37" s="26">
        <v>100</v>
      </c>
      <c r="J37" s="21">
        <f t="shared" si="1"/>
        <v>2500</v>
      </c>
      <c r="K37" s="7"/>
      <c r="V37" s="5">
        <f t="shared" si="4"/>
        <v>1</v>
      </c>
      <c r="W37" s="5">
        <f t="shared" si="5"/>
        <v>0</v>
      </c>
    </row>
    <row r="38" spans="1:23" x14ac:dyDescent="0.3">
      <c r="A38" s="6"/>
      <c r="B38" s="23">
        <v>21</v>
      </c>
      <c r="C38" s="24">
        <v>44067</v>
      </c>
      <c r="D38" s="25" t="s">
        <v>18</v>
      </c>
      <c r="E38" s="25" t="s">
        <v>50</v>
      </c>
      <c r="F38" s="26">
        <v>160</v>
      </c>
      <c r="G38" s="61">
        <v>207</v>
      </c>
      <c r="H38" s="61">
        <v>47</v>
      </c>
      <c r="I38" s="26">
        <v>100</v>
      </c>
      <c r="J38" s="21">
        <f t="shared" si="1"/>
        <v>4700</v>
      </c>
      <c r="K38" s="7"/>
      <c r="V38" s="5">
        <f t="shared" si="4"/>
        <v>1</v>
      </c>
      <c r="W38" s="5">
        <f t="shared" si="5"/>
        <v>0</v>
      </c>
    </row>
    <row r="39" spans="1:23" x14ac:dyDescent="0.3">
      <c r="A39" s="6"/>
      <c r="B39" s="23">
        <v>22</v>
      </c>
      <c r="C39" s="24">
        <v>44068</v>
      </c>
      <c r="D39" s="25" t="s">
        <v>18</v>
      </c>
      <c r="E39" s="25" t="s">
        <v>51</v>
      </c>
      <c r="F39" s="26">
        <v>120</v>
      </c>
      <c r="G39" s="61">
        <v>80</v>
      </c>
      <c r="H39" s="61">
        <v>-40</v>
      </c>
      <c r="I39" s="26">
        <v>100</v>
      </c>
      <c r="J39" s="21">
        <f t="shared" si="1"/>
        <v>-4000</v>
      </c>
      <c r="K39" s="7"/>
      <c r="V39" s="5">
        <f t="shared" si="4"/>
        <v>0</v>
      </c>
      <c r="W39" s="5">
        <f t="shared" si="5"/>
        <v>1</v>
      </c>
    </row>
    <row r="40" spans="1:23" x14ac:dyDescent="0.3">
      <c r="A40" s="6"/>
      <c r="B40" s="23">
        <v>23</v>
      </c>
      <c r="C40" s="24">
        <v>44068</v>
      </c>
      <c r="D40" s="25" t="s">
        <v>18</v>
      </c>
      <c r="E40" s="25" t="s">
        <v>52</v>
      </c>
      <c r="F40" s="26">
        <v>160</v>
      </c>
      <c r="G40" s="61">
        <v>231</v>
      </c>
      <c r="H40" s="61">
        <v>71</v>
      </c>
      <c r="I40" s="26">
        <v>100</v>
      </c>
      <c r="J40" s="21">
        <f t="shared" si="1"/>
        <v>7100</v>
      </c>
      <c r="K40" s="7"/>
      <c r="V40" s="5">
        <f t="shared" si="4"/>
        <v>1</v>
      </c>
      <c r="W40" s="5">
        <f t="shared" si="5"/>
        <v>0</v>
      </c>
    </row>
    <row r="41" spans="1:23" x14ac:dyDescent="0.3">
      <c r="A41" s="6"/>
      <c r="B41" s="23">
        <v>24</v>
      </c>
      <c r="C41" s="24">
        <v>44069</v>
      </c>
      <c r="D41" s="25" t="s">
        <v>18</v>
      </c>
      <c r="E41" s="25" t="s">
        <v>53</v>
      </c>
      <c r="F41" s="26">
        <v>100</v>
      </c>
      <c r="G41" s="61">
        <v>140</v>
      </c>
      <c r="H41" s="61">
        <v>40</v>
      </c>
      <c r="I41" s="26">
        <v>100</v>
      </c>
      <c r="J41" s="21">
        <f t="shared" si="1"/>
        <v>4000</v>
      </c>
      <c r="K41" s="7"/>
      <c r="V41" s="5">
        <f t="shared" si="4"/>
        <v>1</v>
      </c>
      <c r="W41" s="5">
        <f t="shared" si="5"/>
        <v>0</v>
      </c>
    </row>
    <row r="42" spans="1:23" x14ac:dyDescent="0.3">
      <c r="A42" s="6"/>
      <c r="B42" s="23">
        <v>25</v>
      </c>
      <c r="C42" s="24">
        <v>44069</v>
      </c>
      <c r="D42" s="25" t="s">
        <v>18</v>
      </c>
      <c r="E42" s="25" t="s">
        <v>51</v>
      </c>
      <c r="F42" s="26">
        <v>140</v>
      </c>
      <c r="G42" s="61">
        <v>220</v>
      </c>
      <c r="H42" s="61">
        <v>80</v>
      </c>
      <c r="I42" s="26">
        <v>100</v>
      </c>
      <c r="J42" s="21">
        <f t="shared" si="1"/>
        <v>8000</v>
      </c>
      <c r="K42" s="7"/>
      <c r="V42" s="5">
        <f t="shared" si="4"/>
        <v>1</v>
      </c>
      <c r="W42" s="5">
        <f t="shared" si="5"/>
        <v>0</v>
      </c>
    </row>
    <row r="43" spans="1:23" x14ac:dyDescent="0.3">
      <c r="A43" s="6"/>
      <c r="B43" s="23">
        <v>26</v>
      </c>
      <c r="C43" s="24">
        <v>44070</v>
      </c>
      <c r="D43" s="25" t="s">
        <v>18</v>
      </c>
      <c r="E43" s="25" t="s">
        <v>54</v>
      </c>
      <c r="F43" s="26">
        <v>50</v>
      </c>
      <c r="G43" s="61">
        <v>65</v>
      </c>
      <c r="H43" s="61">
        <v>15</v>
      </c>
      <c r="I43" s="26">
        <v>100</v>
      </c>
      <c r="J43" s="21">
        <f t="shared" si="1"/>
        <v>1500</v>
      </c>
      <c r="K43" s="7"/>
      <c r="V43" s="5">
        <f t="shared" si="4"/>
        <v>1</v>
      </c>
      <c r="W43" s="5">
        <f t="shared" si="5"/>
        <v>0</v>
      </c>
    </row>
    <row r="44" spans="1:23" x14ac:dyDescent="0.3">
      <c r="A44" s="6"/>
      <c r="B44" s="23">
        <v>27</v>
      </c>
      <c r="C44" s="24">
        <v>44071</v>
      </c>
      <c r="D44" s="25" t="s">
        <v>18</v>
      </c>
      <c r="E44" s="25" t="s">
        <v>55</v>
      </c>
      <c r="F44" s="26">
        <v>190</v>
      </c>
      <c r="G44" s="61">
        <v>207</v>
      </c>
      <c r="H44" s="61">
        <v>17</v>
      </c>
      <c r="I44" s="26">
        <v>100</v>
      </c>
      <c r="J44" s="21">
        <f t="shared" si="1"/>
        <v>1700</v>
      </c>
      <c r="K44" s="7"/>
      <c r="V44" s="5">
        <f t="shared" si="4"/>
        <v>1</v>
      </c>
      <c r="W44" s="5">
        <f t="shared" si="5"/>
        <v>0</v>
      </c>
    </row>
    <row r="45" spans="1:23" x14ac:dyDescent="0.3">
      <c r="A45" s="6"/>
      <c r="B45" s="23">
        <v>28</v>
      </c>
      <c r="C45" s="24">
        <v>44071</v>
      </c>
      <c r="D45" s="25" t="s">
        <v>18</v>
      </c>
      <c r="E45" s="25" t="s">
        <v>56</v>
      </c>
      <c r="F45" s="26">
        <v>180</v>
      </c>
      <c r="G45" s="61">
        <v>280</v>
      </c>
      <c r="H45" s="61">
        <v>100</v>
      </c>
      <c r="I45" s="26">
        <v>100</v>
      </c>
      <c r="J45" s="21">
        <f t="shared" si="1"/>
        <v>10000</v>
      </c>
      <c r="K45" s="7"/>
      <c r="V45" s="5">
        <f t="shared" si="4"/>
        <v>1</v>
      </c>
      <c r="W45" s="5">
        <f t="shared" si="5"/>
        <v>0</v>
      </c>
    </row>
    <row r="46" spans="1:23" x14ac:dyDescent="0.3">
      <c r="A46" s="6"/>
      <c r="B46" s="23">
        <v>29</v>
      </c>
      <c r="C46" s="24">
        <v>44071</v>
      </c>
      <c r="D46" s="25" t="s">
        <v>18</v>
      </c>
      <c r="E46" s="25" t="s">
        <v>57</v>
      </c>
      <c r="F46" s="26">
        <v>180</v>
      </c>
      <c r="G46" s="61">
        <v>300</v>
      </c>
      <c r="H46" s="61">
        <v>120</v>
      </c>
      <c r="I46" s="26">
        <v>100</v>
      </c>
      <c r="J46" s="21">
        <f t="shared" si="1"/>
        <v>12000</v>
      </c>
      <c r="K46" s="7"/>
      <c r="V46" s="5">
        <f t="shared" si="4"/>
        <v>1</v>
      </c>
      <c r="W46" s="5">
        <f t="shared" si="5"/>
        <v>0</v>
      </c>
    </row>
    <row r="47" spans="1:23" x14ac:dyDescent="0.3">
      <c r="A47" s="6"/>
      <c r="B47" s="23">
        <v>30</v>
      </c>
      <c r="C47" s="24">
        <v>44071</v>
      </c>
      <c r="D47" s="25" t="s">
        <v>18</v>
      </c>
      <c r="E47" s="25" t="s">
        <v>58</v>
      </c>
      <c r="F47" s="26">
        <v>160</v>
      </c>
      <c r="G47" s="61">
        <v>260</v>
      </c>
      <c r="H47" s="61">
        <v>100</v>
      </c>
      <c r="I47" s="26">
        <v>100</v>
      </c>
      <c r="J47" s="21">
        <f t="shared" si="1"/>
        <v>10000</v>
      </c>
      <c r="K47" s="7"/>
      <c r="V47" s="5">
        <f t="shared" si="4"/>
        <v>1</v>
      </c>
      <c r="W47" s="5">
        <f t="shared" si="5"/>
        <v>0</v>
      </c>
    </row>
    <row r="48" spans="1:23" x14ac:dyDescent="0.3">
      <c r="A48" s="6"/>
      <c r="B48" s="23">
        <v>31</v>
      </c>
      <c r="C48" s="24">
        <v>44074</v>
      </c>
      <c r="D48" s="25" t="s">
        <v>18</v>
      </c>
      <c r="E48" s="25" t="s">
        <v>59</v>
      </c>
      <c r="F48" s="26">
        <v>180</v>
      </c>
      <c r="G48" s="61">
        <v>300</v>
      </c>
      <c r="H48" s="61">
        <v>120</v>
      </c>
      <c r="I48" s="26">
        <v>100</v>
      </c>
      <c r="J48" s="21">
        <f t="shared" si="1"/>
        <v>12000</v>
      </c>
      <c r="K48" s="7"/>
      <c r="V48" s="5">
        <f t="shared" si="4"/>
        <v>1</v>
      </c>
      <c r="W48" s="5">
        <f t="shared" si="5"/>
        <v>0</v>
      </c>
    </row>
    <row r="49" spans="1:23" x14ac:dyDescent="0.3">
      <c r="A49" s="6"/>
      <c r="B49" s="23">
        <v>32</v>
      </c>
      <c r="C49" s="24">
        <v>44074</v>
      </c>
      <c r="D49" s="25" t="s">
        <v>18</v>
      </c>
      <c r="E49" s="25" t="s">
        <v>60</v>
      </c>
      <c r="F49" s="26">
        <v>180</v>
      </c>
      <c r="G49" s="61">
        <v>300</v>
      </c>
      <c r="H49" s="61">
        <v>120</v>
      </c>
      <c r="I49" s="26">
        <v>100</v>
      </c>
      <c r="J49" s="21">
        <f t="shared" si="1"/>
        <v>12000</v>
      </c>
      <c r="K49" s="7"/>
      <c r="V49" s="5">
        <f t="shared" si="4"/>
        <v>1</v>
      </c>
      <c r="W49" s="5">
        <f t="shared" si="5"/>
        <v>0</v>
      </c>
    </row>
    <row r="50" spans="1:23" x14ac:dyDescent="0.3">
      <c r="A50" s="6"/>
      <c r="B50" s="23">
        <v>33</v>
      </c>
      <c r="C50" s="24">
        <v>44074</v>
      </c>
      <c r="D50" s="25" t="s">
        <v>18</v>
      </c>
      <c r="E50" s="25" t="s">
        <v>61</v>
      </c>
      <c r="F50" s="26">
        <v>210</v>
      </c>
      <c r="G50" s="61">
        <v>310</v>
      </c>
      <c r="H50" s="61">
        <v>100</v>
      </c>
      <c r="I50" s="26">
        <v>100</v>
      </c>
      <c r="J50" s="21">
        <f t="shared" si="1"/>
        <v>10000</v>
      </c>
      <c r="K50" s="7"/>
      <c r="V50" s="5">
        <f t="shared" si="4"/>
        <v>1</v>
      </c>
      <c r="W50" s="5">
        <f t="shared" si="5"/>
        <v>0</v>
      </c>
    </row>
    <row r="51" spans="1:23" x14ac:dyDescent="0.3">
      <c r="A51" s="6"/>
      <c r="B51" s="23">
        <v>34</v>
      </c>
      <c r="C51" s="24">
        <v>44074</v>
      </c>
      <c r="D51" s="25" t="s">
        <v>18</v>
      </c>
      <c r="E51" s="25" t="s">
        <v>62</v>
      </c>
      <c r="F51" s="26">
        <v>210</v>
      </c>
      <c r="G51" s="61">
        <v>150</v>
      </c>
      <c r="H51" s="61">
        <v>-60</v>
      </c>
      <c r="I51" s="26">
        <v>100</v>
      </c>
      <c r="J51" s="21">
        <f t="shared" si="1"/>
        <v>-6000</v>
      </c>
      <c r="K51" s="7"/>
      <c r="V51" s="5">
        <f t="shared" si="4"/>
        <v>0</v>
      </c>
      <c r="W51" s="5">
        <f t="shared" si="5"/>
        <v>1</v>
      </c>
    </row>
    <row r="52" spans="1:23" x14ac:dyDescent="0.3">
      <c r="A52" s="6"/>
      <c r="B52" s="23">
        <v>35</v>
      </c>
      <c r="C52" s="24">
        <v>44074</v>
      </c>
      <c r="D52" s="25" t="s">
        <v>18</v>
      </c>
      <c r="E52" s="25" t="s">
        <v>63</v>
      </c>
      <c r="F52" s="61">
        <v>220</v>
      </c>
      <c r="G52" s="61">
        <v>270</v>
      </c>
      <c r="H52" s="61">
        <v>50</v>
      </c>
      <c r="I52" s="26">
        <v>100</v>
      </c>
      <c r="J52" s="21">
        <f t="shared" si="1"/>
        <v>5000</v>
      </c>
      <c r="K52" s="7"/>
      <c r="V52" s="5">
        <f t="shared" si="4"/>
        <v>1</v>
      </c>
      <c r="W52" s="5">
        <f t="shared" si="5"/>
        <v>0</v>
      </c>
    </row>
    <row r="53" spans="1:23" x14ac:dyDescent="0.3">
      <c r="A53" s="6"/>
      <c r="B53" s="23">
        <v>36</v>
      </c>
      <c r="C53" s="24"/>
      <c r="D53" s="25"/>
      <c r="E53" s="25"/>
      <c r="F53" s="61"/>
      <c r="G53" s="61"/>
      <c r="H53" s="61"/>
      <c r="I53" s="26"/>
      <c r="J53" s="21">
        <f t="shared" si="1"/>
        <v>0</v>
      </c>
      <c r="K53" s="7"/>
      <c r="V53" s="5">
        <f t="shared" si="4"/>
        <v>0</v>
      </c>
      <c r="W53" s="5">
        <f t="shared" si="5"/>
        <v>0</v>
      </c>
    </row>
    <row r="54" spans="1:23" ht="15" thickBot="1" x14ac:dyDescent="0.35">
      <c r="A54" s="6"/>
      <c r="B54" s="23">
        <v>37</v>
      </c>
      <c r="C54" s="24"/>
      <c r="D54" s="25"/>
      <c r="E54" s="25"/>
      <c r="F54" s="26"/>
      <c r="G54" s="26"/>
      <c r="H54" s="25"/>
      <c r="I54" s="26"/>
      <c r="J54" s="27">
        <f t="shared" si="1"/>
        <v>0</v>
      </c>
      <c r="K54" s="7"/>
      <c r="V54" s="5">
        <f t="shared" si="4"/>
        <v>0</v>
      </c>
      <c r="W54" s="5">
        <f t="shared" si="5"/>
        <v>0</v>
      </c>
    </row>
    <row r="55" spans="1:23" ht="24" thickBot="1" x14ac:dyDescent="0.5">
      <c r="A55" s="6"/>
      <c r="B55" s="144" t="s">
        <v>22</v>
      </c>
      <c r="C55" s="145"/>
      <c r="D55" s="145"/>
      <c r="E55" s="145"/>
      <c r="F55" s="145"/>
      <c r="G55" s="145"/>
      <c r="H55" s="146"/>
      <c r="I55" s="28" t="s">
        <v>23</v>
      </c>
      <c r="J55" s="29">
        <f>SUM(J6:J54)</f>
        <v>143800</v>
      </c>
      <c r="K55" s="7"/>
      <c r="V55" s="5">
        <f>SUM(V6:V54)</f>
        <v>29</v>
      </c>
      <c r="W55" s="5">
        <f>SUM(W6:W54)</f>
        <v>6</v>
      </c>
    </row>
    <row r="56" spans="1:23" ht="30" customHeight="1" thickBot="1" x14ac:dyDescent="0.35">
      <c r="A56" s="30"/>
      <c r="B56" s="31"/>
      <c r="C56" s="31"/>
      <c r="D56" s="31"/>
      <c r="E56" s="31"/>
      <c r="F56" s="31"/>
      <c r="G56" s="31"/>
      <c r="H56" s="32"/>
      <c r="I56" s="31"/>
      <c r="J56" s="32"/>
      <c r="K56" s="33"/>
    </row>
  </sheetData>
  <mergeCells count="2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M8:O10"/>
    <mergeCell ref="P8:R10"/>
    <mergeCell ref="B55:H55"/>
    <mergeCell ref="M6:M7"/>
    <mergeCell ref="N6:N7"/>
    <mergeCell ref="O6:O7"/>
    <mergeCell ref="P6:P7"/>
    <mergeCell ref="Q6:Q7"/>
    <mergeCell ref="R6:R7"/>
  </mergeCells>
  <hyperlinks>
    <hyperlink ref="B55" r:id="rId1" xr:uid="{00000000-0004-0000-0100-000000000000}"/>
    <hyperlink ref="M1" location="MASTER!A1" display="Back" xr:uid="{00000000-0004-0000-0100-000001000000}"/>
  </hyperlinks>
  <pageMargins left="0" right="0" top="0" bottom="0" header="0" footer="0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180"/>
  <sheetViews>
    <sheetView zoomScaleNormal="100" workbookViewId="0"/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44593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95" t="s">
        <v>107</v>
      </c>
      <c r="N4" s="111">
        <f>COUNT(C6:C58)</f>
        <v>39</v>
      </c>
      <c r="O4" s="113">
        <f>V59</f>
        <v>31</v>
      </c>
      <c r="P4" s="113">
        <f>W59</f>
        <v>8</v>
      </c>
      <c r="Q4" s="197">
        <f>N4-O4-P4</f>
        <v>0</v>
      </c>
      <c r="R4" s="199">
        <f>O4/N4</f>
        <v>0.79487179487179482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96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44593</v>
      </c>
      <c r="D6" s="90" t="s">
        <v>18</v>
      </c>
      <c r="E6" s="90" t="s">
        <v>508</v>
      </c>
      <c r="F6" s="90">
        <v>210</v>
      </c>
      <c r="G6" s="90">
        <v>250</v>
      </c>
      <c r="H6" s="91">
        <v>40</v>
      </c>
      <c r="I6" s="90">
        <v>100</v>
      </c>
      <c r="J6" s="92">
        <f t="shared" ref="J6:J58" si="0">H6*I6</f>
        <v>4000</v>
      </c>
      <c r="K6" s="7"/>
      <c r="M6" s="213" t="s">
        <v>108</v>
      </c>
      <c r="N6" s="112">
        <f>COUNT(C67:C124)</f>
        <v>38</v>
      </c>
      <c r="O6" s="113">
        <f>V125</f>
        <v>30</v>
      </c>
      <c r="P6" s="113">
        <f>W125</f>
        <v>5</v>
      </c>
      <c r="Q6" s="198">
        <v>0</v>
      </c>
      <c r="R6" s="203">
        <f t="shared" ref="R6" si="1">O6/N6</f>
        <v>0.78947368421052633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x14ac:dyDescent="0.3">
      <c r="A7" s="6"/>
      <c r="B7" s="17">
        <v>2</v>
      </c>
      <c r="C7" s="85">
        <v>44594</v>
      </c>
      <c r="D7" s="86" t="s">
        <v>18</v>
      </c>
      <c r="E7" s="86" t="s">
        <v>554</v>
      </c>
      <c r="F7" s="86">
        <v>130</v>
      </c>
      <c r="G7" s="86">
        <v>200</v>
      </c>
      <c r="H7" s="87">
        <f>200-130</f>
        <v>70</v>
      </c>
      <c r="I7" s="86">
        <v>100</v>
      </c>
      <c r="J7" s="21">
        <f t="shared" si="0"/>
        <v>7000</v>
      </c>
      <c r="K7" s="7"/>
      <c r="M7" s="213"/>
      <c r="N7" s="112"/>
      <c r="O7" s="114"/>
      <c r="P7" s="114"/>
      <c r="Q7" s="198"/>
      <c r="R7" s="200"/>
      <c r="V7" s="5">
        <f t="shared" si="2"/>
        <v>1</v>
      </c>
      <c r="W7" s="5">
        <f t="shared" si="3"/>
        <v>0</v>
      </c>
    </row>
    <row r="8" spans="1:23" x14ac:dyDescent="0.3">
      <c r="A8" s="6"/>
      <c r="B8" s="88">
        <v>3</v>
      </c>
      <c r="C8" s="85">
        <v>44594</v>
      </c>
      <c r="D8" s="86" t="s">
        <v>18</v>
      </c>
      <c r="E8" s="86" t="s">
        <v>554</v>
      </c>
      <c r="F8" s="86">
        <v>130</v>
      </c>
      <c r="G8" s="86">
        <v>150</v>
      </c>
      <c r="H8" s="87">
        <v>20</v>
      </c>
      <c r="I8" s="86">
        <v>100</v>
      </c>
      <c r="J8" s="21">
        <f t="shared" si="0"/>
        <v>2000</v>
      </c>
      <c r="K8" s="7"/>
      <c r="M8" s="214" t="s">
        <v>194</v>
      </c>
      <c r="N8" s="112">
        <f>COUNT(C133:C178)</f>
        <v>38</v>
      </c>
      <c r="O8" s="114">
        <f>V179</f>
        <v>34</v>
      </c>
      <c r="P8" s="114">
        <f>W179</f>
        <v>4</v>
      </c>
      <c r="Q8" s="198">
        <f>N8-O8-P8</f>
        <v>0</v>
      </c>
      <c r="R8" s="203">
        <f t="shared" ref="R8:R10" si="4">O8/N8</f>
        <v>0.89473684210526316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44595</v>
      </c>
      <c r="D9" s="86" t="s">
        <v>18</v>
      </c>
      <c r="E9" s="86" t="s">
        <v>634</v>
      </c>
      <c r="F9" s="86">
        <v>130</v>
      </c>
      <c r="G9" s="86">
        <v>154</v>
      </c>
      <c r="H9" s="87">
        <v>24</v>
      </c>
      <c r="I9" s="86">
        <v>100</v>
      </c>
      <c r="J9" s="21">
        <f t="shared" si="0"/>
        <v>2400</v>
      </c>
      <c r="K9" s="7"/>
      <c r="M9" s="215"/>
      <c r="N9" s="184"/>
      <c r="O9" s="172"/>
      <c r="P9" s="172"/>
      <c r="Q9" s="174"/>
      <c r="R9" s="204"/>
      <c r="V9" s="5">
        <f t="shared" si="2"/>
        <v>1</v>
      </c>
      <c r="W9" s="5">
        <f t="shared" si="3"/>
        <v>0</v>
      </c>
    </row>
    <row r="10" spans="1:23" ht="16.5" customHeight="1" x14ac:dyDescent="0.3">
      <c r="A10" s="6"/>
      <c r="B10" s="88">
        <v>5</v>
      </c>
      <c r="C10" s="85">
        <v>44595</v>
      </c>
      <c r="D10" s="86" t="s">
        <v>18</v>
      </c>
      <c r="E10" s="86" t="s">
        <v>634</v>
      </c>
      <c r="F10" s="86">
        <v>100</v>
      </c>
      <c r="G10" s="86">
        <v>150</v>
      </c>
      <c r="H10" s="87">
        <v>50</v>
      </c>
      <c r="I10" s="86">
        <v>100</v>
      </c>
      <c r="J10" s="21">
        <f t="shared" si="0"/>
        <v>5000</v>
      </c>
      <c r="K10" s="7"/>
      <c r="M10" s="207" t="s">
        <v>19</v>
      </c>
      <c r="N10" s="149">
        <f>SUM(N4:N9)</f>
        <v>115</v>
      </c>
      <c r="O10" s="209">
        <f>SUM(O4:O9)</f>
        <v>95</v>
      </c>
      <c r="P10" s="209">
        <f>SUM(P4:P9)</f>
        <v>17</v>
      </c>
      <c r="Q10" s="211">
        <f>SUM(Q4:Q9)</f>
        <v>0</v>
      </c>
      <c r="R10" s="199">
        <f t="shared" si="4"/>
        <v>0.82608695652173914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44596</v>
      </c>
      <c r="D11" s="86" t="s">
        <v>18</v>
      </c>
      <c r="E11" s="86" t="s">
        <v>510</v>
      </c>
      <c r="F11" s="86">
        <v>140</v>
      </c>
      <c r="G11" s="86">
        <v>158</v>
      </c>
      <c r="H11" s="87">
        <v>18</v>
      </c>
      <c r="I11" s="86">
        <v>100</v>
      </c>
      <c r="J11" s="21">
        <f t="shared" si="0"/>
        <v>1800</v>
      </c>
      <c r="K11" s="7"/>
      <c r="M11" s="208"/>
      <c r="N11" s="150"/>
      <c r="O11" s="210"/>
      <c r="P11" s="210"/>
      <c r="Q11" s="212"/>
      <c r="R11" s="204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44596</v>
      </c>
      <c r="D12" s="86" t="s">
        <v>18</v>
      </c>
      <c r="E12" s="86" t="s">
        <v>514</v>
      </c>
      <c r="F12" s="86">
        <v>140</v>
      </c>
      <c r="G12" s="86">
        <v>130</v>
      </c>
      <c r="H12" s="87">
        <v>-10</v>
      </c>
      <c r="I12" s="86">
        <v>100</v>
      </c>
      <c r="J12" s="21">
        <f t="shared" si="0"/>
        <v>-1000</v>
      </c>
      <c r="K12" s="7"/>
      <c r="M12" s="126" t="s">
        <v>20</v>
      </c>
      <c r="N12" s="130"/>
      <c r="O12" s="131"/>
      <c r="P12" s="138">
        <f>R10</f>
        <v>0.82608695652173914</v>
      </c>
      <c r="Q12" s="139"/>
      <c r="R12" s="137"/>
      <c r="V12" s="5">
        <f t="shared" si="2"/>
        <v>0</v>
      </c>
      <c r="W12" s="5">
        <f t="shared" si="3"/>
        <v>1</v>
      </c>
    </row>
    <row r="13" spans="1:23" ht="15" customHeight="1" x14ac:dyDescent="0.3">
      <c r="A13" s="6"/>
      <c r="B13" s="17">
        <v>8</v>
      </c>
      <c r="C13" s="85">
        <v>44599</v>
      </c>
      <c r="D13" s="86" t="s">
        <v>18</v>
      </c>
      <c r="E13" s="86" t="s">
        <v>554</v>
      </c>
      <c r="F13" s="86">
        <v>140</v>
      </c>
      <c r="G13" s="86">
        <v>130</v>
      </c>
      <c r="H13" s="87">
        <v>-10</v>
      </c>
      <c r="I13" s="86">
        <v>100</v>
      </c>
      <c r="J13" s="21">
        <f t="shared" si="0"/>
        <v>-1000</v>
      </c>
      <c r="K13" s="7"/>
      <c r="M13" s="129"/>
      <c r="N13" s="130"/>
      <c r="O13" s="131"/>
      <c r="P13" s="138"/>
      <c r="Q13" s="139"/>
      <c r="R13" s="140"/>
      <c r="V13" s="5">
        <f t="shared" si="2"/>
        <v>0</v>
      </c>
      <c r="W13" s="5">
        <f t="shared" si="3"/>
        <v>1</v>
      </c>
    </row>
    <row r="14" spans="1:23" ht="15.75" customHeight="1" thickBot="1" x14ac:dyDescent="0.35">
      <c r="A14" s="6"/>
      <c r="B14" s="88">
        <v>9</v>
      </c>
      <c r="C14" s="85">
        <v>44599</v>
      </c>
      <c r="D14" s="86" t="s">
        <v>18</v>
      </c>
      <c r="E14" s="86" t="s">
        <v>635</v>
      </c>
      <c r="F14" s="86">
        <v>140</v>
      </c>
      <c r="G14" s="86">
        <v>240</v>
      </c>
      <c r="H14" s="87">
        <v>100</v>
      </c>
      <c r="I14" s="86">
        <v>100</v>
      </c>
      <c r="J14" s="21">
        <f t="shared" si="0"/>
        <v>10000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44599</v>
      </c>
      <c r="D15" s="86" t="s">
        <v>18</v>
      </c>
      <c r="E15" s="86" t="s">
        <v>636</v>
      </c>
      <c r="F15" s="86">
        <v>140</v>
      </c>
      <c r="G15" s="86">
        <v>190</v>
      </c>
      <c r="H15" s="87">
        <v>50</v>
      </c>
      <c r="I15" s="86">
        <v>100</v>
      </c>
      <c r="J15" s="21">
        <f t="shared" si="0"/>
        <v>5000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18">
        <v>44600</v>
      </c>
      <c r="D16" s="19" t="s">
        <v>18</v>
      </c>
      <c r="E16" s="19" t="s">
        <v>615</v>
      </c>
      <c r="F16" s="35">
        <v>140</v>
      </c>
      <c r="G16" s="35">
        <v>240</v>
      </c>
      <c r="H16" s="35">
        <v>100</v>
      </c>
      <c r="I16" s="20">
        <v>100</v>
      </c>
      <c r="J16" s="21">
        <f t="shared" si="0"/>
        <v>10000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18">
        <v>44600</v>
      </c>
      <c r="D17" s="19" t="s">
        <v>18</v>
      </c>
      <c r="E17" s="19" t="s">
        <v>581</v>
      </c>
      <c r="F17" s="35">
        <v>140</v>
      </c>
      <c r="G17" s="35">
        <v>179</v>
      </c>
      <c r="H17" s="35">
        <v>39</v>
      </c>
      <c r="I17" s="20">
        <v>100</v>
      </c>
      <c r="J17" s="21">
        <f t="shared" si="0"/>
        <v>3900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18">
        <v>44601</v>
      </c>
      <c r="D18" s="19" t="s">
        <v>18</v>
      </c>
      <c r="E18" s="19" t="s">
        <v>463</v>
      </c>
      <c r="F18" s="35">
        <v>140</v>
      </c>
      <c r="G18" s="35">
        <v>164</v>
      </c>
      <c r="H18" s="35">
        <v>24</v>
      </c>
      <c r="I18" s="20">
        <v>100</v>
      </c>
      <c r="J18" s="21">
        <f t="shared" si="0"/>
        <v>2400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18">
        <v>44602</v>
      </c>
      <c r="D19" s="19" t="s">
        <v>18</v>
      </c>
      <c r="E19" s="19" t="s">
        <v>637</v>
      </c>
      <c r="F19" s="35">
        <v>120</v>
      </c>
      <c r="G19" s="35">
        <v>135</v>
      </c>
      <c r="H19" s="35">
        <v>15</v>
      </c>
      <c r="I19" s="20">
        <v>100</v>
      </c>
      <c r="J19" s="21">
        <f t="shared" si="0"/>
        <v>1500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18">
        <v>44602</v>
      </c>
      <c r="D20" s="19" t="s">
        <v>18</v>
      </c>
      <c r="E20" s="19" t="s">
        <v>638</v>
      </c>
      <c r="F20" s="35">
        <v>120</v>
      </c>
      <c r="G20" s="35">
        <v>170</v>
      </c>
      <c r="H20" s="78">
        <v>50</v>
      </c>
      <c r="I20" s="20">
        <v>100</v>
      </c>
      <c r="J20" s="21">
        <f t="shared" si="0"/>
        <v>5000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18">
        <v>44603</v>
      </c>
      <c r="D21" s="19" t="s">
        <v>18</v>
      </c>
      <c r="E21" s="19" t="s">
        <v>464</v>
      </c>
      <c r="F21" s="35">
        <v>140</v>
      </c>
      <c r="G21" s="35">
        <v>210</v>
      </c>
      <c r="H21" s="35">
        <f>210-140</f>
        <v>70</v>
      </c>
      <c r="I21" s="20">
        <v>100</v>
      </c>
      <c r="J21" s="21">
        <f t="shared" si="0"/>
        <v>7000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44603</v>
      </c>
      <c r="D22" s="19" t="s">
        <v>18</v>
      </c>
      <c r="E22" s="19" t="s">
        <v>465</v>
      </c>
      <c r="F22" s="35">
        <v>150</v>
      </c>
      <c r="G22" s="35">
        <v>168</v>
      </c>
      <c r="H22" s="35">
        <v>18</v>
      </c>
      <c r="I22" s="20">
        <v>100</v>
      </c>
      <c r="J22" s="21">
        <f t="shared" si="0"/>
        <v>1800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44603</v>
      </c>
      <c r="D23" s="19" t="s">
        <v>18</v>
      </c>
      <c r="E23" s="19" t="s">
        <v>504</v>
      </c>
      <c r="F23" s="35">
        <v>130</v>
      </c>
      <c r="G23" s="35">
        <v>230</v>
      </c>
      <c r="H23" s="35">
        <v>100</v>
      </c>
      <c r="I23" s="20">
        <v>100</v>
      </c>
      <c r="J23" s="21">
        <f t="shared" si="0"/>
        <v>10000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44606</v>
      </c>
      <c r="D24" s="19" t="s">
        <v>18</v>
      </c>
      <c r="E24" s="19" t="s">
        <v>639</v>
      </c>
      <c r="F24" s="35">
        <v>150</v>
      </c>
      <c r="G24" s="35">
        <v>165</v>
      </c>
      <c r="H24" s="35">
        <v>15</v>
      </c>
      <c r="I24" s="20">
        <v>100</v>
      </c>
      <c r="J24" s="21">
        <f t="shared" si="0"/>
        <v>1500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44606</v>
      </c>
      <c r="D25" s="19" t="s">
        <v>18</v>
      </c>
      <c r="E25" s="19" t="s">
        <v>622</v>
      </c>
      <c r="F25" s="35">
        <v>130</v>
      </c>
      <c r="G25" s="35">
        <v>80</v>
      </c>
      <c r="H25" s="35">
        <v>-50</v>
      </c>
      <c r="I25" s="20">
        <v>100</v>
      </c>
      <c r="J25" s="21">
        <f t="shared" si="0"/>
        <v>-5000</v>
      </c>
      <c r="K25" s="7"/>
      <c r="V25" s="5">
        <f t="shared" si="2"/>
        <v>0</v>
      </c>
      <c r="W25" s="5">
        <f t="shared" si="3"/>
        <v>1</v>
      </c>
    </row>
    <row r="26" spans="1:23" x14ac:dyDescent="0.3">
      <c r="A26" s="6"/>
      <c r="B26" s="88">
        <v>21</v>
      </c>
      <c r="C26" s="18">
        <v>44607</v>
      </c>
      <c r="D26" s="19" t="s">
        <v>18</v>
      </c>
      <c r="E26" s="19" t="s">
        <v>455</v>
      </c>
      <c r="F26" s="35">
        <v>150</v>
      </c>
      <c r="G26" s="35">
        <v>200</v>
      </c>
      <c r="H26" s="35">
        <v>50</v>
      </c>
      <c r="I26" s="20">
        <v>100</v>
      </c>
      <c r="J26" s="21">
        <f t="shared" si="0"/>
        <v>5000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44607</v>
      </c>
      <c r="D27" s="19" t="s">
        <v>18</v>
      </c>
      <c r="E27" s="19" t="s">
        <v>639</v>
      </c>
      <c r="F27" s="35">
        <v>150</v>
      </c>
      <c r="G27" s="35">
        <v>100</v>
      </c>
      <c r="H27" s="19">
        <v>-50</v>
      </c>
      <c r="I27" s="20">
        <v>100</v>
      </c>
      <c r="J27" s="21">
        <f t="shared" si="0"/>
        <v>-5000</v>
      </c>
      <c r="K27" s="7"/>
      <c r="V27" s="5">
        <f t="shared" si="2"/>
        <v>0</v>
      </c>
      <c r="W27" s="5">
        <f t="shared" si="3"/>
        <v>1</v>
      </c>
    </row>
    <row r="28" spans="1:23" x14ac:dyDescent="0.3">
      <c r="A28" s="6"/>
      <c r="B28" s="88">
        <v>23</v>
      </c>
      <c r="C28" s="18">
        <v>44607</v>
      </c>
      <c r="D28" s="19" t="s">
        <v>18</v>
      </c>
      <c r="E28" s="19" t="s">
        <v>504</v>
      </c>
      <c r="F28" s="35">
        <v>130</v>
      </c>
      <c r="G28" s="35">
        <v>230</v>
      </c>
      <c r="H28" s="19">
        <v>100</v>
      </c>
      <c r="I28" s="20">
        <v>100</v>
      </c>
      <c r="J28" s="21">
        <f t="shared" si="0"/>
        <v>10000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44608</v>
      </c>
      <c r="D29" s="19" t="s">
        <v>18</v>
      </c>
      <c r="E29" s="19" t="s">
        <v>464</v>
      </c>
      <c r="F29" s="20">
        <v>150</v>
      </c>
      <c r="G29" s="20">
        <v>100</v>
      </c>
      <c r="H29" s="19">
        <v>-50</v>
      </c>
      <c r="I29" s="20">
        <v>100</v>
      </c>
      <c r="J29" s="21">
        <f t="shared" si="0"/>
        <v>-5000</v>
      </c>
      <c r="K29" s="7"/>
      <c r="V29" s="5">
        <f t="shared" si="2"/>
        <v>0</v>
      </c>
      <c r="W29" s="5">
        <f t="shared" si="3"/>
        <v>1</v>
      </c>
    </row>
    <row r="30" spans="1:23" x14ac:dyDescent="0.3">
      <c r="A30" s="6"/>
      <c r="B30" s="88">
        <v>25</v>
      </c>
      <c r="C30" s="24">
        <v>44608</v>
      </c>
      <c r="D30" s="25" t="s">
        <v>18</v>
      </c>
      <c r="E30" s="25" t="s">
        <v>640</v>
      </c>
      <c r="F30" s="26">
        <v>120</v>
      </c>
      <c r="G30" s="61">
        <v>220</v>
      </c>
      <c r="H30" s="61">
        <v>100</v>
      </c>
      <c r="I30" s="26">
        <v>100</v>
      </c>
      <c r="J30" s="21">
        <f t="shared" si="0"/>
        <v>10000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44609</v>
      </c>
      <c r="D31" s="25" t="s">
        <v>18</v>
      </c>
      <c r="E31" s="25" t="s">
        <v>640</v>
      </c>
      <c r="F31" s="26">
        <v>130</v>
      </c>
      <c r="G31" s="61">
        <v>173</v>
      </c>
      <c r="H31" s="61">
        <f>173-130</f>
        <v>43</v>
      </c>
      <c r="I31" s="26">
        <v>100</v>
      </c>
      <c r="J31" s="21">
        <f t="shared" si="0"/>
        <v>4300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44610</v>
      </c>
      <c r="D32" s="25" t="s">
        <v>18</v>
      </c>
      <c r="E32" s="25" t="s">
        <v>463</v>
      </c>
      <c r="F32" s="26">
        <v>120</v>
      </c>
      <c r="G32" s="61">
        <v>168</v>
      </c>
      <c r="H32" s="61">
        <f>168-120</f>
        <v>48</v>
      </c>
      <c r="I32" s="26">
        <v>100</v>
      </c>
      <c r="J32" s="21">
        <f t="shared" si="0"/>
        <v>4800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44610</v>
      </c>
      <c r="D33" s="25" t="s">
        <v>18</v>
      </c>
      <c r="E33" s="25" t="s">
        <v>462</v>
      </c>
      <c r="F33" s="26">
        <v>110</v>
      </c>
      <c r="G33" s="61">
        <v>142</v>
      </c>
      <c r="H33" s="61">
        <f>142-110</f>
        <v>32</v>
      </c>
      <c r="I33" s="26">
        <v>100</v>
      </c>
      <c r="J33" s="21">
        <f t="shared" si="0"/>
        <v>3200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44613</v>
      </c>
      <c r="D34" s="25" t="s">
        <v>18</v>
      </c>
      <c r="E34" s="25" t="s">
        <v>461</v>
      </c>
      <c r="F34" s="26">
        <v>130</v>
      </c>
      <c r="G34" s="61">
        <v>230</v>
      </c>
      <c r="H34" s="61">
        <v>100</v>
      </c>
      <c r="I34" s="26">
        <v>100</v>
      </c>
      <c r="J34" s="21">
        <f t="shared" si="0"/>
        <v>10000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44613</v>
      </c>
      <c r="D35" s="25" t="s">
        <v>18</v>
      </c>
      <c r="E35" s="25" t="s">
        <v>455</v>
      </c>
      <c r="F35" s="26">
        <v>150</v>
      </c>
      <c r="G35" s="61">
        <v>100</v>
      </c>
      <c r="H35" s="61">
        <v>-50</v>
      </c>
      <c r="I35" s="26">
        <v>100</v>
      </c>
      <c r="J35" s="21">
        <f t="shared" si="0"/>
        <v>-5000</v>
      </c>
      <c r="K35" s="7"/>
      <c r="V35" s="5">
        <f t="shared" si="2"/>
        <v>0</v>
      </c>
      <c r="W35" s="5">
        <f t="shared" si="3"/>
        <v>1</v>
      </c>
    </row>
    <row r="36" spans="1:23" x14ac:dyDescent="0.3">
      <c r="A36" s="6"/>
      <c r="B36" s="88">
        <v>31</v>
      </c>
      <c r="C36" s="24">
        <v>44614</v>
      </c>
      <c r="D36" s="25" t="s">
        <v>18</v>
      </c>
      <c r="E36" s="25" t="s">
        <v>639</v>
      </c>
      <c r="F36" s="26">
        <v>140</v>
      </c>
      <c r="G36" s="61">
        <v>125</v>
      </c>
      <c r="H36" s="61">
        <v>-15</v>
      </c>
      <c r="I36" s="26">
        <v>100</v>
      </c>
      <c r="J36" s="21">
        <f t="shared" si="0"/>
        <v>-1500</v>
      </c>
      <c r="K36" s="7"/>
      <c r="V36" s="5">
        <f t="shared" si="2"/>
        <v>0</v>
      </c>
      <c r="W36" s="5">
        <f t="shared" si="3"/>
        <v>1</v>
      </c>
    </row>
    <row r="37" spans="1:23" x14ac:dyDescent="0.3">
      <c r="A37" s="6"/>
      <c r="B37" s="17">
        <v>32</v>
      </c>
      <c r="C37" s="24">
        <v>44614</v>
      </c>
      <c r="D37" s="25" t="s">
        <v>18</v>
      </c>
      <c r="E37" s="25" t="s">
        <v>459</v>
      </c>
      <c r="F37" s="26">
        <v>130</v>
      </c>
      <c r="G37" s="61">
        <v>155</v>
      </c>
      <c r="H37" s="61">
        <v>25</v>
      </c>
      <c r="I37" s="26">
        <v>100</v>
      </c>
      <c r="J37" s="21">
        <f t="shared" si="0"/>
        <v>2500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44615</v>
      </c>
      <c r="D38" s="25" t="s">
        <v>18</v>
      </c>
      <c r="E38" s="25" t="s">
        <v>572</v>
      </c>
      <c r="F38" s="26">
        <v>140</v>
      </c>
      <c r="G38" s="61">
        <v>180</v>
      </c>
      <c r="H38" s="61">
        <v>40</v>
      </c>
      <c r="I38" s="26">
        <v>100</v>
      </c>
      <c r="J38" s="21">
        <f t="shared" si="0"/>
        <v>4000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44615</v>
      </c>
      <c r="D39" s="25" t="s">
        <v>18</v>
      </c>
      <c r="E39" s="25" t="s">
        <v>615</v>
      </c>
      <c r="F39" s="26">
        <v>130</v>
      </c>
      <c r="G39" s="61">
        <v>180</v>
      </c>
      <c r="H39" s="61">
        <v>50</v>
      </c>
      <c r="I39" s="26">
        <v>100</v>
      </c>
      <c r="J39" s="21">
        <f t="shared" si="0"/>
        <v>5000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44616</v>
      </c>
      <c r="D40" s="25" t="s">
        <v>18</v>
      </c>
      <c r="E40" s="25" t="s">
        <v>384</v>
      </c>
      <c r="F40" s="26">
        <v>110</v>
      </c>
      <c r="G40" s="61">
        <v>140</v>
      </c>
      <c r="H40" s="61">
        <v>30</v>
      </c>
      <c r="I40" s="26">
        <v>100</v>
      </c>
      <c r="J40" s="21">
        <f t="shared" si="0"/>
        <v>3000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24">
        <v>44617</v>
      </c>
      <c r="D41" s="25" t="s">
        <v>18</v>
      </c>
      <c r="E41" s="25" t="s">
        <v>503</v>
      </c>
      <c r="F41" s="26">
        <v>130</v>
      </c>
      <c r="G41" s="61">
        <v>152</v>
      </c>
      <c r="H41" s="61">
        <v>22</v>
      </c>
      <c r="I41" s="26">
        <v>100</v>
      </c>
      <c r="J41" s="21">
        <f t="shared" si="0"/>
        <v>2200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24">
        <v>44617</v>
      </c>
      <c r="D42" s="25" t="s">
        <v>18</v>
      </c>
      <c r="E42" s="25" t="s">
        <v>452</v>
      </c>
      <c r="F42" s="26">
        <v>130</v>
      </c>
      <c r="G42" s="61">
        <v>150</v>
      </c>
      <c r="H42" s="61">
        <v>20</v>
      </c>
      <c r="I42" s="26">
        <v>100</v>
      </c>
      <c r="J42" s="21">
        <f t="shared" si="0"/>
        <v>2000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17">
        <v>38</v>
      </c>
      <c r="C43" s="24">
        <v>44620</v>
      </c>
      <c r="D43" s="25" t="s">
        <v>18</v>
      </c>
      <c r="E43" s="25" t="s">
        <v>367</v>
      </c>
      <c r="F43" s="26">
        <v>150</v>
      </c>
      <c r="G43" s="61">
        <v>100</v>
      </c>
      <c r="H43" s="61">
        <v>-50</v>
      </c>
      <c r="I43" s="26">
        <v>100</v>
      </c>
      <c r="J43" s="21">
        <f t="shared" si="0"/>
        <v>-5000</v>
      </c>
      <c r="K43" s="7"/>
      <c r="V43" s="5">
        <f t="shared" si="2"/>
        <v>0</v>
      </c>
      <c r="W43" s="5">
        <f t="shared" si="3"/>
        <v>1</v>
      </c>
    </row>
    <row r="44" spans="1:23" x14ac:dyDescent="0.3">
      <c r="A44" s="6"/>
      <c r="B44" s="17">
        <v>39</v>
      </c>
      <c r="C44" s="24">
        <v>44620</v>
      </c>
      <c r="D44" s="25" t="s">
        <v>18</v>
      </c>
      <c r="E44" s="25" t="s">
        <v>268</v>
      </c>
      <c r="F44" s="26">
        <v>150</v>
      </c>
      <c r="G44" s="61">
        <v>194</v>
      </c>
      <c r="H44" s="61">
        <f>194-150</f>
        <v>44</v>
      </c>
      <c r="I44" s="26">
        <v>100</v>
      </c>
      <c r="J44" s="21">
        <f t="shared" si="0"/>
        <v>4400</v>
      </c>
      <c r="K44" s="7"/>
      <c r="V44" s="5">
        <f t="shared" si="2"/>
        <v>1</v>
      </c>
      <c r="W44" s="5">
        <f t="shared" si="3"/>
        <v>0</v>
      </c>
    </row>
    <row r="45" spans="1:23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x14ac:dyDescent="0.3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x14ac:dyDescent="0.3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x14ac:dyDescent="0.3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x14ac:dyDescent="0.3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122200</v>
      </c>
      <c r="K59" s="7"/>
      <c r="V59" s="5">
        <f>SUM(V6:V58)</f>
        <v>31</v>
      </c>
      <c r="W59" s="5">
        <f>SUM(W6:W58)</f>
        <v>8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628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44593</v>
      </c>
      <c r="D67" s="67" t="s">
        <v>18</v>
      </c>
      <c r="E67" s="67" t="s">
        <v>630</v>
      </c>
      <c r="F67" s="68">
        <v>950</v>
      </c>
      <c r="G67" s="68">
        <v>960</v>
      </c>
      <c r="H67" s="97">
        <v>10</v>
      </c>
      <c r="I67" s="68">
        <v>700</v>
      </c>
      <c r="J67" s="92">
        <f>H67*I67</f>
        <v>7000</v>
      </c>
      <c r="K67" s="7"/>
      <c r="V67" s="5">
        <f t="shared" ref="V67:V124" si="5">IF($J67&gt;0,1,0)</f>
        <v>1</v>
      </c>
      <c r="W67" s="5">
        <f t="shared" ref="W67:W124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44594</v>
      </c>
      <c r="D68" s="67" t="s">
        <v>18</v>
      </c>
      <c r="E68" s="67" t="s">
        <v>631</v>
      </c>
      <c r="F68" s="68">
        <v>788</v>
      </c>
      <c r="G68" s="97">
        <v>792</v>
      </c>
      <c r="H68" s="97">
        <f>792-788</f>
        <v>4</v>
      </c>
      <c r="I68" s="20">
        <v>625</v>
      </c>
      <c r="J68" s="21">
        <f>H68*I68</f>
        <v>2500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4" si="7">B68+1</f>
        <v>3</v>
      </c>
      <c r="C69" s="18">
        <v>44594</v>
      </c>
      <c r="D69" s="19" t="s">
        <v>18</v>
      </c>
      <c r="E69" s="19" t="s">
        <v>376</v>
      </c>
      <c r="F69" s="35">
        <v>1935</v>
      </c>
      <c r="G69" s="97">
        <v>1954.5</v>
      </c>
      <c r="H69" s="35">
        <f>1954.5-1935</f>
        <v>19.5</v>
      </c>
      <c r="I69" s="20">
        <v>400</v>
      </c>
      <c r="J69" s="21">
        <f>H69*I69</f>
        <v>7800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44595</v>
      </c>
      <c r="D70" s="19" t="s">
        <v>69</v>
      </c>
      <c r="E70" s="19" t="s">
        <v>487</v>
      </c>
      <c r="F70" s="35">
        <v>1435</v>
      </c>
      <c r="G70" s="97">
        <v>1425</v>
      </c>
      <c r="H70" s="35">
        <v>10</v>
      </c>
      <c r="I70" s="20">
        <v>375</v>
      </c>
      <c r="J70" s="21">
        <f>H70*I70</f>
        <v>3750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44595</v>
      </c>
      <c r="D71" s="19" t="s">
        <v>69</v>
      </c>
      <c r="E71" s="19" t="s">
        <v>75</v>
      </c>
      <c r="F71" s="35">
        <v>812</v>
      </c>
      <c r="G71" s="97">
        <v>809.6</v>
      </c>
      <c r="H71" s="35">
        <f>812-809.6</f>
        <v>2.3999999999999773</v>
      </c>
      <c r="I71" s="20">
        <v>1375</v>
      </c>
      <c r="J71" s="21">
        <f>H71*I71</f>
        <v>3299.9999999999686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44596</v>
      </c>
      <c r="D72" s="19" t="s">
        <v>18</v>
      </c>
      <c r="E72" s="19" t="s">
        <v>88</v>
      </c>
      <c r="F72" s="20">
        <v>663</v>
      </c>
      <c r="G72" s="97">
        <v>669</v>
      </c>
      <c r="H72" s="35">
        <v>6</v>
      </c>
      <c r="I72" s="20">
        <v>1350</v>
      </c>
      <c r="J72" s="21">
        <f t="shared" ref="J72:J124" si="8">I72*H72</f>
        <v>8100</v>
      </c>
      <c r="K72" s="7"/>
      <c r="V72" s="5">
        <f t="shared" si="5"/>
        <v>1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>
        <v>44596</v>
      </c>
      <c r="D73" s="19" t="s">
        <v>18</v>
      </c>
      <c r="E73" s="19" t="s">
        <v>397</v>
      </c>
      <c r="F73" s="35">
        <v>431</v>
      </c>
      <c r="G73" s="97">
        <v>433.4</v>
      </c>
      <c r="H73" s="35">
        <f>433.4-431</f>
        <v>2.3999999999999773</v>
      </c>
      <c r="I73" s="20">
        <v>2500</v>
      </c>
      <c r="J73" s="21">
        <f t="shared" si="8"/>
        <v>5999.9999999999436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44599</v>
      </c>
      <c r="D74" s="19" t="s">
        <v>69</v>
      </c>
      <c r="E74" s="19" t="s">
        <v>70</v>
      </c>
      <c r="F74" s="35">
        <v>796</v>
      </c>
      <c r="G74" s="97">
        <v>787</v>
      </c>
      <c r="H74" s="35">
        <f>796-787</f>
        <v>9</v>
      </c>
      <c r="I74" s="20">
        <v>1200</v>
      </c>
      <c r="J74" s="21">
        <f t="shared" si="8"/>
        <v>10800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44599</v>
      </c>
      <c r="D75" s="19" t="s">
        <v>18</v>
      </c>
      <c r="E75" s="19" t="s">
        <v>119</v>
      </c>
      <c r="F75" s="35">
        <v>1210</v>
      </c>
      <c r="G75" s="97">
        <v>1217</v>
      </c>
      <c r="H75" s="35">
        <v>7</v>
      </c>
      <c r="I75" s="20">
        <v>425</v>
      </c>
      <c r="J75" s="21">
        <f t="shared" si="8"/>
        <v>2975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44600</v>
      </c>
      <c r="D76" s="19" t="s">
        <v>69</v>
      </c>
      <c r="E76" s="19" t="s">
        <v>632</v>
      </c>
      <c r="F76" s="35">
        <v>435</v>
      </c>
      <c r="G76" s="97">
        <v>425</v>
      </c>
      <c r="H76" s="35">
        <v>10</v>
      </c>
      <c r="I76" s="20">
        <v>1600</v>
      </c>
      <c r="J76" s="21">
        <f t="shared" si="8"/>
        <v>16000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>
        <v>44601</v>
      </c>
      <c r="D77" s="19" t="s">
        <v>18</v>
      </c>
      <c r="E77" s="19" t="s">
        <v>564</v>
      </c>
      <c r="F77" s="19">
        <v>2575</v>
      </c>
      <c r="G77" s="97">
        <v>2581</v>
      </c>
      <c r="H77" s="35">
        <f>2581-2575</f>
        <v>6</v>
      </c>
      <c r="I77" s="20">
        <v>375</v>
      </c>
      <c r="J77" s="21">
        <f t="shared" si="8"/>
        <v>2250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>
        <v>44601</v>
      </c>
      <c r="D78" s="19" t="s">
        <v>69</v>
      </c>
      <c r="E78" s="19" t="s">
        <v>111</v>
      </c>
      <c r="F78" s="35">
        <v>531</v>
      </c>
      <c r="G78" s="97">
        <v>528.35</v>
      </c>
      <c r="H78" s="35">
        <f>531-528.35</f>
        <v>2.6499999999999773</v>
      </c>
      <c r="I78" s="20">
        <v>1500</v>
      </c>
      <c r="J78" s="21">
        <f t="shared" si="8"/>
        <v>3974.9999999999659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44602</v>
      </c>
      <c r="D79" s="19" t="s">
        <v>18</v>
      </c>
      <c r="E79" s="19" t="s">
        <v>398</v>
      </c>
      <c r="F79" s="35">
        <v>1610</v>
      </c>
      <c r="G79" s="97">
        <v>1617</v>
      </c>
      <c r="H79" s="35">
        <v>7</v>
      </c>
      <c r="I79" s="20">
        <v>350</v>
      </c>
      <c r="J79" s="21">
        <f t="shared" si="8"/>
        <v>2450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44602</v>
      </c>
      <c r="D80" s="19" t="s">
        <v>18</v>
      </c>
      <c r="E80" s="19" t="s">
        <v>488</v>
      </c>
      <c r="F80" s="77">
        <v>1420</v>
      </c>
      <c r="G80" s="97">
        <v>1441</v>
      </c>
      <c r="H80" s="78">
        <f>1441-1420</f>
        <v>21</v>
      </c>
      <c r="I80" s="20">
        <v>407</v>
      </c>
      <c r="J80" s="21">
        <f t="shared" si="8"/>
        <v>8547</v>
      </c>
      <c r="K80" s="7"/>
      <c r="V80" s="5">
        <f t="shared" si="5"/>
        <v>1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>
        <v>44603</v>
      </c>
      <c r="D81" s="19" t="s">
        <v>18</v>
      </c>
      <c r="E81" s="19" t="s">
        <v>181</v>
      </c>
      <c r="F81" s="35">
        <v>2275</v>
      </c>
      <c r="G81" s="97">
        <v>2285</v>
      </c>
      <c r="H81" s="78">
        <v>10</v>
      </c>
      <c r="I81" s="20">
        <v>250</v>
      </c>
      <c r="J81" s="21">
        <f t="shared" si="8"/>
        <v>2500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>
        <v>44603</v>
      </c>
      <c r="D82" s="19" t="s">
        <v>69</v>
      </c>
      <c r="E82" s="19" t="s">
        <v>167</v>
      </c>
      <c r="F82" s="35">
        <v>848</v>
      </c>
      <c r="G82" s="97">
        <v>844</v>
      </c>
      <c r="H82" s="78">
        <v>4</v>
      </c>
      <c r="I82" s="20">
        <v>1250</v>
      </c>
      <c r="J82" s="21">
        <f t="shared" si="8"/>
        <v>5000</v>
      </c>
      <c r="K82" s="7"/>
      <c r="V82" s="5">
        <f t="shared" si="5"/>
        <v>1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>
        <v>44606</v>
      </c>
      <c r="D83" s="19" t="s">
        <v>69</v>
      </c>
      <c r="E83" s="19" t="s">
        <v>181</v>
      </c>
      <c r="F83" s="35">
        <v>2180</v>
      </c>
      <c r="G83" s="97">
        <v>2140</v>
      </c>
      <c r="H83" s="35">
        <v>40</v>
      </c>
      <c r="I83" s="20">
        <v>250</v>
      </c>
      <c r="J83" s="21">
        <f t="shared" si="8"/>
        <v>10000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>
        <v>44606</v>
      </c>
      <c r="D84" s="19" t="s">
        <v>18</v>
      </c>
      <c r="E84" s="19" t="s">
        <v>549</v>
      </c>
      <c r="F84" s="35">
        <v>955</v>
      </c>
      <c r="G84" s="97">
        <v>959</v>
      </c>
      <c r="H84" s="35">
        <v>4</v>
      </c>
      <c r="I84" s="20">
        <v>600</v>
      </c>
      <c r="J84" s="21">
        <f t="shared" si="8"/>
        <v>2400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>
        <v>44607</v>
      </c>
      <c r="D85" s="19" t="s">
        <v>18</v>
      </c>
      <c r="E85" s="19" t="s">
        <v>204</v>
      </c>
      <c r="F85" s="35">
        <v>1415</v>
      </c>
      <c r="G85" s="97">
        <v>144.4</v>
      </c>
      <c r="H85" s="35">
        <f>1444.4-1415</f>
        <v>29.400000000000091</v>
      </c>
      <c r="I85" s="20">
        <v>600</v>
      </c>
      <c r="J85" s="21">
        <f t="shared" si="8"/>
        <v>17640.000000000055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>
        <v>44607</v>
      </c>
      <c r="D86" s="19" t="s">
        <v>69</v>
      </c>
      <c r="E86" s="19" t="s">
        <v>105</v>
      </c>
      <c r="F86" s="35">
        <v>752</v>
      </c>
      <c r="G86" s="97">
        <v>760</v>
      </c>
      <c r="H86" s="35">
        <v>-8</v>
      </c>
      <c r="I86" s="20">
        <v>850</v>
      </c>
      <c r="J86" s="21">
        <f t="shared" si="8"/>
        <v>-6800</v>
      </c>
      <c r="K86" s="7"/>
      <c r="V86" s="5">
        <f t="shared" si="5"/>
        <v>0</v>
      </c>
      <c r="W86" s="5">
        <f t="shared" si="6"/>
        <v>1</v>
      </c>
    </row>
    <row r="87" spans="1:23" s="36" customFormat="1" x14ac:dyDescent="0.3">
      <c r="A87" s="6"/>
      <c r="B87" s="17">
        <f t="shared" si="7"/>
        <v>21</v>
      </c>
      <c r="C87" s="18">
        <v>44608</v>
      </c>
      <c r="D87" s="19" t="s">
        <v>18</v>
      </c>
      <c r="E87" s="19" t="s">
        <v>71</v>
      </c>
      <c r="F87" s="35">
        <v>2425</v>
      </c>
      <c r="G87" s="97">
        <v>2405</v>
      </c>
      <c r="H87" s="35">
        <v>-20</v>
      </c>
      <c r="I87" s="20">
        <v>250</v>
      </c>
      <c r="J87" s="21">
        <f t="shared" si="8"/>
        <v>-5000</v>
      </c>
      <c r="K87" s="7"/>
      <c r="V87" s="5">
        <f t="shared" si="5"/>
        <v>0</v>
      </c>
      <c r="W87" s="5">
        <f t="shared" si="6"/>
        <v>1</v>
      </c>
    </row>
    <row r="88" spans="1:23" s="36" customFormat="1" x14ac:dyDescent="0.3">
      <c r="A88" s="6"/>
      <c r="B88" s="17">
        <f t="shared" si="7"/>
        <v>22</v>
      </c>
      <c r="C88" s="18">
        <v>44608</v>
      </c>
      <c r="D88" s="19" t="s">
        <v>69</v>
      </c>
      <c r="E88" s="19" t="s">
        <v>633</v>
      </c>
      <c r="F88" s="35">
        <v>370</v>
      </c>
      <c r="G88" s="97">
        <v>362.5</v>
      </c>
      <c r="H88" s="35">
        <v>7.5</v>
      </c>
      <c r="I88" s="20">
        <v>3100</v>
      </c>
      <c r="J88" s="21">
        <f t="shared" si="8"/>
        <v>23250</v>
      </c>
      <c r="K88" s="7"/>
      <c r="V88" s="5">
        <f t="shared" si="5"/>
        <v>1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>
        <v>44609</v>
      </c>
      <c r="D89" s="19" t="s">
        <v>18</v>
      </c>
      <c r="E89" s="19" t="s">
        <v>373</v>
      </c>
      <c r="F89" s="35">
        <v>2495</v>
      </c>
      <c r="G89" s="97">
        <v>2507</v>
      </c>
      <c r="H89" s="35">
        <f>2507-2495</f>
        <v>12</v>
      </c>
      <c r="I89" s="20">
        <v>375</v>
      </c>
      <c r="J89" s="21">
        <f t="shared" si="8"/>
        <v>4500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>
        <v>44609</v>
      </c>
      <c r="D90" s="19" t="s">
        <v>18</v>
      </c>
      <c r="E90" s="19" t="s">
        <v>71</v>
      </c>
      <c r="F90" s="35">
        <v>2425</v>
      </c>
      <c r="G90" s="97">
        <v>2445</v>
      </c>
      <c r="H90" s="35">
        <v>20</v>
      </c>
      <c r="I90" s="20">
        <v>250</v>
      </c>
      <c r="J90" s="21">
        <f t="shared" si="8"/>
        <v>5000</v>
      </c>
      <c r="K90" s="7"/>
      <c r="V90" s="5">
        <f t="shared" si="5"/>
        <v>1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>
        <v>44610</v>
      </c>
      <c r="D91" s="19" t="s">
        <v>69</v>
      </c>
      <c r="E91" s="19" t="s">
        <v>167</v>
      </c>
      <c r="F91" s="35">
        <v>843</v>
      </c>
      <c r="G91" s="97">
        <v>837</v>
      </c>
      <c r="H91" s="35">
        <f>843-837</f>
        <v>6</v>
      </c>
      <c r="I91" s="20">
        <v>1250</v>
      </c>
      <c r="J91" s="21">
        <f t="shared" si="8"/>
        <v>7500</v>
      </c>
      <c r="K91" s="7"/>
      <c r="V91" s="5">
        <f t="shared" si="5"/>
        <v>1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>
        <v>44610</v>
      </c>
      <c r="D92" s="19" t="s">
        <v>18</v>
      </c>
      <c r="E92" s="19" t="s">
        <v>633</v>
      </c>
      <c r="F92" s="35">
        <v>370</v>
      </c>
      <c r="G92" s="97">
        <v>372</v>
      </c>
      <c r="H92" s="35">
        <v>2</v>
      </c>
      <c r="I92" s="20">
        <v>3100</v>
      </c>
      <c r="J92" s="21">
        <f t="shared" si="8"/>
        <v>6200</v>
      </c>
      <c r="K92" s="7"/>
      <c r="V92" s="5">
        <f t="shared" si="5"/>
        <v>1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>
        <v>44613</v>
      </c>
      <c r="D93" s="19" t="s">
        <v>18</v>
      </c>
      <c r="E93" s="19" t="s">
        <v>447</v>
      </c>
      <c r="F93" s="35">
        <v>905</v>
      </c>
      <c r="G93" s="97">
        <v>910.8</v>
      </c>
      <c r="H93" s="35">
        <v>5.8</v>
      </c>
      <c r="I93" s="20">
        <v>650</v>
      </c>
      <c r="J93" s="21">
        <f t="shared" si="8"/>
        <v>3770</v>
      </c>
      <c r="K93" s="7"/>
      <c r="V93" s="5">
        <f t="shared" si="5"/>
        <v>1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>
        <v>44613</v>
      </c>
      <c r="D94" s="19" t="s">
        <v>69</v>
      </c>
      <c r="E94" s="19" t="s">
        <v>75</v>
      </c>
      <c r="F94" s="35">
        <v>742</v>
      </c>
      <c r="G94" s="97">
        <v>740</v>
      </c>
      <c r="H94" s="35">
        <v>2</v>
      </c>
      <c r="I94" s="20">
        <v>1375</v>
      </c>
      <c r="J94" s="21">
        <f t="shared" si="8"/>
        <v>2750</v>
      </c>
      <c r="K94" s="7"/>
      <c r="V94" s="5">
        <f t="shared" si="5"/>
        <v>1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>
        <v>44614</v>
      </c>
      <c r="D95" s="19" t="s">
        <v>69</v>
      </c>
      <c r="E95" s="19" t="s">
        <v>545</v>
      </c>
      <c r="F95" s="35">
        <v>1260</v>
      </c>
      <c r="G95" s="97">
        <v>1275</v>
      </c>
      <c r="H95" s="35">
        <v>-15</v>
      </c>
      <c r="I95" s="20">
        <v>475</v>
      </c>
      <c r="J95" s="21">
        <f t="shared" si="8"/>
        <v>-7125</v>
      </c>
      <c r="K95" s="7"/>
      <c r="V95" s="5">
        <f t="shared" si="5"/>
        <v>0</v>
      </c>
      <c r="W95" s="5">
        <f t="shared" si="6"/>
        <v>1</v>
      </c>
    </row>
    <row r="96" spans="1:23" s="36" customFormat="1" x14ac:dyDescent="0.3">
      <c r="A96" s="6"/>
      <c r="B96" s="17">
        <f t="shared" si="7"/>
        <v>30</v>
      </c>
      <c r="C96" s="18">
        <v>44614</v>
      </c>
      <c r="D96" s="19" t="s">
        <v>18</v>
      </c>
      <c r="E96" s="19" t="s">
        <v>641</v>
      </c>
      <c r="F96" s="35">
        <v>3080</v>
      </c>
      <c r="G96" s="97">
        <v>3140</v>
      </c>
      <c r="H96" s="35">
        <f>3140-3080</f>
        <v>60</v>
      </c>
      <c r="I96" s="20">
        <v>175</v>
      </c>
      <c r="J96" s="21">
        <f t="shared" si="8"/>
        <v>10500</v>
      </c>
      <c r="K96" s="7"/>
      <c r="V96" s="5">
        <f t="shared" si="5"/>
        <v>1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>
        <v>44615</v>
      </c>
      <c r="D97" s="19" t="s">
        <v>18</v>
      </c>
      <c r="E97" s="19" t="s">
        <v>609</v>
      </c>
      <c r="F97" s="35">
        <v>3275</v>
      </c>
      <c r="G97" s="97">
        <v>3255</v>
      </c>
      <c r="H97" s="35">
        <v>-20</v>
      </c>
      <c r="I97" s="20">
        <v>150</v>
      </c>
      <c r="J97" s="21">
        <f t="shared" si="8"/>
        <v>-3000</v>
      </c>
      <c r="K97" s="7"/>
      <c r="V97" s="5">
        <f t="shared" si="5"/>
        <v>0</v>
      </c>
      <c r="W97" s="5">
        <f t="shared" si="6"/>
        <v>1</v>
      </c>
    </row>
    <row r="98" spans="1:23" s="36" customFormat="1" x14ac:dyDescent="0.3">
      <c r="A98" s="6"/>
      <c r="B98" s="17">
        <f t="shared" si="7"/>
        <v>32</v>
      </c>
      <c r="C98" s="18">
        <v>44615</v>
      </c>
      <c r="D98" s="19" t="s">
        <v>18</v>
      </c>
      <c r="E98" s="19" t="s">
        <v>310</v>
      </c>
      <c r="F98" s="35">
        <v>1212</v>
      </c>
      <c r="G98" s="97">
        <v>1218</v>
      </c>
      <c r="H98" s="35">
        <v>6</v>
      </c>
      <c r="I98" s="20">
        <v>500</v>
      </c>
      <c r="J98" s="21">
        <f t="shared" si="8"/>
        <v>3000</v>
      </c>
      <c r="K98" s="7"/>
      <c r="V98" s="5">
        <f t="shared" si="5"/>
        <v>1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>
        <v>44616</v>
      </c>
      <c r="D99" s="19" t="s">
        <v>69</v>
      </c>
      <c r="E99" s="19" t="s">
        <v>128</v>
      </c>
      <c r="F99" s="35">
        <v>2560</v>
      </c>
      <c r="G99" s="97">
        <v>2520</v>
      </c>
      <c r="H99" s="35">
        <v>40</v>
      </c>
      <c r="I99" s="20">
        <v>300</v>
      </c>
      <c r="J99" s="21">
        <f t="shared" si="8"/>
        <v>12000</v>
      </c>
      <c r="K99" s="7"/>
      <c r="V99" s="5">
        <f t="shared" si="5"/>
        <v>1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>
        <v>44616</v>
      </c>
      <c r="D100" s="19" t="s">
        <v>69</v>
      </c>
      <c r="E100" s="19" t="s">
        <v>123</v>
      </c>
      <c r="F100" s="35">
        <v>716</v>
      </c>
      <c r="G100" s="97">
        <v>696</v>
      </c>
      <c r="H100" s="35">
        <f>716-696</f>
        <v>20</v>
      </c>
      <c r="I100" s="20">
        <v>600</v>
      </c>
      <c r="J100" s="21">
        <f t="shared" si="8"/>
        <v>12000</v>
      </c>
      <c r="K100" s="7"/>
      <c r="V100" s="5">
        <f t="shared" si="5"/>
        <v>1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>
        <v>44617</v>
      </c>
      <c r="D101" s="19" t="s">
        <v>18</v>
      </c>
      <c r="E101" s="19" t="s">
        <v>414</v>
      </c>
      <c r="F101" s="35">
        <v>1228</v>
      </c>
      <c r="G101" s="97">
        <v>1218</v>
      </c>
      <c r="H101" s="35">
        <v>-10</v>
      </c>
      <c r="I101" s="20">
        <v>500</v>
      </c>
      <c r="J101" s="21">
        <f t="shared" si="8"/>
        <v>-5000</v>
      </c>
      <c r="K101" s="7"/>
      <c r="V101" s="5">
        <f t="shared" si="5"/>
        <v>0</v>
      </c>
      <c r="W101" s="5">
        <f t="shared" si="6"/>
        <v>1</v>
      </c>
    </row>
    <row r="102" spans="1:23" s="36" customFormat="1" x14ac:dyDescent="0.3">
      <c r="A102" s="6"/>
      <c r="B102" s="17">
        <v>36</v>
      </c>
      <c r="C102" s="18">
        <v>44617</v>
      </c>
      <c r="D102" s="19" t="s">
        <v>18</v>
      </c>
      <c r="E102" s="19" t="s">
        <v>390</v>
      </c>
      <c r="F102" s="35">
        <v>4670</v>
      </c>
      <c r="G102" s="97">
        <v>4750</v>
      </c>
      <c r="H102" s="35">
        <v>80</v>
      </c>
      <c r="I102" s="20">
        <v>125</v>
      </c>
      <c r="J102" s="21">
        <f t="shared" si="8"/>
        <v>10000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>
        <v>44620</v>
      </c>
      <c r="D103" s="19" t="s">
        <v>18</v>
      </c>
      <c r="E103" s="19" t="s">
        <v>598</v>
      </c>
      <c r="F103" s="35">
        <v>339.5</v>
      </c>
      <c r="G103" s="97">
        <v>347.5</v>
      </c>
      <c r="H103" s="35">
        <v>8</v>
      </c>
      <c r="I103" s="20">
        <v>1800</v>
      </c>
      <c r="J103" s="21">
        <f t="shared" si="8"/>
        <v>14400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>
        <v>44620</v>
      </c>
      <c r="D104" s="19" t="s">
        <v>69</v>
      </c>
      <c r="E104" s="19" t="s">
        <v>301</v>
      </c>
      <c r="F104" s="35">
        <v>523</v>
      </c>
      <c r="G104" s="97">
        <v>525</v>
      </c>
      <c r="H104" s="35">
        <v>-2</v>
      </c>
      <c r="I104" s="20">
        <v>1100</v>
      </c>
      <c r="J104" s="21">
        <f t="shared" si="8"/>
        <v>-2200</v>
      </c>
      <c r="K104" s="7"/>
      <c r="V104" s="5"/>
      <c r="W104" s="5"/>
    </row>
    <row r="105" spans="1:23" s="36" customFormat="1" ht="15" thickBot="1" x14ac:dyDescent="0.35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hidden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>
        <f t="shared" si="5"/>
        <v>0</v>
      </c>
      <c r="W106" s="5">
        <f t="shared" si="6"/>
        <v>0</v>
      </c>
    </row>
    <row r="107" spans="1:23" s="36" customFormat="1" hidden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>
        <f t="shared" si="5"/>
        <v>0</v>
      </c>
      <c r="W107" s="5">
        <f t="shared" si="6"/>
        <v>0</v>
      </c>
    </row>
    <row r="108" spans="1:23" s="36" customFormat="1" hidden="1" x14ac:dyDescent="0.3">
      <c r="A108" s="6"/>
      <c r="B108" s="17">
        <f t="shared" si="7"/>
        <v>42</v>
      </c>
      <c r="C108" s="18"/>
      <c r="D108" s="19"/>
      <c r="E108" s="19"/>
      <c r="F108" s="35"/>
      <c r="G108" s="35"/>
      <c r="H108" s="35"/>
      <c r="I108" s="20"/>
      <c r="J108" s="21">
        <f t="shared" si="8"/>
        <v>0</v>
      </c>
      <c r="K108" s="7"/>
      <c r="V108" s="5">
        <f t="shared" si="5"/>
        <v>0</v>
      </c>
      <c r="W108" s="5">
        <f t="shared" si="6"/>
        <v>0</v>
      </c>
    </row>
    <row r="109" spans="1:23" s="36" customFormat="1" hidden="1" x14ac:dyDescent="0.3">
      <c r="A109" s="6"/>
      <c r="B109" s="17">
        <f t="shared" si="7"/>
        <v>43</v>
      </c>
      <c r="C109" s="18"/>
      <c r="D109" s="19"/>
      <c r="E109" s="19"/>
      <c r="F109" s="35"/>
      <c r="G109" s="35"/>
      <c r="H109" s="35"/>
      <c r="I109" s="20"/>
      <c r="J109" s="21">
        <f t="shared" si="8"/>
        <v>0</v>
      </c>
      <c r="K109" s="7"/>
      <c r="V109" s="5">
        <f t="shared" si="5"/>
        <v>0</v>
      </c>
      <c r="W109" s="5">
        <f t="shared" si="6"/>
        <v>0</v>
      </c>
    </row>
    <row r="110" spans="1:23" s="36" customFormat="1" hidden="1" x14ac:dyDescent="0.3">
      <c r="A110" s="6"/>
      <c r="B110" s="17">
        <f t="shared" si="7"/>
        <v>44</v>
      </c>
      <c r="C110" s="18"/>
      <c r="D110" s="19"/>
      <c r="E110" s="19"/>
      <c r="F110" s="35"/>
      <c r="G110" s="35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idden="1" x14ac:dyDescent="0.3">
      <c r="A111" s="6"/>
      <c r="B111" s="17">
        <f t="shared" si="7"/>
        <v>45</v>
      </c>
      <c r="C111" s="18"/>
      <c r="D111" s="19"/>
      <c r="E111" s="19"/>
      <c r="F111" s="35"/>
      <c r="G111" s="35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idden="1" x14ac:dyDescent="0.3">
      <c r="A112" s="6"/>
      <c r="B112" s="17">
        <f t="shared" si="7"/>
        <v>46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idden="1" x14ac:dyDescent="0.3">
      <c r="A113" s="6"/>
      <c r="B113" s="17">
        <f t="shared" si="7"/>
        <v>47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idden="1" x14ac:dyDescent="0.3">
      <c r="A114" s="6"/>
      <c r="B114" s="17">
        <f t="shared" si="7"/>
        <v>48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idden="1" x14ac:dyDescent="0.3">
      <c r="A115" s="6"/>
      <c r="B115" s="17">
        <f t="shared" si="7"/>
        <v>49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idden="1" x14ac:dyDescent="0.3">
      <c r="A116" s="6"/>
      <c r="B116" s="17">
        <f t="shared" si="7"/>
        <v>50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idden="1" x14ac:dyDescent="0.3">
      <c r="A117" s="6"/>
      <c r="B117" s="17">
        <f t="shared" si="7"/>
        <v>51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idden="1" x14ac:dyDescent="0.3">
      <c r="A118" s="6"/>
      <c r="B118" s="17">
        <f t="shared" si="7"/>
        <v>52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idden="1" x14ac:dyDescent="0.3">
      <c r="A119" s="6"/>
      <c r="B119" s="17">
        <f t="shared" si="7"/>
        <v>53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idden="1" x14ac:dyDescent="0.3">
      <c r="A120" s="6"/>
      <c r="B120" s="17">
        <f t="shared" si="7"/>
        <v>54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idden="1" x14ac:dyDescent="0.3">
      <c r="A121" s="6"/>
      <c r="B121" s="17">
        <f t="shared" si="7"/>
        <v>55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idden="1" x14ac:dyDescent="0.3">
      <c r="A122" s="6"/>
      <c r="B122" s="17">
        <f t="shared" si="7"/>
        <v>56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idden="1" x14ac:dyDescent="0.3">
      <c r="A123" s="6"/>
      <c r="B123" s="17">
        <f t="shared" si="7"/>
        <v>57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hidden="1" thickBot="1" x14ac:dyDescent="0.35">
      <c r="A124" s="6"/>
      <c r="B124" s="17">
        <f t="shared" si="7"/>
        <v>58</v>
      </c>
      <c r="C124" s="79"/>
      <c r="D124" s="80"/>
      <c r="E124" s="80"/>
      <c r="F124" s="81"/>
      <c r="G124" s="81"/>
      <c r="H124" s="80"/>
      <c r="I124" s="81"/>
      <c r="J124" s="82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24" thickBot="1" x14ac:dyDescent="0.5">
      <c r="A125" s="6"/>
      <c r="B125" s="144" t="s">
        <v>22</v>
      </c>
      <c r="C125" s="145"/>
      <c r="D125" s="145"/>
      <c r="E125" s="145"/>
      <c r="F125" s="145"/>
      <c r="G125" s="145"/>
      <c r="H125" s="146"/>
      <c r="I125" s="83" t="s">
        <v>23</v>
      </c>
      <c r="J125" s="84">
        <f>SUM(J67:J124)</f>
        <v>208731.99999999994</v>
      </c>
      <c r="K125" s="7"/>
      <c r="L125" s="5"/>
      <c r="M125" s="5"/>
      <c r="N125" s="5"/>
      <c r="O125" s="5"/>
      <c r="P125" s="5"/>
      <c r="Q125" s="5"/>
      <c r="R125" s="5"/>
      <c r="V125" s="36">
        <f>SUM(V67:V124)</f>
        <v>30</v>
      </c>
      <c r="W125" s="36">
        <f>SUM(W67:W124)</f>
        <v>5</v>
      </c>
    </row>
    <row r="126" spans="1:23" s="36" customFormat="1" ht="30" customHeight="1" thickBot="1" x14ac:dyDescent="0.35">
      <c r="A126" s="30"/>
      <c r="B126" s="31"/>
      <c r="C126" s="31"/>
      <c r="D126" s="31"/>
      <c r="E126" s="31"/>
      <c r="F126" s="31"/>
      <c r="G126" s="31"/>
      <c r="H126" s="32"/>
      <c r="I126" s="31"/>
      <c r="J126" s="32"/>
      <c r="K126" s="33"/>
      <c r="L126" s="5"/>
      <c r="M126" s="5"/>
      <c r="N126" s="5"/>
      <c r="O126" s="5"/>
      <c r="P126" s="5"/>
      <c r="Q126" s="5"/>
      <c r="R126" s="5"/>
    </row>
    <row r="127" spans="1:23" ht="15" thickBot="1" x14ac:dyDescent="0.35"/>
    <row r="128" spans="1:23" s="36" customFormat="1" ht="30" customHeight="1" thickBot="1" x14ac:dyDescent="0.35">
      <c r="A128" s="1"/>
      <c r="B128" s="2"/>
      <c r="C128" s="2"/>
      <c r="D128" s="2"/>
      <c r="E128" s="2"/>
      <c r="F128" s="2"/>
      <c r="G128" s="2"/>
      <c r="H128" s="3"/>
      <c r="I128" s="2"/>
      <c r="J128" s="3"/>
      <c r="K128" s="4"/>
    </row>
    <row r="129" spans="1:23" s="36" customFormat="1" ht="25.2" thickBot="1" x14ac:dyDescent="0.35">
      <c r="A129" s="6" t="s">
        <v>1</v>
      </c>
      <c r="B129" s="119" t="s">
        <v>2</v>
      </c>
      <c r="C129" s="120"/>
      <c r="D129" s="120"/>
      <c r="E129" s="120"/>
      <c r="F129" s="120"/>
      <c r="G129" s="120"/>
      <c r="H129" s="120"/>
      <c r="I129" s="120"/>
      <c r="J129" s="121"/>
      <c r="K129" s="7"/>
    </row>
    <row r="130" spans="1:23" s="36" customFormat="1" ht="16.2" thickBot="1" x14ac:dyDescent="0.35">
      <c r="A130" s="6"/>
      <c r="B130" s="168" t="s">
        <v>629</v>
      </c>
      <c r="C130" s="169"/>
      <c r="D130" s="169"/>
      <c r="E130" s="169"/>
      <c r="F130" s="169"/>
      <c r="G130" s="169"/>
      <c r="H130" s="169"/>
      <c r="I130" s="169"/>
      <c r="J130" s="170"/>
      <c r="K130" s="7"/>
      <c r="L130" s="22"/>
    </row>
    <row r="131" spans="1:23" s="36" customFormat="1" ht="16.2" thickBot="1" x14ac:dyDescent="0.35">
      <c r="A131" s="6"/>
      <c r="B131" s="106" t="s">
        <v>215</v>
      </c>
      <c r="C131" s="107"/>
      <c r="D131" s="107"/>
      <c r="E131" s="107"/>
      <c r="F131" s="107"/>
      <c r="G131" s="107"/>
      <c r="H131" s="107"/>
      <c r="I131" s="107"/>
      <c r="J131" s="108"/>
      <c r="K131" s="7"/>
    </row>
    <row r="132" spans="1:23" s="22" customFormat="1" ht="15" thickBot="1" x14ac:dyDescent="0.35">
      <c r="A132" s="69"/>
      <c r="B132" s="70" t="s">
        <v>9</v>
      </c>
      <c r="C132" s="71" t="s">
        <v>10</v>
      </c>
      <c r="D132" s="72" t="s">
        <v>11</v>
      </c>
      <c r="E132" s="72" t="s">
        <v>12</v>
      </c>
      <c r="F132" s="73" t="s">
        <v>65</v>
      </c>
      <c r="G132" s="73" t="s">
        <v>66</v>
      </c>
      <c r="H132" s="74" t="s">
        <v>67</v>
      </c>
      <c r="I132" s="73" t="s">
        <v>68</v>
      </c>
      <c r="J132" s="75" t="s">
        <v>17</v>
      </c>
      <c r="K132" s="76"/>
      <c r="L132" s="36"/>
      <c r="M132" s="36"/>
      <c r="N132" s="36"/>
      <c r="O132" s="36" t="s">
        <v>21</v>
      </c>
      <c r="P132" s="36"/>
      <c r="Q132" s="36"/>
      <c r="R132" s="36"/>
      <c r="V132" s="5" t="s">
        <v>5</v>
      </c>
      <c r="W132" s="5" t="s">
        <v>6</v>
      </c>
    </row>
    <row r="133" spans="1:23" s="36" customFormat="1" x14ac:dyDescent="0.3">
      <c r="A133" s="6"/>
      <c r="B133" s="14">
        <v>1</v>
      </c>
      <c r="C133" s="93">
        <v>44593</v>
      </c>
      <c r="D133" s="94" t="s">
        <v>18</v>
      </c>
      <c r="E133" s="94" t="s">
        <v>477</v>
      </c>
      <c r="F133" s="60">
        <v>100</v>
      </c>
      <c r="G133" s="60">
        <v>140</v>
      </c>
      <c r="H133" s="60">
        <v>40</v>
      </c>
      <c r="I133" s="15">
        <v>300</v>
      </c>
      <c r="J133" s="16">
        <f t="shared" ref="J133:J178" si="9">I133*H133</f>
        <v>12000</v>
      </c>
      <c r="K133" s="7"/>
      <c r="V133" s="5">
        <f t="shared" ref="V133:V178" si="10">IF($J133&gt;0,1,0)</f>
        <v>1</v>
      </c>
      <c r="W133" s="5">
        <f t="shared" ref="W133:W178" si="11">IF($J133&lt;0,1,0)</f>
        <v>0</v>
      </c>
    </row>
    <row r="134" spans="1:23" s="36" customFormat="1" x14ac:dyDescent="0.3">
      <c r="A134" s="6"/>
      <c r="B134" s="17">
        <f>B133+1</f>
        <v>2</v>
      </c>
      <c r="C134" s="18">
        <v>44594</v>
      </c>
      <c r="D134" s="19" t="s">
        <v>18</v>
      </c>
      <c r="E134" s="19" t="s">
        <v>524</v>
      </c>
      <c r="F134" s="35">
        <v>65</v>
      </c>
      <c r="G134" s="35">
        <v>85</v>
      </c>
      <c r="H134" s="35">
        <v>20</v>
      </c>
      <c r="I134" s="20">
        <v>300</v>
      </c>
      <c r="J134" s="21">
        <f t="shared" si="9"/>
        <v>6000</v>
      </c>
      <c r="K134" s="7"/>
      <c r="L134" s="36" t="s">
        <v>21</v>
      </c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ref="B135:B155" si="12">B134+1</f>
        <v>3</v>
      </c>
      <c r="C135" s="18">
        <v>44594</v>
      </c>
      <c r="D135" s="19" t="s">
        <v>18</v>
      </c>
      <c r="E135" s="19" t="s">
        <v>524</v>
      </c>
      <c r="F135" s="35">
        <v>80</v>
      </c>
      <c r="G135" s="35">
        <v>65</v>
      </c>
      <c r="H135" s="35">
        <v>-15</v>
      </c>
      <c r="I135" s="20">
        <v>300</v>
      </c>
      <c r="J135" s="21">
        <f t="shared" si="9"/>
        <v>-4500</v>
      </c>
      <c r="K135" s="7"/>
      <c r="V135" s="5">
        <f t="shared" si="10"/>
        <v>0</v>
      </c>
      <c r="W135" s="5">
        <f t="shared" si="11"/>
        <v>1</v>
      </c>
    </row>
    <row r="136" spans="1:23" s="36" customFormat="1" x14ac:dyDescent="0.3">
      <c r="A136" s="6"/>
      <c r="B136" s="17">
        <f t="shared" si="12"/>
        <v>4</v>
      </c>
      <c r="C136" s="18">
        <v>44595</v>
      </c>
      <c r="D136" s="19" t="s">
        <v>18</v>
      </c>
      <c r="E136" s="19" t="s">
        <v>485</v>
      </c>
      <c r="F136" s="35">
        <v>75</v>
      </c>
      <c r="G136" s="35">
        <v>81</v>
      </c>
      <c r="H136" s="35">
        <v>6</v>
      </c>
      <c r="I136" s="20">
        <v>300</v>
      </c>
      <c r="J136" s="21">
        <f t="shared" si="9"/>
        <v>1800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5</v>
      </c>
      <c r="C137" s="18">
        <v>44595</v>
      </c>
      <c r="D137" s="19" t="s">
        <v>18</v>
      </c>
      <c r="E137" s="19" t="s">
        <v>485</v>
      </c>
      <c r="F137" s="35">
        <v>70</v>
      </c>
      <c r="G137" s="35">
        <v>100</v>
      </c>
      <c r="H137" s="35">
        <v>30</v>
      </c>
      <c r="I137" s="20">
        <v>300</v>
      </c>
      <c r="J137" s="21">
        <f t="shared" si="9"/>
        <v>9000</v>
      </c>
      <c r="K137" s="7"/>
      <c r="V137" s="5">
        <f t="shared" si="10"/>
        <v>1</v>
      </c>
      <c r="W137" s="5">
        <f t="shared" si="11"/>
        <v>0</v>
      </c>
    </row>
    <row r="138" spans="1:23" s="36" customFormat="1" x14ac:dyDescent="0.3">
      <c r="A138" s="6"/>
      <c r="B138" s="17">
        <f t="shared" si="12"/>
        <v>6</v>
      </c>
      <c r="C138" s="18">
        <v>44596</v>
      </c>
      <c r="D138" s="19" t="s">
        <v>18</v>
      </c>
      <c r="E138" s="19" t="s">
        <v>482</v>
      </c>
      <c r="F138" s="20">
        <v>100</v>
      </c>
      <c r="G138" s="35">
        <v>115</v>
      </c>
      <c r="H138" s="35">
        <v>15</v>
      </c>
      <c r="I138" s="20">
        <v>300</v>
      </c>
      <c r="J138" s="21">
        <f t="shared" si="9"/>
        <v>4500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7</v>
      </c>
      <c r="C139" s="18">
        <v>44596</v>
      </c>
      <c r="D139" s="19" t="s">
        <v>18</v>
      </c>
      <c r="E139" s="19" t="s">
        <v>482</v>
      </c>
      <c r="F139" s="35">
        <v>85</v>
      </c>
      <c r="G139" s="35">
        <v>90</v>
      </c>
      <c r="H139" s="35">
        <v>5</v>
      </c>
      <c r="I139" s="20">
        <v>300</v>
      </c>
      <c r="J139" s="21">
        <f t="shared" si="9"/>
        <v>1500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8</v>
      </c>
      <c r="C140" s="18">
        <v>44599</v>
      </c>
      <c r="D140" s="19" t="s">
        <v>18</v>
      </c>
      <c r="E140" s="19" t="s">
        <v>472</v>
      </c>
      <c r="F140" s="35">
        <v>80</v>
      </c>
      <c r="G140" s="35">
        <v>110</v>
      </c>
      <c r="H140" s="35">
        <v>30</v>
      </c>
      <c r="I140" s="20">
        <v>300</v>
      </c>
      <c r="J140" s="21">
        <f t="shared" si="9"/>
        <v>9000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9</v>
      </c>
      <c r="C141" s="18">
        <v>44599</v>
      </c>
      <c r="D141" s="19" t="s">
        <v>18</v>
      </c>
      <c r="E141" s="19" t="s">
        <v>473</v>
      </c>
      <c r="F141" s="35">
        <v>100</v>
      </c>
      <c r="G141" s="35">
        <v>130</v>
      </c>
      <c r="H141" s="35">
        <v>30</v>
      </c>
      <c r="I141" s="20">
        <v>300</v>
      </c>
      <c r="J141" s="21">
        <f t="shared" si="9"/>
        <v>9000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10</v>
      </c>
      <c r="C142" s="18">
        <v>44600</v>
      </c>
      <c r="D142" s="19" t="s">
        <v>18</v>
      </c>
      <c r="E142" s="19" t="s">
        <v>642</v>
      </c>
      <c r="F142" s="35">
        <v>75</v>
      </c>
      <c r="G142" s="35">
        <v>105</v>
      </c>
      <c r="H142" s="35">
        <v>30</v>
      </c>
      <c r="I142" s="20">
        <v>300</v>
      </c>
      <c r="J142" s="21">
        <f t="shared" si="9"/>
        <v>9000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11</v>
      </c>
      <c r="C143" s="18">
        <v>44600</v>
      </c>
      <c r="D143" s="19" t="s">
        <v>18</v>
      </c>
      <c r="E143" s="19" t="s">
        <v>576</v>
      </c>
      <c r="F143" s="19">
        <v>75</v>
      </c>
      <c r="G143" s="35">
        <v>101</v>
      </c>
      <c r="H143" s="35">
        <f>101-75</f>
        <v>26</v>
      </c>
      <c r="I143" s="20">
        <v>300</v>
      </c>
      <c r="J143" s="21">
        <f t="shared" si="9"/>
        <v>7800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12</v>
      </c>
      <c r="C144" s="18">
        <v>44601</v>
      </c>
      <c r="D144" s="19" t="s">
        <v>18</v>
      </c>
      <c r="E144" s="19" t="s">
        <v>474</v>
      </c>
      <c r="F144" s="35">
        <v>90</v>
      </c>
      <c r="G144" s="35">
        <v>75</v>
      </c>
      <c r="H144" s="35">
        <v>-15</v>
      </c>
      <c r="I144" s="20">
        <v>300</v>
      </c>
      <c r="J144" s="21">
        <f t="shared" si="9"/>
        <v>-4500</v>
      </c>
      <c r="K144" s="7"/>
      <c r="V144" s="5">
        <f t="shared" si="10"/>
        <v>0</v>
      </c>
      <c r="W144" s="5">
        <f t="shared" si="11"/>
        <v>1</v>
      </c>
    </row>
    <row r="145" spans="1:23" s="36" customFormat="1" x14ac:dyDescent="0.3">
      <c r="A145" s="6"/>
      <c r="B145" s="17">
        <f t="shared" si="12"/>
        <v>13</v>
      </c>
      <c r="C145" s="18">
        <v>44601</v>
      </c>
      <c r="D145" s="19" t="s">
        <v>18</v>
      </c>
      <c r="E145" s="19" t="s">
        <v>474</v>
      </c>
      <c r="F145" s="35">
        <v>75</v>
      </c>
      <c r="G145" s="35">
        <v>99</v>
      </c>
      <c r="H145" s="35">
        <f>99-75</f>
        <v>24</v>
      </c>
      <c r="I145" s="20">
        <v>300</v>
      </c>
      <c r="J145" s="21">
        <f t="shared" si="9"/>
        <v>7200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14</v>
      </c>
      <c r="C146" s="18">
        <v>44602</v>
      </c>
      <c r="D146" s="19" t="s">
        <v>18</v>
      </c>
      <c r="E146" s="19" t="s">
        <v>479</v>
      </c>
      <c r="F146" s="77">
        <v>60</v>
      </c>
      <c r="G146" s="35">
        <v>75</v>
      </c>
      <c r="H146" s="78">
        <v>15</v>
      </c>
      <c r="I146" s="20">
        <v>300</v>
      </c>
      <c r="J146" s="21">
        <f t="shared" si="9"/>
        <v>4500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15</v>
      </c>
      <c r="C147" s="18">
        <v>44602</v>
      </c>
      <c r="D147" s="19" t="s">
        <v>18</v>
      </c>
      <c r="E147" s="19" t="s">
        <v>476</v>
      </c>
      <c r="F147" s="35">
        <v>65</v>
      </c>
      <c r="G147" s="35">
        <v>95</v>
      </c>
      <c r="H147" s="78">
        <v>20</v>
      </c>
      <c r="I147" s="20">
        <v>300</v>
      </c>
      <c r="J147" s="21">
        <f t="shared" si="9"/>
        <v>6000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16</v>
      </c>
      <c r="C148" s="18">
        <v>44603</v>
      </c>
      <c r="D148" s="19" t="s">
        <v>18</v>
      </c>
      <c r="E148" s="19" t="s">
        <v>473</v>
      </c>
      <c r="F148" s="35">
        <v>100</v>
      </c>
      <c r="G148" s="35">
        <v>130</v>
      </c>
      <c r="H148" s="78">
        <v>30</v>
      </c>
      <c r="I148" s="20">
        <v>300</v>
      </c>
      <c r="J148" s="21">
        <f t="shared" si="9"/>
        <v>9000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17</v>
      </c>
      <c r="C149" s="18">
        <v>44603</v>
      </c>
      <c r="D149" s="19" t="s">
        <v>18</v>
      </c>
      <c r="E149" s="19" t="s">
        <v>466</v>
      </c>
      <c r="F149" s="35">
        <v>95</v>
      </c>
      <c r="G149" s="35">
        <v>103</v>
      </c>
      <c r="H149" s="78">
        <f>103-95</f>
        <v>8</v>
      </c>
      <c r="I149" s="20">
        <v>300</v>
      </c>
      <c r="J149" s="21">
        <f t="shared" si="9"/>
        <v>2400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18</v>
      </c>
      <c r="C150" s="18">
        <v>44606</v>
      </c>
      <c r="D150" s="19" t="s">
        <v>18</v>
      </c>
      <c r="E150" s="19" t="s">
        <v>594</v>
      </c>
      <c r="F150" s="35">
        <v>125</v>
      </c>
      <c r="G150" s="35">
        <v>135</v>
      </c>
      <c r="H150" s="78">
        <v>10</v>
      </c>
      <c r="I150" s="20">
        <v>300</v>
      </c>
      <c r="J150" s="21">
        <f t="shared" si="9"/>
        <v>3000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19</v>
      </c>
      <c r="C151" s="18">
        <v>44606</v>
      </c>
      <c r="D151" s="19" t="s">
        <v>18</v>
      </c>
      <c r="E151" s="19" t="s">
        <v>468</v>
      </c>
      <c r="F151" s="35">
        <v>110</v>
      </c>
      <c r="G151" s="35">
        <v>131</v>
      </c>
      <c r="H151" s="78">
        <f>131-110</f>
        <v>21</v>
      </c>
      <c r="I151" s="20">
        <v>300</v>
      </c>
      <c r="J151" s="21">
        <f t="shared" si="9"/>
        <v>6300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20</v>
      </c>
      <c r="C152" s="18">
        <v>44607</v>
      </c>
      <c r="D152" s="19" t="s">
        <v>18</v>
      </c>
      <c r="E152" s="19" t="s">
        <v>643</v>
      </c>
      <c r="F152" s="35">
        <v>95</v>
      </c>
      <c r="G152" s="35">
        <v>110</v>
      </c>
      <c r="H152" s="35">
        <f>110-95</f>
        <v>15</v>
      </c>
      <c r="I152" s="20">
        <v>300</v>
      </c>
      <c r="J152" s="21">
        <f t="shared" si="9"/>
        <v>4500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21</v>
      </c>
      <c r="C153" s="18">
        <v>44607</v>
      </c>
      <c r="D153" s="19" t="s">
        <v>18</v>
      </c>
      <c r="E153" s="19" t="s">
        <v>467</v>
      </c>
      <c r="F153" s="35">
        <v>95</v>
      </c>
      <c r="G153" s="35">
        <v>125</v>
      </c>
      <c r="H153" s="35">
        <v>30</v>
      </c>
      <c r="I153" s="20">
        <v>300</v>
      </c>
      <c r="J153" s="21">
        <f t="shared" si="9"/>
        <v>9000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2"/>
        <v>22</v>
      </c>
      <c r="C154" s="18">
        <v>44608</v>
      </c>
      <c r="D154" s="19" t="s">
        <v>18</v>
      </c>
      <c r="E154" s="19" t="s">
        <v>472</v>
      </c>
      <c r="F154" s="35">
        <v>80</v>
      </c>
      <c r="G154" s="35">
        <v>90</v>
      </c>
      <c r="H154" s="35">
        <v>10</v>
      </c>
      <c r="I154" s="20">
        <v>300</v>
      </c>
      <c r="J154" s="21">
        <f t="shared" si="9"/>
        <v>3000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2"/>
        <v>23</v>
      </c>
      <c r="C155" s="18">
        <v>44608</v>
      </c>
      <c r="D155" s="19" t="s">
        <v>18</v>
      </c>
      <c r="E155" s="19" t="s">
        <v>475</v>
      </c>
      <c r="F155" s="35">
        <v>95</v>
      </c>
      <c r="G155" s="35">
        <v>125</v>
      </c>
      <c r="H155" s="35">
        <v>30</v>
      </c>
      <c r="I155" s="20">
        <v>300</v>
      </c>
      <c r="J155" s="21">
        <f t="shared" si="9"/>
        <v>9000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>B155+1</f>
        <v>24</v>
      </c>
      <c r="C156" s="18">
        <v>44609</v>
      </c>
      <c r="D156" s="19" t="s">
        <v>18</v>
      </c>
      <c r="E156" s="19" t="s">
        <v>472</v>
      </c>
      <c r="F156" s="35">
        <v>85</v>
      </c>
      <c r="G156" s="35">
        <v>115</v>
      </c>
      <c r="H156" s="35">
        <v>30</v>
      </c>
      <c r="I156" s="20">
        <v>300</v>
      </c>
      <c r="J156" s="21">
        <f t="shared" si="9"/>
        <v>9000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ref="B157:B178" si="13">B156+1</f>
        <v>25</v>
      </c>
      <c r="C157" s="18">
        <v>44609</v>
      </c>
      <c r="D157" s="19" t="s">
        <v>18</v>
      </c>
      <c r="E157" s="19" t="s">
        <v>472</v>
      </c>
      <c r="F157" s="35">
        <v>95</v>
      </c>
      <c r="G157" s="35">
        <v>103</v>
      </c>
      <c r="H157" s="35">
        <f>103-95</f>
        <v>8</v>
      </c>
      <c r="I157" s="20">
        <v>300</v>
      </c>
      <c r="J157" s="21">
        <f t="shared" si="9"/>
        <v>2400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3"/>
        <v>26</v>
      </c>
      <c r="C158" s="18">
        <v>44610</v>
      </c>
      <c r="D158" s="19" t="s">
        <v>18</v>
      </c>
      <c r="E158" s="19" t="s">
        <v>476</v>
      </c>
      <c r="F158" s="35">
        <v>105</v>
      </c>
      <c r="G158" s="35">
        <v>131</v>
      </c>
      <c r="H158" s="35">
        <f>131-105</f>
        <v>26</v>
      </c>
      <c r="I158" s="20">
        <v>300</v>
      </c>
      <c r="J158" s="21">
        <f t="shared" si="9"/>
        <v>7800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3"/>
        <v>27</v>
      </c>
      <c r="C159" s="18">
        <v>44610</v>
      </c>
      <c r="D159" s="19" t="s">
        <v>18</v>
      </c>
      <c r="E159" s="19" t="s">
        <v>480</v>
      </c>
      <c r="F159" s="35">
        <v>75</v>
      </c>
      <c r="G159" s="35">
        <v>89</v>
      </c>
      <c r="H159" s="35">
        <f>89-75</f>
        <v>14</v>
      </c>
      <c r="I159" s="20">
        <v>300</v>
      </c>
      <c r="J159" s="21">
        <f t="shared" si="9"/>
        <v>4200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 t="shared" si="13"/>
        <v>28</v>
      </c>
      <c r="C160" s="18">
        <v>44613</v>
      </c>
      <c r="D160" s="19" t="s">
        <v>18</v>
      </c>
      <c r="E160" s="19" t="s">
        <v>578</v>
      </c>
      <c r="F160" s="35">
        <v>105</v>
      </c>
      <c r="G160" s="35">
        <v>135</v>
      </c>
      <c r="H160" s="35">
        <v>30</v>
      </c>
      <c r="I160" s="20">
        <v>300</v>
      </c>
      <c r="J160" s="21">
        <f t="shared" si="9"/>
        <v>9000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si="13"/>
        <v>29</v>
      </c>
      <c r="C161" s="18">
        <v>44614</v>
      </c>
      <c r="D161" s="19" t="s">
        <v>18</v>
      </c>
      <c r="E161" s="19" t="s">
        <v>643</v>
      </c>
      <c r="F161" s="35">
        <v>110</v>
      </c>
      <c r="G161" s="35">
        <v>90</v>
      </c>
      <c r="H161" s="35">
        <v>-15</v>
      </c>
      <c r="I161" s="20">
        <v>300</v>
      </c>
      <c r="J161" s="21">
        <f t="shared" si="9"/>
        <v>-4500</v>
      </c>
      <c r="K161" s="7"/>
      <c r="V161" s="5">
        <f t="shared" si="10"/>
        <v>0</v>
      </c>
      <c r="W161" s="5">
        <f t="shared" si="11"/>
        <v>1</v>
      </c>
    </row>
    <row r="162" spans="1:23" s="36" customFormat="1" x14ac:dyDescent="0.3">
      <c r="A162" s="6"/>
      <c r="B162" s="17">
        <f t="shared" si="13"/>
        <v>30</v>
      </c>
      <c r="C162" s="18">
        <v>44614</v>
      </c>
      <c r="D162" s="19" t="s">
        <v>18</v>
      </c>
      <c r="E162" s="19" t="s">
        <v>593</v>
      </c>
      <c r="F162" s="35">
        <v>120</v>
      </c>
      <c r="G162" s="35">
        <v>130</v>
      </c>
      <c r="H162" s="35">
        <v>10</v>
      </c>
      <c r="I162" s="20">
        <v>300</v>
      </c>
      <c r="J162" s="21">
        <f t="shared" si="9"/>
        <v>3000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31</v>
      </c>
      <c r="C163" s="18">
        <v>44615</v>
      </c>
      <c r="D163" s="19" t="s">
        <v>18</v>
      </c>
      <c r="E163" s="19" t="s">
        <v>642</v>
      </c>
      <c r="F163" s="35">
        <v>80</v>
      </c>
      <c r="G163" s="35">
        <v>94.5</v>
      </c>
      <c r="H163" s="35">
        <f>94.5-80</f>
        <v>14.5</v>
      </c>
      <c r="I163" s="20">
        <v>300</v>
      </c>
      <c r="J163" s="21">
        <f t="shared" si="9"/>
        <v>4350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32</v>
      </c>
      <c r="C164" s="18">
        <v>44615</v>
      </c>
      <c r="D164" s="19" t="s">
        <v>18</v>
      </c>
      <c r="E164" s="19" t="s">
        <v>589</v>
      </c>
      <c r="F164" s="35">
        <v>100</v>
      </c>
      <c r="G164" s="35">
        <v>130</v>
      </c>
      <c r="H164" s="35">
        <v>30</v>
      </c>
      <c r="I164" s="20">
        <v>300</v>
      </c>
      <c r="J164" s="21">
        <f t="shared" si="9"/>
        <v>9000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3"/>
        <v>33</v>
      </c>
      <c r="C165" s="18">
        <v>44616</v>
      </c>
      <c r="D165" s="19" t="s">
        <v>18</v>
      </c>
      <c r="E165" s="19" t="s">
        <v>436</v>
      </c>
      <c r="F165" s="35">
        <v>45</v>
      </c>
      <c r="G165" s="35">
        <v>75</v>
      </c>
      <c r="H165" s="35">
        <v>30</v>
      </c>
      <c r="I165" s="20">
        <v>300</v>
      </c>
      <c r="J165" s="21">
        <f t="shared" si="9"/>
        <v>9000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3"/>
        <v>34</v>
      </c>
      <c r="C166" s="18">
        <v>44617</v>
      </c>
      <c r="D166" s="19" t="s">
        <v>18</v>
      </c>
      <c r="E166" s="19" t="s">
        <v>592</v>
      </c>
      <c r="F166" s="35">
        <v>110</v>
      </c>
      <c r="G166" s="35">
        <v>140</v>
      </c>
      <c r="H166" s="35">
        <v>30</v>
      </c>
      <c r="I166" s="20">
        <v>300</v>
      </c>
      <c r="J166" s="21">
        <f t="shared" si="9"/>
        <v>9000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3"/>
        <v>35</v>
      </c>
      <c r="C167" s="18">
        <v>44617</v>
      </c>
      <c r="D167" s="19" t="s">
        <v>18</v>
      </c>
      <c r="E167" s="19" t="s">
        <v>592</v>
      </c>
      <c r="F167" s="35">
        <v>115</v>
      </c>
      <c r="G167" s="35">
        <v>139</v>
      </c>
      <c r="H167" s="35">
        <f>139-115</f>
        <v>24</v>
      </c>
      <c r="I167" s="20">
        <v>300</v>
      </c>
      <c r="J167" s="21">
        <f t="shared" si="9"/>
        <v>7200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3"/>
        <v>36</v>
      </c>
      <c r="C168" s="18">
        <v>44620</v>
      </c>
      <c r="D168" s="19" t="s">
        <v>18</v>
      </c>
      <c r="E168" s="19" t="s">
        <v>644</v>
      </c>
      <c r="F168" s="35">
        <v>140</v>
      </c>
      <c r="G168" s="35">
        <v>120</v>
      </c>
      <c r="H168" s="35">
        <v>-20</v>
      </c>
      <c r="I168" s="20">
        <v>300</v>
      </c>
      <c r="J168" s="21">
        <f t="shared" si="9"/>
        <v>-6000</v>
      </c>
      <c r="K168" s="7"/>
      <c r="V168" s="5">
        <f t="shared" si="10"/>
        <v>0</v>
      </c>
      <c r="W168" s="5">
        <f t="shared" si="11"/>
        <v>1</v>
      </c>
    </row>
    <row r="169" spans="1:23" s="36" customFormat="1" x14ac:dyDescent="0.3">
      <c r="A169" s="6"/>
      <c r="B169" s="17">
        <f t="shared" si="13"/>
        <v>37</v>
      </c>
      <c r="C169" s="18">
        <v>44620</v>
      </c>
      <c r="D169" s="19" t="s">
        <v>18</v>
      </c>
      <c r="E169" s="19" t="s">
        <v>645</v>
      </c>
      <c r="F169" s="35">
        <v>110</v>
      </c>
      <c r="G169" s="35">
        <v>150</v>
      </c>
      <c r="H169" s="35">
        <v>40</v>
      </c>
      <c r="I169" s="20">
        <v>300</v>
      </c>
      <c r="J169" s="21">
        <f t="shared" si="9"/>
        <v>12000</v>
      </c>
      <c r="K169" s="7"/>
      <c r="V169" s="5">
        <f t="shared" si="10"/>
        <v>1</v>
      </c>
      <c r="W169" s="5">
        <f t="shared" si="11"/>
        <v>0</v>
      </c>
    </row>
    <row r="170" spans="1:23" s="36" customFormat="1" x14ac:dyDescent="0.3">
      <c r="A170" s="6"/>
      <c r="B170" s="17">
        <f t="shared" si="13"/>
        <v>38</v>
      </c>
      <c r="C170" s="18">
        <v>44620</v>
      </c>
      <c r="D170" s="19" t="s">
        <v>18</v>
      </c>
      <c r="E170" s="19" t="s">
        <v>592</v>
      </c>
      <c r="F170" s="35">
        <v>120</v>
      </c>
      <c r="G170" s="35">
        <v>145</v>
      </c>
      <c r="H170" s="35">
        <v>25</v>
      </c>
      <c r="I170" s="20">
        <v>300</v>
      </c>
      <c r="J170" s="21">
        <f t="shared" si="9"/>
        <v>7500</v>
      </c>
      <c r="K170" s="7"/>
      <c r="V170" s="5">
        <f t="shared" si="10"/>
        <v>1</v>
      </c>
      <c r="W170" s="5">
        <f t="shared" si="11"/>
        <v>0</v>
      </c>
    </row>
    <row r="171" spans="1:23" s="36" customFormat="1" x14ac:dyDescent="0.3">
      <c r="A171" s="6"/>
      <c r="B171" s="17">
        <f t="shared" si="13"/>
        <v>39</v>
      </c>
      <c r="C171" s="18"/>
      <c r="D171" s="19"/>
      <c r="E171" s="19"/>
      <c r="F171" s="35"/>
      <c r="G171" s="35"/>
      <c r="H171" s="35"/>
      <c r="I171" s="20"/>
      <c r="J171" s="21">
        <f t="shared" si="9"/>
        <v>0</v>
      </c>
      <c r="K171" s="7"/>
      <c r="V171" s="5">
        <f t="shared" si="10"/>
        <v>0</v>
      </c>
      <c r="W171" s="5">
        <f t="shared" si="11"/>
        <v>0</v>
      </c>
    </row>
    <row r="172" spans="1:23" s="36" customFormat="1" x14ac:dyDescent="0.3">
      <c r="A172" s="6"/>
      <c r="B172" s="17">
        <f t="shared" si="13"/>
        <v>40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x14ac:dyDescent="0.3">
      <c r="A173" s="6"/>
      <c r="B173" s="17">
        <f t="shared" si="13"/>
        <v>41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x14ac:dyDescent="0.3">
      <c r="A174" s="6"/>
      <c r="B174" s="17">
        <f t="shared" si="13"/>
        <v>42</v>
      </c>
      <c r="C174" s="18"/>
      <c r="D174" s="19"/>
      <c r="E174" s="19"/>
      <c r="F174" s="35"/>
      <c r="G174" s="35"/>
      <c r="H174" s="35"/>
      <c r="I174" s="20"/>
      <c r="J174" s="21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x14ac:dyDescent="0.3">
      <c r="A175" s="6"/>
      <c r="B175" s="17">
        <f t="shared" si="13"/>
        <v>43</v>
      </c>
      <c r="C175" s="18"/>
      <c r="D175" s="19"/>
      <c r="E175" s="19"/>
      <c r="F175" s="35"/>
      <c r="G175" s="35"/>
      <c r="H175" s="35"/>
      <c r="I175" s="20"/>
      <c r="J175" s="21">
        <f t="shared" si="9"/>
        <v>0</v>
      </c>
      <c r="K175" s="7"/>
      <c r="V175" s="5">
        <f t="shared" si="10"/>
        <v>0</v>
      </c>
      <c r="W175" s="5">
        <f t="shared" si="11"/>
        <v>0</v>
      </c>
    </row>
    <row r="176" spans="1:23" s="36" customFormat="1" x14ac:dyDescent="0.3">
      <c r="A176" s="6"/>
      <c r="B176" s="17">
        <f t="shared" si="13"/>
        <v>44</v>
      </c>
      <c r="C176" s="18"/>
      <c r="D176" s="19"/>
      <c r="E176" s="19"/>
      <c r="F176" s="35"/>
      <c r="G176" s="35"/>
      <c r="H176" s="35"/>
      <c r="I176" s="20"/>
      <c r="J176" s="21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x14ac:dyDescent="0.3">
      <c r="A177" s="6"/>
      <c r="B177" s="17">
        <f t="shared" si="13"/>
        <v>45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ht="15" thickBot="1" x14ac:dyDescent="0.35">
      <c r="A178" s="6"/>
      <c r="B178" s="95">
        <f t="shared" si="13"/>
        <v>46</v>
      </c>
      <c r="C178" s="79"/>
      <c r="D178" s="80"/>
      <c r="E178" s="80"/>
      <c r="F178" s="96"/>
      <c r="G178" s="96"/>
      <c r="H178" s="96"/>
      <c r="I178" s="81"/>
      <c r="J178" s="82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ht="24" thickBot="1" x14ac:dyDescent="0.5">
      <c r="A179" s="6"/>
      <c r="B179" s="165" t="s">
        <v>22</v>
      </c>
      <c r="C179" s="166"/>
      <c r="D179" s="166"/>
      <c r="E179" s="166"/>
      <c r="F179" s="166"/>
      <c r="G179" s="166"/>
      <c r="H179" s="167"/>
      <c r="I179" s="83" t="s">
        <v>23</v>
      </c>
      <c r="J179" s="84">
        <f>SUM(J133:J178)</f>
        <v>207450</v>
      </c>
      <c r="K179" s="7"/>
      <c r="L179" s="5"/>
      <c r="M179" s="5"/>
      <c r="N179" s="5"/>
      <c r="O179" s="5"/>
      <c r="P179" s="5"/>
      <c r="Q179" s="5"/>
      <c r="R179" s="5"/>
      <c r="V179" s="36">
        <f>SUM(V133:V178)</f>
        <v>34</v>
      </c>
      <c r="W179" s="36">
        <f>SUM(W133:W178)</f>
        <v>4</v>
      </c>
    </row>
    <row r="180" spans="1:23" s="36" customFormat="1" ht="30" customHeight="1" thickBot="1" x14ac:dyDescent="0.35">
      <c r="A180" s="30"/>
      <c r="B180" s="31"/>
      <c r="C180" s="31"/>
      <c r="D180" s="31"/>
      <c r="E180" s="31"/>
      <c r="F180" s="31"/>
      <c r="G180" s="31"/>
      <c r="H180" s="32"/>
      <c r="I180" s="31"/>
      <c r="J180" s="32"/>
      <c r="K180" s="33"/>
      <c r="L180" s="5"/>
      <c r="M180" s="5"/>
      <c r="N180" s="5"/>
      <c r="O180" s="5"/>
      <c r="P180" s="5"/>
      <c r="Q180" s="5"/>
      <c r="R180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B125:H125"/>
    <mergeCell ref="B129:J129"/>
    <mergeCell ref="B130:J130"/>
    <mergeCell ref="B131:J131"/>
    <mergeCell ref="B179:H179"/>
  </mergeCells>
  <hyperlinks>
    <hyperlink ref="B59" r:id="rId1" xr:uid="{00000000-0004-0000-1300-000000000000}"/>
    <hyperlink ref="B125" r:id="rId2" xr:uid="{00000000-0004-0000-1300-000001000000}"/>
    <hyperlink ref="B179" r:id="rId3" xr:uid="{00000000-0004-0000-1300-000002000000}"/>
    <hyperlink ref="M1" location="MASTER!A1" display="Back" xr:uid="{00000000-0004-0000-1300-000003000000}"/>
    <hyperlink ref="M6:M7" location="'NOV 2021'!A70" display="EXTRA STOCK FUTURE" xr:uid="{00000000-0004-0000-1300-000004000000}"/>
    <hyperlink ref="M8:M9" location="'NOV 2021'!A140" display="EXTRA NIFTY OPTION" xr:uid="{00000000-0004-0000-1300-000005000000}"/>
  </hyperlinks>
  <pageMargins left="0" right="0" top="0" bottom="0" header="0" footer="0"/>
  <pageSetup paperSize="9" orientation="portrait" r:id="rId4"/>
  <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184"/>
  <sheetViews>
    <sheetView zoomScaleNormal="100" workbookViewId="0">
      <selection activeCell="O16" sqref="O16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44621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95" t="s">
        <v>107</v>
      </c>
      <c r="N4" s="111">
        <f>COUNT(C6:C58)</f>
        <v>44</v>
      </c>
      <c r="O4" s="113">
        <f>V59</f>
        <v>36</v>
      </c>
      <c r="P4" s="113">
        <f>W59</f>
        <v>8</v>
      </c>
      <c r="Q4" s="197">
        <f>N4-O4-P4</f>
        <v>0</v>
      </c>
      <c r="R4" s="199">
        <f>O4/N4</f>
        <v>0.81818181818181823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96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44622</v>
      </c>
      <c r="D6" s="90" t="s">
        <v>18</v>
      </c>
      <c r="E6" s="90" t="s">
        <v>240</v>
      </c>
      <c r="F6" s="90">
        <v>140</v>
      </c>
      <c r="G6" s="90">
        <v>214</v>
      </c>
      <c r="H6" s="91">
        <f>214-140</f>
        <v>74</v>
      </c>
      <c r="I6" s="90">
        <v>100</v>
      </c>
      <c r="J6" s="92">
        <f t="shared" ref="J6:J58" si="0">H6*I6</f>
        <v>7400</v>
      </c>
      <c r="K6" s="7"/>
      <c r="M6" s="213" t="s">
        <v>108</v>
      </c>
      <c r="N6" s="112">
        <f>COUNT(C67:C128)</f>
        <v>41</v>
      </c>
      <c r="O6" s="113">
        <v>33</v>
      </c>
      <c r="P6" s="113">
        <f>W129</f>
        <v>8</v>
      </c>
      <c r="Q6" s="198">
        <v>0</v>
      </c>
      <c r="R6" s="203">
        <f t="shared" ref="R6" si="1">O6/N6</f>
        <v>0.80487804878048785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x14ac:dyDescent="0.3">
      <c r="A7" s="6"/>
      <c r="B7" s="17">
        <v>2</v>
      </c>
      <c r="C7" s="85">
        <v>44622</v>
      </c>
      <c r="D7" s="86" t="s">
        <v>18</v>
      </c>
      <c r="E7" s="86" t="s">
        <v>648</v>
      </c>
      <c r="F7" s="86">
        <v>140</v>
      </c>
      <c r="G7" s="86">
        <v>165</v>
      </c>
      <c r="H7" s="87">
        <v>15</v>
      </c>
      <c r="I7" s="86">
        <v>100</v>
      </c>
      <c r="J7" s="21">
        <f t="shared" si="0"/>
        <v>1500</v>
      </c>
      <c r="K7" s="7"/>
      <c r="M7" s="213"/>
      <c r="N7" s="112"/>
      <c r="O7" s="114"/>
      <c r="P7" s="114"/>
      <c r="Q7" s="198"/>
      <c r="R7" s="200"/>
      <c r="V7" s="5">
        <f t="shared" si="2"/>
        <v>1</v>
      </c>
      <c r="W7" s="5">
        <f t="shared" si="3"/>
        <v>0</v>
      </c>
    </row>
    <row r="8" spans="1:23" x14ac:dyDescent="0.3">
      <c r="A8" s="6"/>
      <c r="B8" s="88">
        <v>3</v>
      </c>
      <c r="C8" s="85">
        <v>44623</v>
      </c>
      <c r="D8" s="86" t="s">
        <v>18</v>
      </c>
      <c r="E8" s="86" t="s">
        <v>423</v>
      </c>
      <c r="F8" s="86">
        <v>120</v>
      </c>
      <c r="G8" s="86">
        <v>220</v>
      </c>
      <c r="H8" s="87">
        <v>100</v>
      </c>
      <c r="I8" s="86">
        <v>100</v>
      </c>
      <c r="J8" s="21">
        <f t="shared" si="0"/>
        <v>10000</v>
      </c>
      <c r="K8" s="7"/>
      <c r="M8" s="214" t="s">
        <v>194</v>
      </c>
      <c r="N8" s="112">
        <f>COUNT(C137:C182)</f>
        <v>39</v>
      </c>
      <c r="O8" s="114">
        <f>V183</f>
        <v>37</v>
      </c>
      <c r="P8" s="114">
        <v>2</v>
      </c>
      <c r="Q8" s="198">
        <f>N8-O8-P8</f>
        <v>0</v>
      </c>
      <c r="R8" s="203">
        <f t="shared" ref="R8:R10" si="4">O8/N8</f>
        <v>0.94871794871794868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44623</v>
      </c>
      <c r="D9" s="86" t="s">
        <v>18</v>
      </c>
      <c r="E9" s="86" t="s">
        <v>276</v>
      </c>
      <c r="F9" s="86">
        <v>120</v>
      </c>
      <c r="G9" s="86">
        <v>160</v>
      </c>
      <c r="H9" s="87">
        <v>40</v>
      </c>
      <c r="I9" s="86">
        <v>100</v>
      </c>
      <c r="J9" s="21">
        <f t="shared" si="0"/>
        <v>4000</v>
      </c>
      <c r="K9" s="7"/>
      <c r="M9" s="215"/>
      <c r="N9" s="184"/>
      <c r="O9" s="172"/>
      <c r="P9" s="172"/>
      <c r="Q9" s="174"/>
      <c r="R9" s="204"/>
      <c r="V9" s="5">
        <f t="shared" si="2"/>
        <v>1</v>
      </c>
      <c r="W9" s="5">
        <f t="shared" si="3"/>
        <v>0</v>
      </c>
    </row>
    <row r="10" spans="1:23" ht="16.5" customHeight="1" x14ac:dyDescent="0.3">
      <c r="A10" s="6"/>
      <c r="B10" s="88">
        <v>5</v>
      </c>
      <c r="C10" s="85">
        <v>44624</v>
      </c>
      <c r="D10" s="86" t="s">
        <v>18</v>
      </c>
      <c r="E10" s="86" t="s">
        <v>649</v>
      </c>
      <c r="F10" s="86">
        <v>150</v>
      </c>
      <c r="G10" s="86">
        <v>174</v>
      </c>
      <c r="H10" s="87">
        <v>24</v>
      </c>
      <c r="I10" s="86">
        <v>100</v>
      </c>
      <c r="J10" s="21">
        <f t="shared" si="0"/>
        <v>2400</v>
      </c>
      <c r="K10" s="7"/>
      <c r="M10" s="207" t="s">
        <v>19</v>
      </c>
      <c r="N10" s="149">
        <f>SUM(N4:N9)</f>
        <v>124</v>
      </c>
      <c r="O10" s="209">
        <f>SUM(O4:O9)</f>
        <v>106</v>
      </c>
      <c r="P10" s="209">
        <f>SUM(P4:P9)</f>
        <v>18</v>
      </c>
      <c r="Q10" s="211">
        <f>SUM(Q4:Q9)</f>
        <v>0</v>
      </c>
      <c r="R10" s="199">
        <f t="shared" si="4"/>
        <v>0.85483870967741937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44624</v>
      </c>
      <c r="D11" s="86" t="s">
        <v>18</v>
      </c>
      <c r="E11" s="86" t="s">
        <v>362</v>
      </c>
      <c r="F11" s="86">
        <v>120</v>
      </c>
      <c r="G11" s="86">
        <v>70</v>
      </c>
      <c r="H11" s="87">
        <v>-50</v>
      </c>
      <c r="I11" s="86">
        <v>100</v>
      </c>
      <c r="J11" s="21">
        <f t="shared" si="0"/>
        <v>-5000</v>
      </c>
      <c r="K11" s="7"/>
      <c r="M11" s="208"/>
      <c r="N11" s="150"/>
      <c r="O11" s="210"/>
      <c r="P11" s="210"/>
      <c r="Q11" s="212"/>
      <c r="R11" s="204"/>
      <c r="V11" s="5">
        <f t="shared" si="2"/>
        <v>0</v>
      </c>
      <c r="W11" s="5">
        <f t="shared" si="3"/>
        <v>1</v>
      </c>
    </row>
    <row r="12" spans="1:23" ht="15" customHeight="1" x14ac:dyDescent="0.3">
      <c r="A12" s="6"/>
      <c r="B12" s="88">
        <v>7</v>
      </c>
      <c r="C12" s="85">
        <v>44624</v>
      </c>
      <c r="D12" s="86" t="s">
        <v>18</v>
      </c>
      <c r="E12" s="86" t="s">
        <v>208</v>
      </c>
      <c r="F12" s="86">
        <v>140</v>
      </c>
      <c r="G12" s="86">
        <v>170</v>
      </c>
      <c r="H12" s="87">
        <v>30</v>
      </c>
      <c r="I12" s="86">
        <v>100</v>
      </c>
      <c r="J12" s="21">
        <f t="shared" si="0"/>
        <v>3000</v>
      </c>
      <c r="K12" s="7"/>
      <c r="M12" s="126" t="s">
        <v>20</v>
      </c>
      <c r="N12" s="130"/>
      <c r="O12" s="131"/>
      <c r="P12" s="138">
        <f>R10</f>
        <v>0.85483870967741937</v>
      </c>
      <c r="Q12" s="139"/>
      <c r="R12" s="137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44627</v>
      </c>
      <c r="D13" s="86" t="s">
        <v>18</v>
      </c>
      <c r="E13" s="86" t="s">
        <v>361</v>
      </c>
      <c r="F13" s="86">
        <v>140</v>
      </c>
      <c r="G13" s="86">
        <v>190</v>
      </c>
      <c r="H13" s="87">
        <v>50</v>
      </c>
      <c r="I13" s="86">
        <v>100</v>
      </c>
      <c r="J13" s="21">
        <f t="shared" si="0"/>
        <v>5000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44627</v>
      </c>
      <c r="D14" s="86" t="s">
        <v>18</v>
      </c>
      <c r="E14" s="86" t="s">
        <v>650</v>
      </c>
      <c r="F14" s="86">
        <v>150</v>
      </c>
      <c r="G14" s="86">
        <v>250</v>
      </c>
      <c r="H14" s="87">
        <v>100</v>
      </c>
      <c r="I14" s="86">
        <v>100</v>
      </c>
      <c r="J14" s="21">
        <f t="shared" si="0"/>
        <v>10000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44628</v>
      </c>
      <c r="D15" s="86" t="s">
        <v>18</v>
      </c>
      <c r="E15" s="86" t="s">
        <v>366</v>
      </c>
      <c r="F15" s="86">
        <v>150</v>
      </c>
      <c r="G15" s="86">
        <v>178</v>
      </c>
      <c r="H15" s="87">
        <v>28</v>
      </c>
      <c r="I15" s="86">
        <v>100</v>
      </c>
      <c r="J15" s="21">
        <f t="shared" si="0"/>
        <v>2800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18">
        <v>44628</v>
      </c>
      <c r="D16" s="19" t="s">
        <v>18</v>
      </c>
      <c r="E16" s="19" t="s">
        <v>650</v>
      </c>
      <c r="F16" s="35">
        <v>150</v>
      </c>
      <c r="G16" s="35">
        <v>193</v>
      </c>
      <c r="H16" s="35">
        <f>193-150</f>
        <v>43</v>
      </c>
      <c r="I16" s="20">
        <v>100</v>
      </c>
      <c r="J16" s="21">
        <f t="shared" si="0"/>
        <v>4300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18">
        <v>44628</v>
      </c>
      <c r="D17" s="19" t="s">
        <v>18</v>
      </c>
      <c r="E17" s="19" t="s">
        <v>651</v>
      </c>
      <c r="F17" s="35">
        <v>150</v>
      </c>
      <c r="G17" s="35">
        <v>175</v>
      </c>
      <c r="H17" s="35">
        <v>25</v>
      </c>
      <c r="I17" s="20">
        <v>100</v>
      </c>
      <c r="J17" s="21">
        <f t="shared" si="0"/>
        <v>2500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18">
        <v>44629</v>
      </c>
      <c r="D18" s="19" t="s">
        <v>18</v>
      </c>
      <c r="E18" s="19" t="s">
        <v>649</v>
      </c>
      <c r="F18" s="35">
        <v>140</v>
      </c>
      <c r="G18" s="35">
        <v>80</v>
      </c>
      <c r="H18" s="35">
        <v>-50</v>
      </c>
      <c r="I18" s="20">
        <v>100</v>
      </c>
      <c r="J18" s="21">
        <f t="shared" si="0"/>
        <v>-5000</v>
      </c>
      <c r="K18" s="7"/>
      <c r="V18" s="5">
        <f t="shared" si="2"/>
        <v>0</v>
      </c>
      <c r="W18" s="5">
        <f t="shared" si="3"/>
        <v>1</v>
      </c>
    </row>
    <row r="19" spans="1:23" x14ac:dyDescent="0.3">
      <c r="A19" s="6"/>
      <c r="B19" s="17">
        <v>14</v>
      </c>
      <c r="C19" s="18">
        <v>44629</v>
      </c>
      <c r="D19" s="19" t="s">
        <v>18</v>
      </c>
      <c r="E19" s="19" t="s">
        <v>336</v>
      </c>
      <c r="F19" s="35">
        <v>140</v>
      </c>
      <c r="G19" s="35">
        <v>240</v>
      </c>
      <c r="H19" s="35">
        <v>100</v>
      </c>
      <c r="I19" s="20">
        <v>100</v>
      </c>
      <c r="J19" s="21">
        <f t="shared" si="0"/>
        <v>10000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18">
        <v>44630</v>
      </c>
      <c r="D20" s="19" t="s">
        <v>18</v>
      </c>
      <c r="E20" s="19" t="s">
        <v>392</v>
      </c>
      <c r="F20" s="35">
        <v>130</v>
      </c>
      <c r="G20" s="35">
        <v>200</v>
      </c>
      <c r="H20" s="78">
        <f>200-130</f>
        <v>70</v>
      </c>
      <c r="I20" s="20">
        <v>100</v>
      </c>
      <c r="J20" s="21">
        <f t="shared" si="0"/>
        <v>7000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18">
        <v>44630</v>
      </c>
      <c r="D21" s="19" t="s">
        <v>18</v>
      </c>
      <c r="E21" s="19" t="s">
        <v>392</v>
      </c>
      <c r="F21" s="35">
        <v>130</v>
      </c>
      <c r="G21" s="35">
        <v>80</v>
      </c>
      <c r="H21" s="35">
        <v>-50</v>
      </c>
      <c r="I21" s="20">
        <v>100</v>
      </c>
      <c r="J21" s="21">
        <f t="shared" si="0"/>
        <v>-5000</v>
      </c>
      <c r="K21" s="7"/>
      <c r="O21" s="22"/>
      <c r="P21" s="22"/>
      <c r="Q21" s="22"/>
      <c r="R21" s="22"/>
      <c r="V21" s="5">
        <f t="shared" si="2"/>
        <v>0</v>
      </c>
      <c r="W21" s="5">
        <f t="shared" si="3"/>
        <v>1</v>
      </c>
    </row>
    <row r="22" spans="1:23" x14ac:dyDescent="0.3">
      <c r="A22" s="6"/>
      <c r="B22" s="88">
        <v>17</v>
      </c>
      <c r="C22" s="18">
        <v>44631</v>
      </c>
      <c r="D22" s="19" t="s">
        <v>18</v>
      </c>
      <c r="E22" s="19" t="s">
        <v>252</v>
      </c>
      <c r="F22" s="35">
        <v>140</v>
      </c>
      <c r="G22" s="35">
        <v>182</v>
      </c>
      <c r="H22" s="35">
        <f>182-140</f>
        <v>42</v>
      </c>
      <c r="I22" s="20">
        <v>100</v>
      </c>
      <c r="J22" s="21">
        <f t="shared" si="0"/>
        <v>4200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44631</v>
      </c>
      <c r="D23" s="19" t="s">
        <v>18</v>
      </c>
      <c r="E23" s="19" t="s">
        <v>316</v>
      </c>
      <c r="F23" s="35">
        <v>160</v>
      </c>
      <c r="G23" s="35">
        <v>179</v>
      </c>
      <c r="H23" s="35">
        <f>179-160</f>
        <v>19</v>
      </c>
      <c r="I23" s="20">
        <v>100</v>
      </c>
      <c r="J23" s="21">
        <f t="shared" si="0"/>
        <v>1900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44634</v>
      </c>
      <c r="D24" s="19" t="s">
        <v>18</v>
      </c>
      <c r="E24" s="19" t="s">
        <v>298</v>
      </c>
      <c r="F24" s="35">
        <v>140</v>
      </c>
      <c r="G24" s="35">
        <v>240</v>
      </c>
      <c r="H24" s="35">
        <v>100</v>
      </c>
      <c r="I24" s="20">
        <v>100</v>
      </c>
      <c r="J24" s="21">
        <f t="shared" si="0"/>
        <v>10000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44634</v>
      </c>
      <c r="D25" s="19" t="s">
        <v>18</v>
      </c>
      <c r="E25" s="19" t="s">
        <v>260</v>
      </c>
      <c r="F25" s="35">
        <v>130</v>
      </c>
      <c r="G25" s="35">
        <v>210</v>
      </c>
      <c r="H25" s="35">
        <f>210-130</f>
        <v>80</v>
      </c>
      <c r="I25" s="20">
        <v>100</v>
      </c>
      <c r="J25" s="21">
        <f t="shared" si="0"/>
        <v>8000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44635</v>
      </c>
      <c r="D26" s="19" t="s">
        <v>18</v>
      </c>
      <c r="E26" s="19" t="s">
        <v>275</v>
      </c>
      <c r="F26" s="35">
        <v>140</v>
      </c>
      <c r="G26" s="35">
        <v>110</v>
      </c>
      <c r="H26" s="35">
        <v>-30</v>
      </c>
      <c r="I26" s="20">
        <v>100</v>
      </c>
      <c r="J26" s="21">
        <f t="shared" si="0"/>
        <v>-3000</v>
      </c>
      <c r="K26" s="7"/>
      <c r="V26" s="5">
        <f t="shared" si="2"/>
        <v>0</v>
      </c>
      <c r="W26" s="5">
        <f t="shared" si="3"/>
        <v>1</v>
      </c>
    </row>
    <row r="27" spans="1:23" x14ac:dyDescent="0.3">
      <c r="A27" s="6"/>
      <c r="B27" s="17">
        <v>22</v>
      </c>
      <c r="C27" s="18">
        <v>44635</v>
      </c>
      <c r="D27" s="19" t="s">
        <v>18</v>
      </c>
      <c r="E27" s="19" t="s">
        <v>289</v>
      </c>
      <c r="F27" s="35">
        <v>140</v>
      </c>
      <c r="G27" s="35">
        <v>210</v>
      </c>
      <c r="H27" s="19">
        <f>210-140</f>
        <v>70</v>
      </c>
      <c r="I27" s="20">
        <v>100</v>
      </c>
      <c r="J27" s="21">
        <f t="shared" si="0"/>
        <v>7000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44635</v>
      </c>
      <c r="D28" s="19" t="s">
        <v>18</v>
      </c>
      <c r="E28" s="19" t="s">
        <v>367</v>
      </c>
      <c r="F28" s="35">
        <v>140</v>
      </c>
      <c r="G28" s="35">
        <v>225</v>
      </c>
      <c r="H28" s="19">
        <f>225-140</f>
        <v>85</v>
      </c>
      <c r="I28" s="20">
        <v>100</v>
      </c>
      <c r="J28" s="21">
        <f t="shared" si="0"/>
        <v>8500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44636</v>
      </c>
      <c r="D29" s="19" t="s">
        <v>18</v>
      </c>
      <c r="E29" s="19" t="s">
        <v>387</v>
      </c>
      <c r="F29" s="20">
        <v>140</v>
      </c>
      <c r="G29" s="20">
        <v>90</v>
      </c>
      <c r="H29" s="19">
        <v>-50</v>
      </c>
      <c r="I29" s="20">
        <v>100</v>
      </c>
      <c r="J29" s="21">
        <f t="shared" si="0"/>
        <v>-5000</v>
      </c>
      <c r="K29" s="7"/>
      <c r="V29" s="5">
        <f t="shared" si="2"/>
        <v>0</v>
      </c>
      <c r="W29" s="5">
        <f t="shared" si="3"/>
        <v>1</v>
      </c>
    </row>
    <row r="30" spans="1:23" x14ac:dyDescent="0.3">
      <c r="A30" s="6"/>
      <c r="B30" s="88">
        <v>25</v>
      </c>
      <c r="C30" s="24">
        <v>44636</v>
      </c>
      <c r="D30" s="25" t="s">
        <v>18</v>
      </c>
      <c r="E30" s="25" t="s">
        <v>383</v>
      </c>
      <c r="F30" s="26">
        <v>110</v>
      </c>
      <c r="G30" s="61">
        <v>130</v>
      </c>
      <c r="H30" s="61">
        <v>20</v>
      </c>
      <c r="I30" s="26">
        <v>100</v>
      </c>
      <c r="J30" s="21">
        <f t="shared" si="0"/>
        <v>2000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44637</v>
      </c>
      <c r="D31" s="25" t="s">
        <v>18</v>
      </c>
      <c r="E31" s="25" t="s">
        <v>275</v>
      </c>
      <c r="F31" s="26">
        <v>120</v>
      </c>
      <c r="G31" s="61">
        <v>170</v>
      </c>
      <c r="H31" s="61">
        <v>50</v>
      </c>
      <c r="I31" s="26">
        <v>100</v>
      </c>
      <c r="J31" s="21">
        <f t="shared" si="0"/>
        <v>5000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44641</v>
      </c>
      <c r="D32" s="25" t="s">
        <v>18</v>
      </c>
      <c r="E32" s="25" t="s">
        <v>276</v>
      </c>
      <c r="F32" s="26">
        <v>150</v>
      </c>
      <c r="G32" s="61">
        <v>168</v>
      </c>
      <c r="H32" s="61">
        <v>18</v>
      </c>
      <c r="I32" s="26">
        <v>100</v>
      </c>
      <c r="J32" s="21">
        <f t="shared" si="0"/>
        <v>1800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44641</v>
      </c>
      <c r="D33" s="25" t="s">
        <v>18</v>
      </c>
      <c r="E33" s="25" t="s">
        <v>276</v>
      </c>
      <c r="F33" s="26">
        <v>140</v>
      </c>
      <c r="G33" s="61">
        <v>190</v>
      </c>
      <c r="H33" s="61">
        <v>50</v>
      </c>
      <c r="I33" s="26">
        <v>100</v>
      </c>
      <c r="J33" s="21">
        <f t="shared" si="0"/>
        <v>5000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44642</v>
      </c>
      <c r="D34" s="25" t="s">
        <v>18</v>
      </c>
      <c r="E34" s="25" t="s">
        <v>383</v>
      </c>
      <c r="F34" s="26">
        <v>140</v>
      </c>
      <c r="G34" s="61">
        <v>231</v>
      </c>
      <c r="H34" s="61">
        <f>231-140</f>
        <v>91</v>
      </c>
      <c r="I34" s="26">
        <v>100</v>
      </c>
      <c r="J34" s="21">
        <f t="shared" si="0"/>
        <v>9100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44642</v>
      </c>
      <c r="D35" s="25" t="s">
        <v>18</v>
      </c>
      <c r="E35" s="25" t="s">
        <v>284</v>
      </c>
      <c r="F35" s="26">
        <v>150</v>
      </c>
      <c r="G35" s="61">
        <v>180</v>
      </c>
      <c r="H35" s="61">
        <v>30</v>
      </c>
      <c r="I35" s="26">
        <v>100</v>
      </c>
      <c r="J35" s="21">
        <f t="shared" si="0"/>
        <v>3000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44643</v>
      </c>
      <c r="D36" s="25" t="s">
        <v>18</v>
      </c>
      <c r="E36" s="25" t="s">
        <v>639</v>
      </c>
      <c r="F36" s="26">
        <v>130</v>
      </c>
      <c r="G36" s="61">
        <v>180</v>
      </c>
      <c r="H36" s="61">
        <v>50</v>
      </c>
      <c r="I36" s="26">
        <v>100</v>
      </c>
      <c r="J36" s="21">
        <f t="shared" si="0"/>
        <v>5000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44643</v>
      </c>
      <c r="D37" s="25" t="s">
        <v>18</v>
      </c>
      <c r="E37" s="25" t="s">
        <v>384</v>
      </c>
      <c r="F37" s="26">
        <v>150</v>
      </c>
      <c r="G37" s="61">
        <v>200</v>
      </c>
      <c r="H37" s="61">
        <v>50</v>
      </c>
      <c r="I37" s="26">
        <v>100</v>
      </c>
      <c r="J37" s="21">
        <f t="shared" si="0"/>
        <v>5000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44644</v>
      </c>
      <c r="D38" s="25" t="s">
        <v>18</v>
      </c>
      <c r="E38" s="25" t="s">
        <v>273</v>
      </c>
      <c r="F38" s="26">
        <v>120</v>
      </c>
      <c r="G38" s="61">
        <v>148</v>
      </c>
      <c r="H38" s="61">
        <v>28</v>
      </c>
      <c r="I38" s="26">
        <v>100</v>
      </c>
      <c r="J38" s="21">
        <f t="shared" si="0"/>
        <v>2800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44644</v>
      </c>
      <c r="D39" s="25" t="s">
        <v>18</v>
      </c>
      <c r="E39" s="25" t="s">
        <v>652</v>
      </c>
      <c r="F39" s="26">
        <v>100</v>
      </c>
      <c r="G39" s="61">
        <v>200</v>
      </c>
      <c r="H39" s="61">
        <v>100</v>
      </c>
      <c r="I39" s="26">
        <v>100</v>
      </c>
      <c r="J39" s="21">
        <f t="shared" si="0"/>
        <v>10000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44645</v>
      </c>
      <c r="D40" s="25" t="s">
        <v>18</v>
      </c>
      <c r="E40" s="25" t="s">
        <v>456</v>
      </c>
      <c r="F40" s="26">
        <v>140</v>
      </c>
      <c r="G40" s="61">
        <v>125</v>
      </c>
      <c r="H40" s="61">
        <v>-15</v>
      </c>
      <c r="I40" s="26">
        <v>100</v>
      </c>
      <c r="J40" s="21">
        <f t="shared" si="0"/>
        <v>-1500</v>
      </c>
      <c r="K40" s="7"/>
      <c r="V40" s="5">
        <f t="shared" si="2"/>
        <v>0</v>
      </c>
      <c r="W40" s="5">
        <f t="shared" si="3"/>
        <v>1</v>
      </c>
    </row>
    <row r="41" spans="1:23" x14ac:dyDescent="0.3">
      <c r="A41" s="6"/>
      <c r="B41" s="17">
        <v>36</v>
      </c>
      <c r="C41" s="24">
        <v>44645</v>
      </c>
      <c r="D41" s="25" t="s">
        <v>18</v>
      </c>
      <c r="E41" s="25" t="s">
        <v>289</v>
      </c>
      <c r="F41" s="26">
        <v>150</v>
      </c>
      <c r="G41" s="61">
        <v>168</v>
      </c>
      <c r="H41" s="61">
        <v>18</v>
      </c>
      <c r="I41" s="26">
        <v>100</v>
      </c>
      <c r="J41" s="21">
        <f t="shared" si="0"/>
        <v>1800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24">
        <v>44648</v>
      </c>
      <c r="D42" s="25" t="s">
        <v>18</v>
      </c>
      <c r="E42" s="25" t="s">
        <v>420</v>
      </c>
      <c r="F42" s="26">
        <v>140</v>
      </c>
      <c r="G42" s="61">
        <v>160</v>
      </c>
      <c r="H42" s="61">
        <v>20</v>
      </c>
      <c r="I42" s="26">
        <v>100</v>
      </c>
      <c r="J42" s="21">
        <f t="shared" si="0"/>
        <v>2000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17">
        <v>38</v>
      </c>
      <c r="C43" s="24">
        <v>44648</v>
      </c>
      <c r="D43" s="25" t="s">
        <v>18</v>
      </c>
      <c r="E43" s="25" t="s">
        <v>289</v>
      </c>
      <c r="F43" s="26">
        <v>120</v>
      </c>
      <c r="G43" s="61">
        <v>70</v>
      </c>
      <c r="H43" s="61">
        <v>-50</v>
      </c>
      <c r="I43" s="26">
        <v>100</v>
      </c>
      <c r="J43" s="21">
        <f t="shared" si="0"/>
        <v>-5000</v>
      </c>
      <c r="K43" s="7"/>
      <c r="V43" s="5">
        <f t="shared" si="2"/>
        <v>0</v>
      </c>
      <c r="W43" s="5">
        <f t="shared" si="3"/>
        <v>1</v>
      </c>
    </row>
    <row r="44" spans="1:23" x14ac:dyDescent="0.3">
      <c r="A44" s="6"/>
      <c r="B44" s="17">
        <v>39</v>
      </c>
      <c r="C44" s="24">
        <v>44649</v>
      </c>
      <c r="D44" s="25" t="s">
        <v>18</v>
      </c>
      <c r="E44" s="25" t="s">
        <v>583</v>
      </c>
      <c r="F44" s="26">
        <v>130</v>
      </c>
      <c r="G44" s="61">
        <v>222</v>
      </c>
      <c r="H44" s="61">
        <f>222-130</f>
        <v>92</v>
      </c>
      <c r="I44" s="26">
        <v>100</v>
      </c>
      <c r="J44" s="21">
        <f t="shared" si="0"/>
        <v>9200</v>
      </c>
      <c r="K44" s="7"/>
      <c r="V44" s="5">
        <f t="shared" si="2"/>
        <v>1</v>
      </c>
      <c r="W44" s="5">
        <f t="shared" si="3"/>
        <v>0</v>
      </c>
    </row>
    <row r="45" spans="1:23" x14ac:dyDescent="0.3">
      <c r="A45" s="6"/>
      <c r="B45" s="17">
        <v>40</v>
      </c>
      <c r="C45" s="24">
        <v>44649</v>
      </c>
      <c r="D45" s="25" t="s">
        <v>18</v>
      </c>
      <c r="E45" s="25" t="s">
        <v>276</v>
      </c>
      <c r="F45" s="26">
        <v>130</v>
      </c>
      <c r="G45" s="61">
        <v>193</v>
      </c>
      <c r="H45" s="61">
        <f>193-130</f>
        <v>63</v>
      </c>
      <c r="I45" s="26">
        <v>100</v>
      </c>
      <c r="J45" s="21">
        <f t="shared" si="0"/>
        <v>6300</v>
      </c>
      <c r="K45" s="7"/>
      <c r="V45" s="5">
        <f t="shared" si="2"/>
        <v>1</v>
      </c>
      <c r="W45" s="5">
        <f t="shared" si="3"/>
        <v>0</v>
      </c>
    </row>
    <row r="46" spans="1:23" x14ac:dyDescent="0.3">
      <c r="A46" s="6"/>
      <c r="B46" s="17">
        <v>41</v>
      </c>
      <c r="C46" s="24">
        <v>44650</v>
      </c>
      <c r="D46" s="25" t="s">
        <v>18</v>
      </c>
      <c r="E46" s="25" t="s">
        <v>424</v>
      </c>
      <c r="F46" s="26">
        <v>160</v>
      </c>
      <c r="G46" s="61">
        <v>177</v>
      </c>
      <c r="H46" s="61">
        <f>177-160</f>
        <v>17</v>
      </c>
      <c r="I46" s="26">
        <v>100</v>
      </c>
      <c r="J46" s="21">
        <f t="shared" si="0"/>
        <v>1700</v>
      </c>
      <c r="K46" s="7"/>
      <c r="V46" s="5">
        <f t="shared" si="2"/>
        <v>1</v>
      </c>
      <c r="W46" s="5">
        <f t="shared" si="3"/>
        <v>0</v>
      </c>
    </row>
    <row r="47" spans="1:23" x14ac:dyDescent="0.3">
      <c r="A47" s="6"/>
      <c r="B47" s="88">
        <v>39</v>
      </c>
      <c r="C47" s="24">
        <v>44650</v>
      </c>
      <c r="D47" s="25" t="s">
        <v>18</v>
      </c>
      <c r="E47" s="25" t="s">
        <v>242</v>
      </c>
      <c r="F47" s="26">
        <v>130</v>
      </c>
      <c r="G47" s="61">
        <v>80</v>
      </c>
      <c r="H47" s="61">
        <v>-50</v>
      </c>
      <c r="I47" s="26">
        <v>100</v>
      </c>
      <c r="J47" s="21">
        <f t="shared" si="0"/>
        <v>-5000</v>
      </c>
      <c r="K47" s="7"/>
      <c r="V47" s="5">
        <f t="shared" si="2"/>
        <v>0</v>
      </c>
      <c r="W47" s="5">
        <f t="shared" si="3"/>
        <v>1</v>
      </c>
    </row>
    <row r="48" spans="1:23" x14ac:dyDescent="0.3">
      <c r="A48" s="6"/>
      <c r="B48" s="17">
        <v>40</v>
      </c>
      <c r="C48" s="24">
        <v>44651</v>
      </c>
      <c r="D48" s="25" t="s">
        <v>18</v>
      </c>
      <c r="E48" s="25" t="s">
        <v>460</v>
      </c>
      <c r="F48" s="26">
        <v>110</v>
      </c>
      <c r="G48" s="61">
        <v>144</v>
      </c>
      <c r="H48" s="61">
        <f>144-110</f>
        <v>34</v>
      </c>
      <c r="I48" s="26">
        <v>100</v>
      </c>
      <c r="J48" s="21">
        <f t="shared" si="0"/>
        <v>3400</v>
      </c>
      <c r="K48" s="7"/>
      <c r="V48" s="5">
        <f t="shared" si="2"/>
        <v>1</v>
      </c>
      <c r="W48" s="5">
        <f t="shared" si="3"/>
        <v>0</v>
      </c>
    </row>
    <row r="49" spans="1:23" x14ac:dyDescent="0.3">
      <c r="A49" s="6"/>
      <c r="B49" s="88">
        <v>41</v>
      </c>
      <c r="C49" s="24">
        <v>44651</v>
      </c>
      <c r="D49" s="25" t="s">
        <v>18</v>
      </c>
      <c r="E49" s="25" t="s">
        <v>460</v>
      </c>
      <c r="F49" s="26">
        <v>70</v>
      </c>
      <c r="G49" s="61">
        <v>102</v>
      </c>
      <c r="H49" s="61">
        <f>102-70</f>
        <v>32</v>
      </c>
      <c r="I49" s="26">
        <v>100</v>
      </c>
      <c r="J49" s="21">
        <f t="shared" si="0"/>
        <v>3200</v>
      </c>
      <c r="K49" s="7"/>
      <c r="V49" s="5">
        <f t="shared" si="2"/>
        <v>1</v>
      </c>
      <c r="W49" s="5">
        <f t="shared" si="3"/>
        <v>0</v>
      </c>
    </row>
    <row r="50" spans="1:23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151300</v>
      </c>
      <c r="K59" s="7"/>
      <c r="V59" s="5">
        <f>SUM(V6:V58)</f>
        <v>36</v>
      </c>
      <c r="W59" s="5">
        <f>SUM(W6:W58)</f>
        <v>8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646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44622</v>
      </c>
      <c r="D67" s="67" t="s">
        <v>18</v>
      </c>
      <c r="E67" s="67" t="s">
        <v>653</v>
      </c>
      <c r="F67" s="68">
        <v>1800</v>
      </c>
      <c r="G67" s="68">
        <v>1780</v>
      </c>
      <c r="H67" s="97">
        <v>-20</v>
      </c>
      <c r="I67" s="68">
        <v>650</v>
      </c>
      <c r="J67" s="92">
        <f>H67*I67</f>
        <v>-13000</v>
      </c>
      <c r="K67" s="7"/>
      <c r="V67" s="5">
        <f t="shared" ref="V67:V128" si="5">IF($J67&gt;0,1,0)</f>
        <v>0</v>
      </c>
      <c r="W67" s="5">
        <f t="shared" ref="W67:W128" si="6">IF($J67&lt;0,1,0)</f>
        <v>1</v>
      </c>
    </row>
    <row r="68" spans="1:23" s="36" customFormat="1" x14ac:dyDescent="0.3">
      <c r="A68" s="6"/>
      <c r="B68" s="17">
        <f>B67+1</f>
        <v>2</v>
      </c>
      <c r="C68" s="66">
        <v>44622</v>
      </c>
      <c r="D68" s="67" t="s">
        <v>18</v>
      </c>
      <c r="E68" s="67" t="s">
        <v>654</v>
      </c>
      <c r="F68" s="97">
        <v>178.3</v>
      </c>
      <c r="G68" s="97">
        <v>176.3</v>
      </c>
      <c r="H68" s="97">
        <v>-2</v>
      </c>
      <c r="I68" s="20">
        <v>4200</v>
      </c>
      <c r="J68" s="21">
        <f>H68*I68</f>
        <v>-8400</v>
      </c>
      <c r="K68" s="7"/>
      <c r="L68" s="36" t="s">
        <v>21</v>
      </c>
      <c r="V68" s="5">
        <f t="shared" si="5"/>
        <v>0</v>
      </c>
      <c r="W68" s="5">
        <f t="shared" si="6"/>
        <v>1</v>
      </c>
    </row>
    <row r="69" spans="1:23" s="36" customFormat="1" x14ac:dyDescent="0.3">
      <c r="A69" s="6"/>
      <c r="B69" s="17">
        <f t="shared" ref="B69:B128" si="7">B68+1</f>
        <v>3</v>
      </c>
      <c r="C69" s="18">
        <v>44623</v>
      </c>
      <c r="D69" s="19" t="s">
        <v>69</v>
      </c>
      <c r="E69" s="19" t="s">
        <v>254</v>
      </c>
      <c r="F69" s="35">
        <v>347</v>
      </c>
      <c r="G69" s="97">
        <v>339</v>
      </c>
      <c r="H69" s="35">
        <f>347-339</f>
        <v>8</v>
      </c>
      <c r="I69" s="20">
        <v>1650</v>
      </c>
      <c r="J69" s="21">
        <f>H69*I69</f>
        <v>13200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44623</v>
      </c>
      <c r="D70" s="19" t="s">
        <v>69</v>
      </c>
      <c r="E70" s="19" t="s">
        <v>609</v>
      </c>
      <c r="F70" s="35">
        <v>2940</v>
      </c>
      <c r="G70" s="97">
        <v>2900.3</v>
      </c>
      <c r="H70" s="35">
        <f>2940-2900.3</f>
        <v>39.699999999999818</v>
      </c>
      <c r="I70" s="20">
        <v>150</v>
      </c>
      <c r="J70" s="21">
        <f>H70*I70</f>
        <v>5954.9999999999727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44624</v>
      </c>
      <c r="D71" s="19" t="s">
        <v>18</v>
      </c>
      <c r="E71" s="19" t="s">
        <v>119</v>
      </c>
      <c r="F71" s="35">
        <v>1315</v>
      </c>
      <c r="G71" s="97">
        <v>1300</v>
      </c>
      <c r="H71" s="35">
        <v>-15</v>
      </c>
      <c r="I71" s="20">
        <v>425</v>
      </c>
      <c r="J71" s="21">
        <f>H71*I71</f>
        <v>-6375</v>
      </c>
      <c r="K71" s="7"/>
      <c r="V71" s="5">
        <f t="shared" si="5"/>
        <v>0</v>
      </c>
      <c r="W71" s="5">
        <f t="shared" si="6"/>
        <v>1</v>
      </c>
    </row>
    <row r="72" spans="1:23" s="36" customFormat="1" x14ac:dyDescent="0.3">
      <c r="A72" s="6"/>
      <c r="B72" s="17">
        <f t="shared" si="7"/>
        <v>6</v>
      </c>
      <c r="C72" s="18">
        <v>44624</v>
      </c>
      <c r="D72" s="19" t="s">
        <v>18</v>
      </c>
      <c r="E72" s="19" t="s">
        <v>655</v>
      </c>
      <c r="F72" s="20">
        <v>603</v>
      </c>
      <c r="G72" s="97">
        <v>596</v>
      </c>
      <c r="H72" s="35">
        <v>-7</v>
      </c>
      <c r="I72" s="20">
        <v>1300</v>
      </c>
      <c r="J72" s="21">
        <f t="shared" ref="J72:J128" si="8">I72*H72</f>
        <v>-9100</v>
      </c>
      <c r="K72" s="7"/>
      <c r="V72" s="5">
        <f t="shared" si="5"/>
        <v>0</v>
      </c>
      <c r="W72" s="5">
        <f t="shared" si="6"/>
        <v>1</v>
      </c>
    </row>
    <row r="73" spans="1:23" s="36" customFormat="1" x14ac:dyDescent="0.3">
      <c r="A73" s="6"/>
      <c r="B73" s="17">
        <f t="shared" si="7"/>
        <v>7</v>
      </c>
      <c r="C73" s="18">
        <v>44627</v>
      </c>
      <c r="D73" s="19" t="s">
        <v>69</v>
      </c>
      <c r="E73" s="19" t="s">
        <v>70</v>
      </c>
      <c r="F73" s="35">
        <v>677</v>
      </c>
      <c r="G73" s="97">
        <v>665</v>
      </c>
      <c r="H73" s="35">
        <f>677-665</f>
        <v>12</v>
      </c>
      <c r="I73" s="20">
        <v>1200</v>
      </c>
      <c r="J73" s="21">
        <f t="shared" si="8"/>
        <v>14400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44627</v>
      </c>
      <c r="D74" s="19" t="s">
        <v>18</v>
      </c>
      <c r="E74" s="19" t="s">
        <v>656</v>
      </c>
      <c r="F74" s="35">
        <v>4130</v>
      </c>
      <c r="G74" s="97">
        <v>4153</v>
      </c>
      <c r="H74" s="35">
        <f>4153-4130</f>
        <v>23</v>
      </c>
      <c r="I74" s="20">
        <v>150</v>
      </c>
      <c r="J74" s="21">
        <f t="shared" si="8"/>
        <v>3450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44628</v>
      </c>
      <c r="D75" s="19" t="s">
        <v>69</v>
      </c>
      <c r="E75" s="19" t="s">
        <v>88</v>
      </c>
      <c r="F75" s="35">
        <v>624</v>
      </c>
      <c r="G75" s="97">
        <v>619.04999999999995</v>
      </c>
      <c r="H75" s="35">
        <f>624-619.05</f>
        <v>4.9500000000000455</v>
      </c>
      <c r="I75" s="20">
        <v>1350</v>
      </c>
      <c r="J75" s="21">
        <f t="shared" si="8"/>
        <v>6682.5000000000618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44628</v>
      </c>
      <c r="D76" s="19" t="s">
        <v>18</v>
      </c>
      <c r="E76" s="19" t="s">
        <v>312</v>
      </c>
      <c r="F76" s="35">
        <v>1758</v>
      </c>
      <c r="G76" s="97">
        <v>1773</v>
      </c>
      <c r="H76" s="35">
        <f>1773-1758</f>
        <v>15</v>
      </c>
      <c r="I76" s="20">
        <v>300</v>
      </c>
      <c r="J76" s="21">
        <f t="shared" si="8"/>
        <v>4500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>
        <v>44629</v>
      </c>
      <c r="D77" s="19" t="s">
        <v>69</v>
      </c>
      <c r="E77" s="19" t="s">
        <v>70</v>
      </c>
      <c r="F77" s="19">
        <v>664</v>
      </c>
      <c r="G77" s="97">
        <v>661.7</v>
      </c>
      <c r="H77" s="35">
        <f>664-661.7</f>
        <v>2.2999999999999545</v>
      </c>
      <c r="I77" s="20">
        <v>1200</v>
      </c>
      <c r="J77" s="21">
        <f t="shared" si="8"/>
        <v>2759.9999999999454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>
        <v>44629</v>
      </c>
      <c r="D78" s="19" t="s">
        <v>18</v>
      </c>
      <c r="E78" s="19" t="s">
        <v>312</v>
      </c>
      <c r="F78" s="35">
        <v>1817</v>
      </c>
      <c r="G78" s="97">
        <v>1833</v>
      </c>
      <c r="H78" s="35">
        <f>1833-1817</f>
        <v>16</v>
      </c>
      <c r="I78" s="20">
        <v>300</v>
      </c>
      <c r="J78" s="21">
        <f t="shared" si="8"/>
        <v>4800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44630</v>
      </c>
      <c r="D79" s="19" t="s">
        <v>69</v>
      </c>
      <c r="E79" s="19" t="s">
        <v>312</v>
      </c>
      <c r="F79" s="35">
        <v>1823</v>
      </c>
      <c r="G79" s="97">
        <v>1817.5</v>
      </c>
      <c r="H79" s="35">
        <f>1823-1817.5</f>
        <v>5.5</v>
      </c>
      <c r="I79" s="20">
        <v>300</v>
      </c>
      <c r="J79" s="21">
        <f t="shared" si="8"/>
        <v>1650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44630</v>
      </c>
      <c r="D80" s="19" t="s">
        <v>18</v>
      </c>
      <c r="E80" s="19" t="s">
        <v>657</v>
      </c>
      <c r="F80" s="77">
        <v>409</v>
      </c>
      <c r="G80" s="97">
        <v>404.6</v>
      </c>
      <c r="H80" s="78">
        <v>-4.4000000000000004</v>
      </c>
      <c r="I80" s="20">
        <v>1500</v>
      </c>
      <c r="J80" s="21">
        <f t="shared" si="8"/>
        <v>-6600.0000000000009</v>
      </c>
      <c r="K80" s="7"/>
      <c r="V80" s="5">
        <f t="shared" si="5"/>
        <v>0</v>
      </c>
      <c r="W80" s="5">
        <f t="shared" si="6"/>
        <v>1</v>
      </c>
    </row>
    <row r="81" spans="1:23" s="36" customFormat="1" x14ac:dyDescent="0.3">
      <c r="A81" s="6"/>
      <c r="B81" s="17">
        <f t="shared" si="7"/>
        <v>15</v>
      </c>
      <c r="C81" s="18">
        <v>44631</v>
      </c>
      <c r="D81" s="19" t="s">
        <v>18</v>
      </c>
      <c r="E81" s="19" t="s">
        <v>377</v>
      </c>
      <c r="F81" s="35">
        <v>2065</v>
      </c>
      <c r="G81" s="97">
        <v>2045</v>
      </c>
      <c r="H81" s="78">
        <v>-20</v>
      </c>
      <c r="I81" s="20">
        <v>250</v>
      </c>
      <c r="J81" s="21">
        <f t="shared" si="8"/>
        <v>-5000</v>
      </c>
      <c r="K81" s="7"/>
      <c r="V81" s="5">
        <f t="shared" si="5"/>
        <v>0</v>
      </c>
      <c r="W81" s="5">
        <f t="shared" si="6"/>
        <v>1</v>
      </c>
    </row>
    <row r="82" spans="1:23" s="36" customFormat="1" x14ac:dyDescent="0.3">
      <c r="A82" s="6"/>
      <c r="B82" s="17">
        <f t="shared" si="7"/>
        <v>16</v>
      </c>
      <c r="C82" s="18">
        <v>44631</v>
      </c>
      <c r="D82" s="19" t="s">
        <v>18</v>
      </c>
      <c r="E82" s="19" t="s">
        <v>71</v>
      </c>
      <c r="F82" s="35">
        <v>2410</v>
      </c>
      <c r="G82" s="97">
        <v>2390</v>
      </c>
      <c r="H82" s="78">
        <v>-20</v>
      </c>
      <c r="I82" s="20">
        <v>250</v>
      </c>
      <c r="J82" s="21">
        <f t="shared" si="8"/>
        <v>-5000</v>
      </c>
      <c r="K82" s="7"/>
      <c r="V82" s="5">
        <f t="shared" si="5"/>
        <v>0</v>
      </c>
      <c r="W82" s="5">
        <f t="shared" si="6"/>
        <v>1</v>
      </c>
    </row>
    <row r="83" spans="1:23" s="36" customFormat="1" x14ac:dyDescent="0.3">
      <c r="A83" s="6"/>
      <c r="B83" s="17">
        <f t="shared" si="7"/>
        <v>17</v>
      </c>
      <c r="C83" s="18">
        <v>44634</v>
      </c>
      <c r="D83" s="19" t="s">
        <v>18</v>
      </c>
      <c r="E83" s="19" t="s">
        <v>612</v>
      </c>
      <c r="F83" s="35">
        <v>600</v>
      </c>
      <c r="G83" s="97">
        <v>606</v>
      </c>
      <c r="H83" s="35">
        <v>6</v>
      </c>
      <c r="I83" s="20">
        <v>800</v>
      </c>
      <c r="J83" s="21">
        <f t="shared" si="8"/>
        <v>4800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>
        <v>44634</v>
      </c>
      <c r="D84" s="19" t="s">
        <v>18</v>
      </c>
      <c r="E84" s="19" t="s">
        <v>658</v>
      </c>
      <c r="F84" s="35">
        <v>4370</v>
      </c>
      <c r="G84" s="97">
        <v>4400</v>
      </c>
      <c r="H84" s="35">
        <f>4400-4370</f>
        <v>30</v>
      </c>
      <c r="I84" s="20">
        <v>100</v>
      </c>
      <c r="J84" s="21">
        <f t="shared" si="8"/>
        <v>3000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>
        <v>44635</v>
      </c>
      <c r="D85" s="19" t="s">
        <v>69</v>
      </c>
      <c r="E85" s="19" t="s">
        <v>140</v>
      </c>
      <c r="F85" s="35">
        <v>4070</v>
      </c>
      <c r="G85" s="97">
        <v>3990</v>
      </c>
      <c r="H85" s="35">
        <f>4070-3990</f>
        <v>80</v>
      </c>
      <c r="I85" s="20">
        <v>200</v>
      </c>
      <c r="J85" s="21">
        <f t="shared" si="8"/>
        <v>16000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>
        <v>44635</v>
      </c>
      <c r="D86" s="19" t="s">
        <v>18</v>
      </c>
      <c r="E86" s="19" t="s">
        <v>659</v>
      </c>
      <c r="F86" s="35">
        <v>420</v>
      </c>
      <c r="G86" s="97">
        <v>424</v>
      </c>
      <c r="H86" s="35">
        <v>4</v>
      </c>
      <c r="I86" s="20">
        <v>2850</v>
      </c>
      <c r="J86" s="21">
        <f t="shared" si="8"/>
        <v>11400</v>
      </c>
      <c r="K86" s="7"/>
      <c r="V86" s="5">
        <f t="shared" si="5"/>
        <v>1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>
        <v>44636</v>
      </c>
      <c r="D87" s="19" t="s">
        <v>18</v>
      </c>
      <c r="E87" s="19" t="s">
        <v>631</v>
      </c>
      <c r="F87" s="35">
        <v>790</v>
      </c>
      <c r="G87" s="97">
        <v>800</v>
      </c>
      <c r="H87" s="35">
        <v>10</v>
      </c>
      <c r="I87" s="20">
        <v>625</v>
      </c>
      <c r="J87" s="21">
        <f t="shared" si="8"/>
        <v>6250</v>
      </c>
      <c r="K87" s="7"/>
      <c r="V87" s="5">
        <f t="shared" si="5"/>
        <v>1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>
        <v>44636</v>
      </c>
      <c r="D88" s="19" t="s">
        <v>18</v>
      </c>
      <c r="E88" s="19" t="s">
        <v>294</v>
      </c>
      <c r="F88" s="35">
        <v>1890</v>
      </c>
      <c r="G88" s="97">
        <v>1916</v>
      </c>
      <c r="H88" s="35">
        <f>1916-1890</f>
        <v>26</v>
      </c>
      <c r="I88" s="20">
        <v>550</v>
      </c>
      <c r="J88" s="21">
        <f t="shared" si="8"/>
        <v>14300</v>
      </c>
      <c r="K88" s="7"/>
      <c r="V88" s="5">
        <f t="shared" si="5"/>
        <v>1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>
        <v>44637</v>
      </c>
      <c r="D89" s="19" t="s">
        <v>69</v>
      </c>
      <c r="E89" s="19" t="s">
        <v>124</v>
      </c>
      <c r="F89" s="35">
        <v>564</v>
      </c>
      <c r="G89" s="97">
        <v>559.25</v>
      </c>
      <c r="H89" s="35">
        <f>564-559.25</f>
        <v>4.75</v>
      </c>
      <c r="I89" s="20">
        <v>1250</v>
      </c>
      <c r="J89" s="21">
        <f t="shared" si="8"/>
        <v>5937.5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>
        <v>44637</v>
      </c>
      <c r="D90" s="19" t="s">
        <v>18</v>
      </c>
      <c r="E90" s="19" t="s">
        <v>373</v>
      </c>
      <c r="F90" s="35">
        <v>2680</v>
      </c>
      <c r="G90" s="97">
        <v>2720</v>
      </c>
      <c r="H90" s="35">
        <v>40</v>
      </c>
      <c r="I90" s="20">
        <v>375</v>
      </c>
      <c r="J90" s="21">
        <f t="shared" si="8"/>
        <v>15000</v>
      </c>
      <c r="K90" s="7"/>
      <c r="V90" s="5">
        <f t="shared" si="5"/>
        <v>1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>
        <v>44641</v>
      </c>
      <c r="D91" s="19" t="s">
        <v>69</v>
      </c>
      <c r="E91" s="19" t="s">
        <v>70</v>
      </c>
      <c r="F91" s="35">
        <v>736</v>
      </c>
      <c r="G91" s="97">
        <v>728</v>
      </c>
      <c r="H91" s="35">
        <f>736-728</f>
        <v>8</v>
      </c>
      <c r="I91" s="20">
        <v>1200</v>
      </c>
      <c r="J91" s="21">
        <f t="shared" si="8"/>
        <v>9600</v>
      </c>
      <c r="K91" s="7"/>
      <c r="V91" s="5">
        <f t="shared" si="5"/>
        <v>1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>
        <v>44641</v>
      </c>
      <c r="D92" s="19" t="s">
        <v>18</v>
      </c>
      <c r="E92" s="19" t="s">
        <v>655</v>
      </c>
      <c r="F92" s="35">
        <v>776</v>
      </c>
      <c r="G92" s="97">
        <v>784.4</v>
      </c>
      <c r="H92" s="35">
        <f>784.4-776</f>
        <v>8.3999999999999773</v>
      </c>
      <c r="I92" s="20">
        <v>1300</v>
      </c>
      <c r="J92" s="21">
        <f t="shared" si="8"/>
        <v>10919.999999999971</v>
      </c>
      <c r="K92" s="7"/>
      <c r="V92" s="5">
        <f t="shared" si="5"/>
        <v>1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>
        <v>44642</v>
      </c>
      <c r="D93" s="19" t="s">
        <v>18</v>
      </c>
      <c r="E93" s="19" t="s">
        <v>71</v>
      </c>
      <c r="F93" s="35">
        <v>2507</v>
      </c>
      <c r="G93" s="97">
        <v>2538</v>
      </c>
      <c r="H93" s="35">
        <f>2538-2507</f>
        <v>31</v>
      </c>
      <c r="I93" s="20">
        <v>250</v>
      </c>
      <c r="J93" s="21">
        <f t="shared" si="8"/>
        <v>7750</v>
      </c>
      <c r="K93" s="7"/>
      <c r="V93" s="5">
        <f t="shared" si="5"/>
        <v>1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>
        <v>44642</v>
      </c>
      <c r="D94" s="19" t="s">
        <v>69</v>
      </c>
      <c r="E94" s="19" t="s">
        <v>448</v>
      </c>
      <c r="F94" s="35">
        <v>2215</v>
      </c>
      <c r="G94" s="97">
        <v>2195</v>
      </c>
      <c r="H94" s="35">
        <f>2215-2195</f>
        <v>20</v>
      </c>
      <c r="I94" s="20">
        <v>250</v>
      </c>
      <c r="J94" s="21">
        <f t="shared" si="8"/>
        <v>5000</v>
      </c>
      <c r="K94" s="7"/>
      <c r="V94" s="5">
        <f t="shared" si="5"/>
        <v>1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>
        <v>44643</v>
      </c>
      <c r="D95" s="19" t="s">
        <v>69</v>
      </c>
      <c r="E95" s="19" t="s">
        <v>176</v>
      </c>
      <c r="F95" s="35">
        <v>2390</v>
      </c>
      <c r="G95" s="97">
        <v>2350</v>
      </c>
      <c r="H95" s="35">
        <f>2390-2350</f>
        <v>40</v>
      </c>
      <c r="I95" s="20">
        <v>300</v>
      </c>
      <c r="J95" s="21">
        <f t="shared" si="8"/>
        <v>12000</v>
      </c>
      <c r="K95" s="7"/>
      <c r="V95" s="5">
        <f t="shared" si="5"/>
        <v>1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>
        <v>44643</v>
      </c>
      <c r="D96" s="19" t="s">
        <v>18</v>
      </c>
      <c r="E96" s="19" t="s">
        <v>71</v>
      </c>
      <c r="F96" s="35">
        <v>2553</v>
      </c>
      <c r="G96" s="97">
        <v>2556</v>
      </c>
      <c r="H96" s="35">
        <v>3</v>
      </c>
      <c r="I96" s="20">
        <v>250</v>
      </c>
      <c r="J96" s="21">
        <f t="shared" si="8"/>
        <v>750</v>
      </c>
      <c r="K96" s="7"/>
      <c r="V96" s="5">
        <f t="shared" si="5"/>
        <v>1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>
        <v>44644</v>
      </c>
      <c r="D97" s="19" t="s">
        <v>18</v>
      </c>
      <c r="E97" s="19" t="s">
        <v>71</v>
      </c>
      <c r="F97" s="35">
        <v>2560</v>
      </c>
      <c r="G97" s="97">
        <v>2587</v>
      </c>
      <c r="H97" s="35">
        <f>2587-2560</f>
        <v>27</v>
      </c>
      <c r="I97" s="20">
        <v>250</v>
      </c>
      <c r="J97" s="21">
        <f t="shared" si="8"/>
        <v>6750</v>
      </c>
      <c r="K97" s="7"/>
      <c r="V97" s="5">
        <f t="shared" si="5"/>
        <v>1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>
        <v>44644</v>
      </c>
      <c r="D98" s="19" t="s">
        <v>18</v>
      </c>
      <c r="E98" s="19" t="s">
        <v>660</v>
      </c>
      <c r="F98" s="35">
        <v>4080</v>
      </c>
      <c r="G98" s="97">
        <v>4040</v>
      </c>
      <c r="H98" s="35">
        <v>-40</v>
      </c>
      <c r="I98" s="20">
        <v>225</v>
      </c>
      <c r="J98" s="21">
        <f t="shared" si="8"/>
        <v>-9000</v>
      </c>
      <c r="K98" s="7"/>
      <c r="V98" s="5">
        <f t="shared" si="5"/>
        <v>0</v>
      </c>
      <c r="W98" s="5">
        <f t="shared" si="6"/>
        <v>1</v>
      </c>
    </row>
    <row r="99" spans="1:23" s="36" customFormat="1" x14ac:dyDescent="0.3">
      <c r="A99" s="6"/>
      <c r="B99" s="17">
        <f t="shared" si="7"/>
        <v>33</v>
      </c>
      <c r="C99" s="18">
        <v>44645</v>
      </c>
      <c r="D99" s="19" t="s">
        <v>18</v>
      </c>
      <c r="E99" s="19" t="s">
        <v>71</v>
      </c>
      <c r="F99" s="35">
        <v>2590</v>
      </c>
      <c r="G99" s="97">
        <v>2610</v>
      </c>
      <c r="H99" s="35">
        <f>2610-2590</f>
        <v>20</v>
      </c>
      <c r="I99" s="20">
        <v>250</v>
      </c>
      <c r="J99" s="21">
        <f t="shared" si="8"/>
        <v>5000</v>
      </c>
      <c r="K99" s="7"/>
      <c r="V99" s="5">
        <f t="shared" si="5"/>
        <v>1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>
        <v>44645</v>
      </c>
      <c r="D100" s="19" t="s">
        <v>69</v>
      </c>
      <c r="E100" s="19" t="s">
        <v>70</v>
      </c>
      <c r="F100" s="35">
        <v>720</v>
      </c>
      <c r="G100" s="97">
        <v>717.8</v>
      </c>
      <c r="H100" s="35">
        <f>720-717.8</f>
        <v>2.2000000000000455</v>
      </c>
      <c r="I100" s="20">
        <v>1200</v>
      </c>
      <c r="J100" s="21">
        <f t="shared" si="8"/>
        <v>2640.0000000000546</v>
      </c>
      <c r="K100" s="7"/>
      <c r="V100" s="5">
        <f t="shared" si="5"/>
        <v>1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>
        <v>44648</v>
      </c>
      <c r="D101" s="19" t="s">
        <v>69</v>
      </c>
      <c r="E101" s="19" t="s">
        <v>294</v>
      </c>
      <c r="F101" s="35">
        <v>1925</v>
      </c>
      <c r="G101" s="97">
        <v>1905</v>
      </c>
      <c r="H101" s="35">
        <v>20</v>
      </c>
      <c r="I101" s="20">
        <v>550</v>
      </c>
      <c r="J101" s="21">
        <f t="shared" si="8"/>
        <v>11000</v>
      </c>
      <c r="K101" s="7"/>
      <c r="V101" s="5">
        <f t="shared" si="5"/>
        <v>1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>
        <v>44648</v>
      </c>
      <c r="D102" s="19" t="s">
        <v>18</v>
      </c>
      <c r="E102" s="19" t="s">
        <v>75</v>
      </c>
      <c r="F102" s="35">
        <v>707</v>
      </c>
      <c r="G102" s="97">
        <v>713</v>
      </c>
      <c r="H102" s="35">
        <f>713-707</f>
        <v>6</v>
      </c>
      <c r="I102" s="20">
        <v>1375</v>
      </c>
      <c r="J102" s="21">
        <f t="shared" si="8"/>
        <v>8250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>
        <v>44649</v>
      </c>
      <c r="D103" s="19" t="s">
        <v>69</v>
      </c>
      <c r="E103" s="19" t="s">
        <v>633</v>
      </c>
      <c r="F103" s="35">
        <v>408</v>
      </c>
      <c r="G103" s="97">
        <v>413</v>
      </c>
      <c r="H103" s="35">
        <f>413-408</f>
        <v>5</v>
      </c>
      <c r="I103" s="20">
        <v>3100</v>
      </c>
      <c r="J103" s="21">
        <f t="shared" si="8"/>
        <v>15500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>
        <v>44649</v>
      </c>
      <c r="D104" s="19" t="s">
        <v>18</v>
      </c>
      <c r="E104" s="19" t="s">
        <v>279</v>
      </c>
      <c r="F104" s="35">
        <v>982</v>
      </c>
      <c r="G104" s="97">
        <v>991.4</v>
      </c>
      <c r="H104" s="35">
        <f>991.4-982</f>
        <v>9.3999999999999773</v>
      </c>
      <c r="I104" s="20">
        <v>1000</v>
      </c>
      <c r="J104" s="21">
        <f t="shared" si="8"/>
        <v>9399.9999999999782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>
        <v>44650</v>
      </c>
      <c r="D105" s="19" t="s">
        <v>18</v>
      </c>
      <c r="E105" s="19" t="s">
        <v>86</v>
      </c>
      <c r="F105" s="35">
        <v>7250</v>
      </c>
      <c r="G105" s="97">
        <v>7291</v>
      </c>
      <c r="H105" s="35">
        <f>7291-7250</f>
        <v>41</v>
      </c>
      <c r="I105" s="20">
        <v>125</v>
      </c>
      <c r="J105" s="21">
        <f t="shared" si="8"/>
        <v>5125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>
        <v>44650</v>
      </c>
      <c r="D106" s="19" t="s">
        <v>18</v>
      </c>
      <c r="E106" s="19" t="s">
        <v>75</v>
      </c>
      <c r="F106" s="35">
        <v>724</v>
      </c>
      <c r="G106" s="97">
        <v>730</v>
      </c>
      <c r="H106" s="35">
        <f>730-724</f>
        <v>6</v>
      </c>
      <c r="I106" s="20">
        <v>1375</v>
      </c>
      <c r="J106" s="21">
        <f t="shared" si="8"/>
        <v>8250</v>
      </c>
      <c r="K106" s="7"/>
      <c r="V106" s="5"/>
      <c r="W106" s="5"/>
    </row>
    <row r="107" spans="1:23" s="36" customFormat="1" x14ac:dyDescent="0.3">
      <c r="A107" s="6"/>
      <c r="B107" s="17">
        <v>41</v>
      </c>
      <c r="C107" s="18">
        <v>44651</v>
      </c>
      <c r="D107" s="19" t="s">
        <v>69</v>
      </c>
      <c r="E107" s="19" t="s">
        <v>111</v>
      </c>
      <c r="F107" s="35">
        <v>493</v>
      </c>
      <c r="G107" s="97">
        <v>492.5</v>
      </c>
      <c r="H107" s="35">
        <v>0.5</v>
      </c>
      <c r="I107" s="20">
        <v>1500</v>
      </c>
      <c r="J107" s="21">
        <f t="shared" si="8"/>
        <v>750</v>
      </c>
      <c r="K107" s="7"/>
      <c r="V107" s="5"/>
      <c r="W107" s="5"/>
    </row>
    <row r="108" spans="1:23" s="36" customFormat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ht="15" thickBot="1" x14ac:dyDescent="0.35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ht="15" hidden="1" thickBot="1" x14ac:dyDescent="0.35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t="15" hidden="1" thickBot="1" x14ac:dyDescent="0.35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t="15" hidden="1" thickBot="1" x14ac:dyDescent="0.35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t="15" hidden="1" thickBot="1" x14ac:dyDescent="0.35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t="15" hidden="1" thickBot="1" x14ac:dyDescent="0.35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t="15" hidden="1" thickBot="1" x14ac:dyDescent="0.35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t="15" hidden="1" thickBot="1" x14ac:dyDescent="0.35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t="15" hidden="1" thickBot="1" x14ac:dyDescent="0.35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t="15" hidden="1" thickBot="1" x14ac:dyDescent="0.35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t="15" hidden="1" thickBot="1" x14ac:dyDescent="0.35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hidden="1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15" hidden="1" thickBot="1" x14ac:dyDescent="0.35">
      <c r="A121" s="6"/>
      <c r="B121" s="17">
        <f t="shared" si="7"/>
        <v>51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52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15" hidden="1" thickBot="1" x14ac:dyDescent="0.35">
      <c r="A123" s="6"/>
      <c r="B123" s="17">
        <f t="shared" si="7"/>
        <v>53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hidden="1" thickBot="1" x14ac:dyDescent="0.35">
      <c r="A124" s="6"/>
      <c r="B124" s="17">
        <f t="shared" si="7"/>
        <v>54</v>
      </c>
      <c r="C124" s="18"/>
      <c r="D124" s="19"/>
      <c r="E124" s="19"/>
      <c r="F124" s="35"/>
      <c r="G124" s="35"/>
      <c r="H124" s="35"/>
      <c r="I124" s="20"/>
      <c r="J124" s="21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15" hidden="1" thickBot="1" x14ac:dyDescent="0.35">
      <c r="A125" s="6"/>
      <c r="B125" s="17">
        <f t="shared" si="7"/>
        <v>55</v>
      </c>
      <c r="C125" s="18"/>
      <c r="D125" s="19"/>
      <c r="E125" s="19"/>
      <c r="F125" s="35"/>
      <c r="G125" s="35"/>
      <c r="H125" s="35"/>
      <c r="I125" s="20"/>
      <c r="J125" s="21">
        <f t="shared" si="8"/>
        <v>0</v>
      </c>
      <c r="K125" s="7"/>
      <c r="V125" s="5">
        <f t="shared" si="5"/>
        <v>0</v>
      </c>
      <c r="W125" s="5">
        <f t="shared" si="6"/>
        <v>0</v>
      </c>
    </row>
    <row r="126" spans="1:23" s="36" customFormat="1" ht="15" hidden="1" thickBot="1" x14ac:dyDescent="0.35">
      <c r="A126" s="6"/>
      <c r="B126" s="17">
        <f t="shared" si="7"/>
        <v>56</v>
      </c>
      <c r="C126" s="18"/>
      <c r="D126" s="19"/>
      <c r="E126" s="19"/>
      <c r="F126" s="35"/>
      <c r="G126" s="35"/>
      <c r="H126" s="35"/>
      <c r="I126" s="20"/>
      <c r="J126" s="21">
        <f t="shared" si="8"/>
        <v>0</v>
      </c>
      <c r="K126" s="7"/>
      <c r="V126" s="5">
        <f t="shared" si="5"/>
        <v>0</v>
      </c>
      <c r="W126" s="5">
        <f t="shared" si="6"/>
        <v>0</v>
      </c>
    </row>
    <row r="127" spans="1:23" s="36" customFormat="1" ht="15" hidden="1" thickBot="1" x14ac:dyDescent="0.35">
      <c r="A127" s="6"/>
      <c r="B127" s="17">
        <f t="shared" si="7"/>
        <v>57</v>
      </c>
      <c r="C127" s="18"/>
      <c r="D127" s="19"/>
      <c r="E127" s="19"/>
      <c r="F127" s="35"/>
      <c r="G127" s="35"/>
      <c r="H127" s="35"/>
      <c r="I127" s="20"/>
      <c r="J127" s="21">
        <f t="shared" si="8"/>
        <v>0</v>
      </c>
      <c r="K127" s="7"/>
      <c r="V127" s="5">
        <f t="shared" si="5"/>
        <v>0</v>
      </c>
      <c r="W127" s="5">
        <f t="shared" si="6"/>
        <v>0</v>
      </c>
    </row>
    <row r="128" spans="1:23" s="36" customFormat="1" ht="15" hidden="1" thickBot="1" x14ac:dyDescent="0.35">
      <c r="A128" s="6"/>
      <c r="B128" s="17">
        <f t="shared" si="7"/>
        <v>58</v>
      </c>
      <c r="C128" s="79"/>
      <c r="D128" s="80"/>
      <c r="E128" s="80"/>
      <c r="F128" s="81"/>
      <c r="G128" s="81"/>
      <c r="H128" s="80"/>
      <c r="I128" s="81"/>
      <c r="J128" s="82">
        <f t="shared" si="8"/>
        <v>0</v>
      </c>
      <c r="K128" s="7"/>
      <c r="V128" s="5">
        <f t="shared" si="5"/>
        <v>0</v>
      </c>
      <c r="W128" s="5">
        <f t="shared" si="6"/>
        <v>0</v>
      </c>
    </row>
    <row r="129" spans="1:23" s="36" customFormat="1" ht="24" thickBot="1" x14ac:dyDescent="0.5">
      <c r="A129" s="6"/>
      <c r="B129" s="144" t="s">
        <v>22</v>
      </c>
      <c r="C129" s="145"/>
      <c r="D129" s="145"/>
      <c r="E129" s="145"/>
      <c r="F129" s="145"/>
      <c r="G129" s="145"/>
      <c r="H129" s="146"/>
      <c r="I129" s="83" t="s">
        <v>23</v>
      </c>
      <c r="J129" s="84">
        <f>SUM(J67:J128)</f>
        <v>190294.99999999997</v>
      </c>
      <c r="K129" s="7"/>
      <c r="L129" s="5"/>
      <c r="M129" s="5"/>
      <c r="N129" s="5"/>
      <c r="O129" s="5"/>
      <c r="P129" s="5"/>
      <c r="Q129" s="5"/>
      <c r="R129" s="5"/>
      <c r="V129" s="36">
        <f>SUM(V67:V128)</f>
        <v>27</v>
      </c>
      <c r="W129" s="36">
        <f>SUM(W67:W128)</f>
        <v>8</v>
      </c>
    </row>
    <row r="130" spans="1:23" s="36" customFormat="1" ht="30" customHeight="1" thickBot="1" x14ac:dyDescent="0.35">
      <c r="A130" s="30"/>
      <c r="B130" s="31"/>
      <c r="C130" s="31"/>
      <c r="D130" s="31"/>
      <c r="E130" s="31"/>
      <c r="F130" s="31"/>
      <c r="G130" s="31"/>
      <c r="H130" s="32"/>
      <c r="I130" s="31"/>
      <c r="J130" s="32"/>
      <c r="K130" s="33"/>
      <c r="L130" s="5"/>
      <c r="M130" s="5"/>
      <c r="N130" s="5"/>
      <c r="O130" s="5"/>
      <c r="P130" s="5"/>
      <c r="Q130" s="5"/>
      <c r="R130" s="5"/>
    </row>
    <row r="131" spans="1:23" ht="15" thickBot="1" x14ac:dyDescent="0.35"/>
    <row r="132" spans="1:23" s="36" customFormat="1" ht="30" customHeight="1" thickBot="1" x14ac:dyDescent="0.35">
      <c r="A132" s="1"/>
      <c r="B132" s="2"/>
      <c r="C132" s="2"/>
      <c r="D132" s="2"/>
      <c r="E132" s="2"/>
      <c r="F132" s="2"/>
      <c r="G132" s="2"/>
      <c r="H132" s="3"/>
      <c r="I132" s="2"/>
      <c r="J132" s="3"/>
      <c r="K132" s="4"/>
    </row>
    <row r="133" spans="1:23" s="36" customFormat="1" ht="25.2" thickBot="1" x14ac:dyDescent="0.35">
      <c r="A133" s="6" t="s">
        <v>1</v>
      </c>
      <c r="B133" s="119" t="s">
        <v>2</v>
      </c>
      <c r="C133" s="120"/>
      <c r="D133" s="120"/>
      <c r="E133" s="120"/>
      <c r="F133" s="120"/>
      <c r="G133" s="120"/>
      <c r="H133" s="120"/>
      <c r="I133" s="120"/>
      <c r="J133" s="121"/>
      <c r="K133" s="7"/>
    </row>
    <row r="134" spans="1:23" s="36" customFormat="1" ht="16.2" thickBot="1" x14ac:dyDescent="0.35">
      <c r="A134" s="6"/>
      <c r="B134" s="168" t="s">
        <v>647</v>
      </c>
      <c r="C134" s="169"/>
      <c r="D134" s="169"/>
      <c r="E134" s="169"/>
      <c r="F134" s="169"/>
      <c r="G134" s="169"/>
      <c r="H134" s="169"/>
      <c r="I134" s="169"/>
      <c r="J134" s="170"/>
      <c r="K134" s="7"/>
      <c r="L134" s="22"/>
    </row>
    <row r="135" spans="1:23" s="36" customFormat="1" ht="16.2" thickBot="1" x14ac:dyDescent="0.35">
      <c r="A135" s="6"/>
      <c r="B135" s="106" t="s">
        <v>215</v>
      </c>
      <c r="C135" s="107"/>
      <c r="D135" s="107"/>
      <c r="E135" s="107"/>
      <c r="F135" s="107"/>
      <c r="G135" s="107"/>
      <c r="H135" s="107"/>
      <c r="I135" s="107"/>
      <c r="J135" s="108"/>
      <c r="K135" s="7"/>
    </row>
    <row r="136" spans="1:23" s="22" customFormat="1" ht="15" thickBot="1" x14ac:dyDescent="0.35">
      <c r="A136" s="69"/>
      <c r="B136" s="70" t="s">
        <v>9</v>
      </c>
      <c r="C136" s="71" t="s">
        <v>10</v>
      </c>
      <c r="D136" s="72" t="s">
        <v>11</v>
      </c>
      <c r="E136" s="72" t="s">
        <v>12</v>
      </c>
      <c r="F136" s="73" t="s">
        <v>65</v>
      </c>
      <c r="G136" s="73" t="s">
        <v>66</v>
      </c>
      <c r="H136" s="74" t="s">
        <v>67</v>
      </c>
      <c r="I136" s="73" t="s">
        <v>68</v>
      </c>
      <c r="J136" s="75" t="s">
        <v>17</v>
      </c>
      <c r="K136" s="76"/>
      <c r="L136" s="36"/>
      <c r="M136" s="36"/>
      <c r="N136" s="36"/>
      <c r="O136" s="36" t="s">
        <v>21</v>
      </c>
      <c r="P136" s="36"/>
      <c r="Q136" s="36"/>
      <c r="R136" s="36"/>
      <c r="V136" s="5" t="s">
        <v>5</v>
      </c>
      <c r="W136" s="5" t="s">
        <v>6</v>
      </c>
    </row>
    <row r="137" spans="1:23" s="36" customFormat="1" x14ac:dyDescent="0.3">
      <c r="A137" s="6"/>
      <c r="B137" s="14">
        <v>1</v>
      </c>
      <c r="C137" s="93">
        <v>44622</v>
      </c>
      <c r="D137" s="94" t="s">
        <v>18</v>
      </c>
      <c r="E137" s="94" t="s">
        <v>435</v>
      </c>
      <c r="F137" s="60">
        <v>120</v>
      </c>
      <c r="G137" s="60">
        <v>127</v>
      </c>
      <c r="H137" s="60">
        <v>7</v>
      </c>
      <c r="I137" s="15">
        <v>300</v>
      </c>
      <c r="J137" s="16">
        <f t="shared" ref="J137:J182" si="9">I137*H137</f>
        <v>2100</v>
      </c>
      <c r="K137" s="7"/>
      <c r="V137" s="5">
        <f t="shared" ref="V137:V182" si="10">IF($J137&gt;0,1,0)</f>
        <v>1</v>
      </c>
      <c r="W137" s="5">
        <f t="shared" ref="W137:W182" si="11">IF($J137&lt;0,1,0)</f>
        <v>0</v>
      </c>
    </row>
    <row r="138" spans="1:23" s="36" customFormat="1" x14ac:dyDescent="0.3">
      <c r="A138" s="6"/>
      <c r="B138" s="17">
        <f>B137+1</f>
        <v>2</v>
      </c>
      <c r="C138" s="18">
        <v>44622</v>
      </c>
      <c r="D138" s="19" t="s">
        <v>18</v>
      </c>
      <c r="E138" s="19" t="s">
        <v>435</v>
      </c>
      <c r="F138" s="35">
        <v>130</v>
      </c>
      <c r="G138" s="35">
        <v>141</v>
      </c>
      <c r="H138" s="35">
        <v>11</v>
      </c>
      <c r="I138" s="20">
        <v>300</v>
      </c>
      <c r="J138" s="21">
        <f t="shared" si="9"/>
        <v>3300</v>
      </c>
      <c r="K138" s="7"/>
      <c r="L138" s="36" t="s">
        <v>21</v>
      </c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ref="B139:B159" si="12">B138+1</f>
        <v>3</v>
      </c>
      <c r="C139" s="18">
        <v>44623</v>
      </c>
      <c r="D139" s="19" t="s">
        <v>18</v>
      </c>
      <c r="E139" s="19" t="s">
        <v>661</v>
      </c>
      <c r="F139" s="35">
        <v>75</v>
      </c>
      <c r="G139" s="35">
        <v>105</v>
      </c>
      <c r="H139" s="35">
        <f>105-75</f>
        <v>30</v>
      </c>
      <c r="I139" s="20">
        <v>300</v>
      </c>
      <c r="J139" s="21">
        <f t="shared" si="9"/>
        <v>9000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4</v>
      </c>
      <c r="C140" s="18">
        <v>44623</v>
      </c>
      <c r="D140" s="19" t="s">
        <v>18</v>
      </c>
      <c r="E140" s="19" t="s">
        <v>662</v>
      </c>
      <c r="F140" s="35">
        <v>60</v>
      </c>
      <c r="G140" s="35">
        <v>71</v>
      </c>
      <c r="H140" s="35">
        <v>11</v>
      </c>
      <c r="I140" s="20">
        <v>300</v>
      </c>
      <c r="J140" s="21">
        <f t="shared" si="9"/>
        <v>3300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5</v>
      </c>
      <c r="C141" s="18">
        <v>44624</v>
      </c>
      <c r="D141" s="19" t="s">
        <v>18</v>
      </c>
      <c r="E141" s="19" t="s">
        <v>663</v>
      </c>
      <c r="F141" s="35">
        <v>160</v>
      </c>
      <c r="G141" s="35">
        <v>200</v>
      </c>
      <c r="H141" s="35">
        <v>40</v>
      </c>
      <c r="I141" s="20">
        <v>300</v>
      </c>
      <c r="J141" s="21">
        <f t="shared" si="9"/>
        <v>12000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6</v>
      </c>
      <c r="C142" s="18">
        <v>44624</v>
      </c>
      <c r="D142" s="19" t="s">
        <v>18</v>
      </c>
      <c r="E142" s="19" t="s">
        <v>415</v>
      </c>
      <c r="F142" s="20">
        <v>150</v>
      </c>
      <c r="G142" s="35">
        <v>167</v>
      </c>
      <c r="H142" s="35">
        <v>17</v>
      </c>
      <c r="I142" s="20">
        <v>300</v>
      </c>
      <c r="J142" s="21">
        <f t="shared" si="9"/>
        <v>5100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7</v>
      </c>
      <c r="C143" s="18">
        <v>44627</v>
      </c>
      <c r="D143" s="19" t="s">
        <v>18</v>
      </c>
      <c r="E143" s="19" t="s">
        <v>418</v>
      </c>
      <c r="F143" s="35">
        <v>150</v>
      </c>
      <c r="G143" s="35">
        <v>165</v>
      </c>
      <c r="H143" s="35">
        <v>15</v>
      </c>
      <c r="I143" s="20">
        <v>300</v>
      </c>
      <c r="J143" s="21">
        <f t="shared" si="9"/>
        <v>4500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8</v>
      </c>
      <c r="C144" s="18">
        <v>44627</v>
      </c>
      <c r="D144" s="19" t="s">
        <v>18</v>
      </c>
      <c r="E144" s="19" t="s">
        <v>418</v>
      </c>
      <c r="F144" s="35">
        <v>125</v>
      </c>
      <c r="G144" s="35">
        <v>165</v>
      </c>
      <c r="H144" s="35">
        <v>40</v>
      </c>
      <c r="I144" s="20">
        <v>300</v>
      </c>
      <c r="J144" s="21">
        <f t="shared" si="9"/>
        <v>12000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9</v>
      </c>
      <c r="C145" s="18">
        <v>44628</v>
      </c>
      <c r="D145" s="19" t="s">
        <v>18</v>
      </c>
      <c r="E145" s="19" t="s">
        <v>664</v>
      </c>
      <c r="F145" s="35">
        <v>150</v>
      </c>
      <c r="G145" s="35">
        <v>167</v>
      </c>
      <c r="H145" s="35">
        <v>17</v>
      </c>
      <c r="I145" s="20">
        <v>300</v>
      </c>
      <c r="J145" s="21">
        <f t="shared" si="9"/>
        <v>5100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10</v>
      </c>
      <c r="C146" s="18">
        <v>44628</v>
      </c>
      <c r="D146" s="19" t="s">
        <v>18</v>
      </c>
      <c r="E146" s="19" t="s">
        <v>416</v>
      </c>
      <c r="F146" s="35">
        <v>135</v>
      </c>
      <c r="G146" s="35">
        <v>165</v>
      </c>
      <c r="H146" s="35">
        <v>40</v>
      </c>
      <c r="I146" s="20">
        <v>300</v>
      </c>
      <c r="J146" s="21">
        <f t="shared" si="9"/>
        <v>12000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11</v>
      </c>
      <c r="C147" s="18">
        <v>44629</v>
      </c>
      <c r="D147" s="19" t="s">
        <v>18</v>
      </c>
      <c r="E147" s="19" t="s">
        <v>665</v>
      </c>
      <c r="F147" s="19">
        <v>100</v>
      </c>
      <c r="G147" s="35">
        <v>107</v>
      </c>
      <c r="H147" s="35">
        <v>7</v>
      </c>
      <c r="I147" s="20">
        <v>300</v>
      </c>
      <c r="J147" s="21">
        <f t="shared" si="9"/>
        <v>2100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12</v>
      </c>
      <c r="C148" s="18">
        <v>44629</v>
      </c>
      <c r="D148" s="19" t="s">
        <v>18</v>
      </c>
      <c r="E148" s="19" t="s">
        <v>431</v>
      </c>
      <c r="F148" s="35">
        <v>90</v>
      </c>
      <c r="G148" s="35">
        <v>120</v>
      </c>
      <c r="H148" s="35">
        <v>40</v>
      </c>
      <c r="I148" s="20">
        <v>300</v>
      </c>
      <c r="J148" s="21">
        <f t="shared" si="9"/>
        <v>12000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13</v>
      </c>
      <c r="C149" s="18">
        <v>44630</v>
      </c>
      <c r="D149" s="19" t="s">
        <v>18</v>
      </c>
      <c r="E149" s="19" t="s">
        <v>441</v>
      </c>
      <c r="F149" s="35">
        <v>75</v>
      </c>
      <c r="G149" s="35">
        <v>84.5</v>
      </c>
      <c r="H149" s="35">
        <f>84.5-75</f>
        <v>9.5</v>
      </c>
      <c r="I149" s="20">
        <v>300</v>
      </c>
      <c r="J149" s="21">
        <f t="shared" si="9"/>
        <v>2850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14</v>
      </c>
      <c r="C150" s="18">
        <v>44631</v>
      </c>
      <c r="D150" s="19" t="s">
        <v>18</v>
      </c>
      <c r="E150" s="19" t="s">
        <v>645</v>
      </c>
      <c r="F150" s="77">
        <v>155</v>
      </c>
      <c r="G150" s="35">
        <v>175</v>
      </c>
      <c r="H150" s="78">
        <v>20</v>
      </c>
      <c r="I150" s="20">
        <v>300</v>
      </c>
      <c r="J150" s="21">
        <f t="shared" si="9"/>
        <v>6000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15</v>
      </c>
      <c r="C151" s="18">
        <v>44631</v>
      </c>
      <c r="D151" s="19" t="s">
        <v>18</v>
      </c>
      <c r="E151" s="19" t="s">
        <v>435</v>
      </c>
      <c r="F151" s="35">
        <v>170</v>
      </c>
      <c r="G151" s="35">
        <v>150</v>
      </c>
      <c r="H151" s="78">
        <v>-20</v>
      </c>
      <c r="I151" s="20">
        <v>300</v>
      </c>
      <c r="J151" s="21">
        <f t="shared" si="9"/>
        <v>-6000</v>
      </c>
      <c r="K151" s="7"/>
      <c r="V151" s="5">
        <f t="shared" si="10"/>
        <v>0</v>
      </c>
      <c r="W151" s="5">
        <f t="shared" si="11"/>
        <v>1</v>
      </c>
    </row>
    <row r="152" spans="1:23" s="36" customFormat="1" x14ac:dyDescent="0.3">
      <c r="A152" s="6"/>
      <c r="B152" s="17">
        <f t="shared" si="12"/>
        <v>16</v>
      </c>
      <c r="C152" s="18">
        <v>44634</v>
      </c>
      <c r="D152" s="19" t="s">
        <v>18</v>
      </c>
      <c r="E152" s="19" t="s">
        <v>442</v>
      </c>
      <c r="F152" s="35">
        <v>150</v>
      </c>
      <c r="G152" s="35">
        <v>190</v>
      </c>
      <c r="H152" s="78">
        <v>40</v>
      </c>
      <c r="I152" s="20">
        <v>300</v>
      </c>
      <c r="J152" s="21">
        <f t="shared" si="9"/>
        <v>12000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17</v>
      </c>
      <c r="C153" s="18">
        <v>44634</v>
      </c>
      <c r="D153" s="19" t="s">
        <v>18</v>
      </c>
      <c r="E153" s="19" t="s">
        <v>645</v>
      </c>
      <c r="F153" s="35">
        <v>145</v>
      </c>
      <c r="G153" s="35">
        <v>185</v>
      </c>
      <c r="H153" s="78">
        <v>40</v>
      </c>
      <c r="I153" s="20">
        <v>300</v>
      </c>
      <c r="J153" s="21">
        <f t="shared" si="9"/>
        <v>12000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2"/>
        <v>18</v>
      </c>
      <c r="C154" s="18">
        <v>44635</v>
      </c>
      <c r="D154" s="19" t="s">
        <v>18</v>
      </c>
      <c r="E154" s="19" t="s">
        <v>595</v>
      </c>
      <c r="F154" s="35">
        <v>135</v>
      </c>
      <c r="G154" s="35">
        <v>115</v>
      </c>
      <c r="H154" s="78">
        <v>-20</v>
      </c>
      <c r="I154" s="20">
        <v>300</v>
      </c>
      <c r="J154" s="21">
        <f t="shared" si="9"/>
        <v>-6000</v>
      </c>
      <c r="K154" s="7"/>
      <c r="V154" s="5">
        <f t="shared" si="10"/>
        <v>0</v>
      </c>
      <c r="W154" s="5">
        <f t="shared" si="11"/>
        <v>1</v>
      </c>
    </row>
    <row r="155" spans="1:23" s="36" customFormat="1" x14ac:dyDescent="0.3">
      <c r="A155" s="6"/>
      <c r="B155" s="17">
        <f t="shared" si="12"/>
        <v>19</v>
      </c>
      <c r="C155" s="18">
        <v>44636</v>
      </c>
      <c r="D155" s="19" t="s">
        <v>18</v>
      </c>
      <c r="E155" s="19" t="s">
        <v>594</v>
      </c>
      <c r="F155" s="35">
        <v>95</v>
      </c>
      <c r="G155" s="35">
        <v>110</v>
      </c>
      <c r="H155" s="78">
        <v>15</v>
      </c>
      <c r="I155" s="20">
        <v>300</v>
      </c>
      <c r="J155" s="21">
        <f t="shared" si="9"/>
        <v>4500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2"/>
        <v>20</v>
      </c>
      <c r="C156" s="18">
        <v>44636</v>
      </c>
      <c r="D156" s="19" t="s">
        <v>18</v>
      </c>
      <c r="E156" s="19" t="s">
        <v>666</v>
      </c>
      <c r="F156" s="35">
        <v>110</v>
      </c>
      <c r="G156" s="35">
        <v>130</v>
      </c>
      <c r="H156" s="35">
        <v>20</v>
      </c>
      <c r="I156" s="20">
        <v>300</v>
      </c>
      <c r="J156" s="21">
        <f t="shared" si="9"/>
        <v>6000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2"/>
        <v>21</v>
      </c>
      <c r="C157" s="18">
        <v>44637</v>
      </c>
      <c r="D157" s="19" t="s">
        <v>18</v>
      </c>
      <c r="E157" s="19" t="s">
        <v>586</v>
      </c>
      <c r="F157" s="35">
        <v>80</v>
      </c>
      <c r="G157" s="35">
        <v>110</v>
      </c>
      <c r="H157" s="35">
        <v>20</v>
      </c>
      <c r="I157" s="20">
        <v>300</v>
      </c>
      <c r="J157" s="21">
        <f t="shared" si="9"/>
        <v>6000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2"/>
        <v>22</v>
      </c>
      <c r="C158" s="18">
        <v>44637</v>
      </c>
      <c r="D158" s="19" t="s">
        <v>18</v>
      </c>
      <c r="E158" s="19" t="s">
        <v>578</v>
      </c>
      <c r="F158" s="35">
        <v>45</v>
      </c>
      <c r="G158" s="35">
        <v>60</v>
      </c>
      <c r="H158" s="35">
        <v>15</v>
      </c>
      <c r="I158" s="20">
        <v>300</v>
      </c>
      <c r="J158" s="21">
        <f t="shared" si="9"/>
        <v>4500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2"/>
        <v>23</v>
      </c>
      <c r="C159" s="18">
        <v>44641</v>
      </c>
      <c r="D159" s="19" t="s">
        <v>18</v>
      </c>
      <c r="E159" s="19" t="s">
        <v>589</v>
      </c>
      <c r="F159" s="35">
        <v>145</v>
      </c>
      <c r="G159" s="35">
        <v>177</v>
      </c>
      <c r="H159" s="35">
        <f>177-145</f>
        <v>32</v>
      </c>
      <c r="I159" s="20">
        <v>300</v>
      </c>
      <c r="J159" s="21">
        <f t="shared" si="9"/>
        <v>9600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>B159+1</f>
        <v>24</v>
      </c>
      <c r="C160" s="18">
        <v>44641</v>
      </c>
      <c r="D160" s="19" t="s">
        <v>18</v>
      </c>
      <c r="E160" s="19" t="s">
        <v>589</v>
      </c>
      <c r="F160" s="35">
        <v>155</v>
      </c>
      <c r="G160" s="35">
        <v>195</v>
      </c>
      <c r="H160" s="35">
        <f>195-155</f>
        <v>40</v>
      </c>
      <c r="I160" s="20">
        <v>300</v>
      </c>
      <c r="J160" s="21">
        <f t="shared" si="9"/>
        <v>12000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ref="B161:B182" si="13">B160+1</f>
        <v>25</v>
      </c>
      <c r="C161" s="18">
        <v>44642</v>
      </c>
      <c r="D161" s="19" t="s">
        <v>18</v>
      </c>
      <c r="E161" s="19" t="s">
        <v>576</v>
      </c>
      <c r="F161" s="35">
        <v>130</v>
      </c>
      <c r="G161" s="35">
        <v>144</v>
      </c>
      <c r="H161" s="35">
        <v>14</v>
      </c>
      <c r="I161" s="20">
        <v>300</v>
      </c>
      <c r="J161" s="21">
        <f t="shared" si="9"/>
        <v>4200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26</v>
      </c>
      <c r="C162" s="18">
        <v>44642</v>
      </c>
      <c r="D162" s="19" t="s">
        <v>18</v>
      </c>
      <c r="E162" s="19" t="s">
        <v>587</v>
      </c>
      <c r="F162" s="35">
        <v>120</v>
      </c>
      <c r="G162" s="35">
        <v>132.75</v>
      </c>
      <c r="H162" s="35">
        <v>12.75</v>
      </c>
      <c r="I162" s="20">
        <v>300</v>
      </c>
      <c r="J162" s="21">
        <f t="shared" si="9"/>
        <v>3825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27</v>
      </c>
      <c r="C163" s="18">
        <v>44643</v>
      </c>
      <c r="D163" s="19" t="s">
        <v>18</v>
      </c>
      <c r="E163" s="19" t="s">
        <v>471</v>
      </c>
      <c r="F163" s="35">
        <v>90</v>
      </c>
      <c r="G163" s="35">
        <v>120</v>
      </c>
      <c r="H163" s="35">
        <v>40</v>
      </c>
      <c r="I163" s="20">
        <v>300</v>
      </c>
      <c r="J163" s="21">
        <f t="shared" si="9"/>
        <v>12000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28</v>
      </c>
      <c r="C164" s="18">
        <v>44643</v>
      </c>
      <c r="D164" s="19" t="s">
        <v>18</v>
      </c>
      <c r="E164" s="19" t="s">
        <v>589</v>
      </c>
      <c r="F164" s="35">
        <v>70</v>
      </c>
      <c r="G164" s="35">
        <v>78.5</v>
      </c>
      <c r="H164" s="35">
        <v>8.5</v>
      </c>
      <c r="I164" s="20">
        <v>300</v>
      </c>
      <c r="J164" s="21">
        <f t="shared" si="9"/>
        <v>2550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3"/>
        <v>29</v>
      </c>
      <c r="C165" s="18">
        <v>44644</v>
      </c>
      <c r="D165" s="19" t="s">
        <v>18</v>
      </c>
      <c r="E165" s="19" t="s">
        <v>473</v>
      </c>
      <c r="F165" s="35">
        <v>50</v>
      </c>
      <c r="G165" s="35">
        <v>80</v>
      </c>
      <c r="H165" s="35">
        <v>40</v>
      </c>
      <c r="I165" s="20">
        <v>300</v>
      </c>
      <c r="J165" s="21">
        <f t="shared" si="9"/>
        <v>12000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3"/>
        <v>30</v>
      </c>
      <c r="C166" s="18">
        <v>44644</v>
      </c>
      <c r="D166" s="19" t="s">
        <v>18</v>
      </c>
      <c r="E166" s="19" t="s">
        <v>577</v>
      </c>
      <c r="F166" s="35">
        <v>60</v>
      </c>
      <c r="G166" s="35">
        <v>65</v>
      </c>
      <c r="H166" s="35">
        <v>5</v>
      </c>
      <c r="I166" s="20">
        <v>300</v>
      </c>
      <c r="J166" s="21">
        <f t="shared" si="9"/>
        <v>1500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3"/>
        <v>31</v>
      </c>
      <c r="C167" s="18">
        <v>44645</v>
      </c>
      <c r="D167" s="19" t="s">
        <v>18</v>
      </c>
      <c r="E167" s="19" t="s">
        <v>642</v>
      </c>
      <c r="F167" s="35">
        <v>140</v>
      </c>
      <c r="G167" s="35">
        <v>170</v>
      </c>
      <c r="H167" s="35">
        <v>30</v>
      </c>
      <c r="I167" s="20">
        <v>300</v>
      </c>
      <c r="J167" s="21">
        <f t="shared" si="9"/>
        <v>9000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3"/>
        <v>32</v>
      </c>
      <c r="C168" s="18">
        <v>44645</v>
      </c>
      <c r="D168" s="19" t="s">
        <v>18</v>
      </c>
      <c r="E168" s="19" t="s">
        <v>590</v>
      </c>
      <c r="F168" s="35">
        <v>140</v>
      </c>
      <c r="G168" s="35">
        <v>168</v>
      </c>
      <c r="H168" s="35">
        <f>168-140</f>
        <v>28</v>
      </c>
      <c r="I168" s="20">
        <v>300</v>
      </c>
      <c r="J168" s="21">
        <f t="shared" si="9"/>
        <v>8400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3"/>
        <v>33</v>
      </c>
      <c r="C169" s="18">
        <v>44648</v>
      </c>
      <c r="D169" s="19" t="s">
        <v>18</v>
      </c>
      <c r="E169" s="19" t="s">
        <v>576</v>
      </c>
      <c r="F169" s="35">
        <v>130</v>
      </c>
      <c r="G169" s="35">
        <v>145</v>
      </c>
      <c r="H169" s="35">
        <v>15</v>
      </c>
      <c r="I169" s="20">
        <v>300</v>
      </c>
      <c r="J169" s="21">
        <f t="shared" si="9"/>
        <v>4500</v>
      </c>
      <c r="K169" s="7"/>
      <c r="V169" s="5">
        <f t="shared" si="10"/>
        <v>1</v>
      </c>
      <c r="W169" s="5">
        <f t="shared" si="11"/>
        <v>0</v>
      </c>
    </row>
    <row r="170" spans="1:23" s="36" customFormat="1" x14ac:dyDescent="0.3">
      <c r="A170" s="6"/>
      <c r="B170" s="17">
        <f t="shared" si="13"/>
        <v>34</v>
      </c>
      <c r="C170" s="18">
        <v>44648</v>
      </c>
      <c r="D170" s="19" t="s">
        <v>18</v>
      </c>
      <c r="E170" s="19" t="s">
        <v>590</v>
      </c>
      <c r="F170" s="35">
        <v>135</v>
      </c>
      <c r="G170" s="35">
        <v>165</v>
      </c>
      <c r="H170" s="35">
        <v>30</v>
      </c>
      <c r="I170" s="20">
        <v>300</v>
      </c>
      <c r="J170" s="21">
        <f t="shared" si="9"/>
        <v>9000</v>
      </c>
      <c r="K170" s="7"/>
      <c r="V170" s="5">
        <f t="shared" si="10"/>
        <v>1</v>
      </c>
      <c r="W170" s="5">
        <f t="shared" si="11"/>
        <v>0</v>
      </c>
    </row>
    <row r="171" spans="1:23" s="36" customFormat="1" x14ac:dyDescent="0.3">
      <c r="A171" s="6"/>
      <c r="B171" s="17">
        <f t="shared" si="13"/>
        <v>35</v>
      </c>
      <c r="C171" s="18">
        <v>44649</v>
      </c>
      <c r="D171" s="19" t="s">
        <v>18</v>
      </c>
      <c r="E171" s="19" t="s">
        <v>472</v>
      </c>
      <c r="F171" s="35">
        <v>95</v>
      </c>
      <c r="G171" s="35">
        <v>110</v>
      </c>
      <c r="H171" s="35">
        <f>110-95</f>
        <v>15</v>
      </c>
      <c r="I171" s="20">
        <v>300</v>
      </c>
      <c r="J171" s="21">
        <f t="shared" si="9"/>
        <v>4500</v>
      </c>
      <c r="K171" s="7"/>
      <c r="V171" s="5">
        <f t="shared" si="10"/>
        <v>1</v>
      </c>
      <c r="W171" s="5">
        <f t="shared" si="11"/>
        <v>0</v>
      </c>
    </row>
    <row r="172" spans="1:23" s="36" customFormat="1" x14ac:dyDescent="0.3">
      <c r="A172" s="6"/>
      <c r="B172" s="17">
        <f t="shared" si="13"/>
        <v>36</v>
      </c>
      <c r="C172" s="18">
        <v>44650</v>
      </c>
      <c r="D172" s="19" t="s">
        <v>18</v>
      </c>
      <c r="E172" s="19" t="s">
        <v>476</v>
      </c>
      <c r="F172" s="35">
        <v>75</v>
      </c>
      <c r="G172" s="35">
        <v>95</v>
      </c>
      <c r="H172" s="35">
        <v>20</v>
      </c>
      <c r="I172" s="20">
        <v>300</v>
      </c>
      <c r="J172" s="21">
        <f t="shared" si="9"/>
        <v>6000</v>
      </c>
      <c r="K172" s="7"/>
      <c r="V172" s="5">
        <f t="shared" si="10"/>
        <v>1</v>
      </c>
      <c r="W172" s="5">
        <f t="shared" si="11"/>
        <v>0</v>
      </c>
    </row>
    <row r="173" spans="1:23" s="36" customFormat="1" x14ac:dyDescent="0.3">
      <c r="A173" s="6"/>
      <c r="B173" s="17">
        <f t="shared" si="13"/>
        <v>37</v>
      </c>
      <c r="C173" s="18">
        <v>44650</v>
      </c>
      <c r="D173" s="19" t="s">
        <v>18</v>
      </c>
      <c r="E173" s="19" t="s">
        <v>588</v>
      </c>
      <c r="F173" s="35">
        <v>65</v>
      </c>
      <c r="G173" s="35">
        <v>71</v>
      </c>
      <c r="H173" s="35">
        <f>71-65</f>
        <v>6</v>
      </c>
      <c r="I173" s="20">
        <v>300</v>
      </c>
      <c r="J173" s="21">
        <f t="shared" si="9"/>
        <v>1800</v>
      </c>
      <c r="K173" s="7"/>
      <c r="V173" s="5">
        <f t="shared" si="10"/>
        <v>1</v>
      </c>
      <c r="W173" s="5">
        <f t="shared" si="11"/>
        <v>0</v>
      </c>
    </row>
    <row r="174" spans="1:23" s="36" customFormat="1" x14ac:dyDescent="0.3">
      <c r="A174" s="6"/>
      <c r="B174" s="17">
        <f t="shared" si="13"/>
        <v>38</v>
      </c>
      <c r="C174" s="18">
        <v>44651</v>
      </c>
      <c r="D174" s="19" t="s">
        <v>18</v>
      </c>
      <c r="E174" s="19" t="s">
        <v>573</v>
      </c>
      <c r="F174" s="35">
        <v>5</v>
      </c>
      <c r="G174" s="35">
        <v>85</v>
      </c>
      <c r="H174" s="35">
        <v>30</v>
      </c>
      <c r="I174" s="20">
        <v>300</v>
      </c>
      <c r="J174" s="21">
        <f t="shared" si="9"/>
        <v>9000</v>
      </c>
      <c r="K174" s="7"/>
      <c r="V174" s="5">
        <f t="shared" si="10"/>
        <v>1</v>
      </c>
      <c r="W174" s="5">
        <f t="shared" si="11"/>
        <v>0</v>
      </c>
    </row>
    <row r="175" spans="1:23" s="36" customFormat="1" x14ac:dyDescent="0.3">
      <c r="A175" s="6"/>
      <c r="B175" s="17">
        <f t="shared" si="13"/>
        <v>39</v>
      </c>
      <c r="C175" s="18">
        <v>44651</v>
      </c>
      <c r="D175" s="19" t="s">
        <v>18</v>
      </c>
      <c r="E175" s="19" t="s">
        <v>573</v>
      </c>
      <c r="F175" s="35">
        <v>60</v>
      </c>
      <c r="G175" s="35">
        <v>73</v>
      </c>
      <c r="H175" s="35">
        <v>13</v>
      </c>
      <c r="I175" s="20">
        <v>300</v>
      </c>
      <c r="J175" s="21">
        <f t="shared" si="9"/>
        <v>3900</v>
      </c>
      <c r="K175" s="7"/>
      <c r="V175" s="5">
        <f t="shared" si="10"/>
        <v>1</v>
      </c>
      <c r="W175" s="5">
        <f t="shared" si="11"/>
        <v>0</v>
      </c>
    </row>
    <row r="176" spans="1:23" s="36" customFormat="1" x14ac:dyDescent="0.3">
      <c r="A176" s="6"/>
      <c r="B176" s="17">
        <f t="shared" si="13"/>
        <v>40</v>
      </c>
      <c r="C176" s="18"/>
      <c r="D176" s="19"/>
      <c r="E176" s="19"/>
      <c r="F176" s="35"/>
      <c r="G176" s="35"/>
      <c r="H176" s="35"/>
      <c r="I176" s="20"/>
      <c r="J176" s="21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x14ac:dyDescent="0.3">
      <c r="A177" s="6"/>
      <c r="B177" s="17">
        <f t="shared" si="13"/>
        <v>41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x14ac:dyDescent="0.3">
      <c r="A178" s="6"/>
      <c r="B178" s="17">
        <f t="shared" si="13"/>
        <v>42</v>
      </c>
      <c r="C178" s="18"/>
      <c r="D178" s="19"/>
      <c r="E178" s="19"/>
      <c r="F178" s="35"/>
      <c r="G178" s="35"/>
      <c r="H178" s="35"/>
      <c r="I178" s="20"/>
      <c r="J178" s="21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x14ac:dyDescent="0.3">
      <c r="A179" s="6"/>
      <c r="B179" s="17">
        <f t="shared" si="13"/>
        <v>43</v>
      </c>
      <c r="C179" s="18"/>
      <c r="D179" s="19"/>
      <c r="E179" s="19"/>
      <c r="F179" s="35"/>
      <c r="G179" s="35"/>
      <c r="H179" s="35"/>
      <c r="I179" s="20"/>
      <c r="J179" s="21">
        <f t="shared" si="9"/>
        <v>0</v>
      </c>
      <c r="K179" s="7"/>
      <c r="V179" s="5">
        <f t="shared" si="10"/>
        <v>0</v>
      </c>
      <c r="W179" s="5">
        <f t="shared" si="11"/>
        <v>0</v>
      </c>
    </row>
    <row r="180" spans="1:23" s="36" customFormat="1" x14ac:dyDescent="0.3">
      <c r="A180" s="6"/>
      <c r="B180" s="17">
        <f t="shared" si="13"/>
        <v>44</v>
      </c>
      <c r="C180" s="18"/>
      <c r="D180" s="19"/>
      <c r="E180" s="19"/>
      <c r="F180" s="35"/>
      <c r="G180" s="35"/>
      <c r="H180" s="35"/>
      <c r="I180" s="20"/>
      <c r="J180" s="21">
        <f t="shared" si="9"/>
        <v>0</v>
      </c>
      <c r="K180" s="7"/>
      <c r="V180" s="5">
        <f t="shared" si="10"/>
        <v>0</v>
      </c>
      <c r="W180" s="5">
        <f t="shared" si="11"/>
        <v>0</v>
      </c>
    </row>
    <row r="181" spans="1:23" s="36" customFormat="1" x14ac:dyDescent="0.3">
      <c r="A181" s="6"/>
      <c r="B181" s="17">
        <f t="shared" si="13"/>
        <v>45</v>
      </c>
      <c r="C181" s="18"/>
      <c r="D181" s="19"/>
      <c r="E181" s="19"/>
      <c r="F181" s="35"/>
      <c r="G181" s="35"/>
      <c r="H181" s="35"/>
      <c r="I181" s="20"/>
      <c r="J181" s="21">
        <f t="shared" si="9"/>
        <v>0</v>
      </c>
      <c r="K181" s="7"/>
      <c r="V181" s="5">
        <f t="shared" si="10"/>
        <v>0</v>
      </c>
      <c r="W181" s="5">
        <f t="shared" si="11"/>
        <v>0</v>
      </c>
    </row>
    <row r="182" spans="1:23" s="36" customFormat="1" ht="15" thickBot="1" x14ac:dyDescent="0.35">
      <c r="A182" s="6"/>
      <c r="B182" s="95">
        <f t="shared" si="13"/>
        <v>46</v>
      </c>
      <c r="C182" s="79"/>
      <c r="D182" s="80"/>
      <c r="E182" s="80"/>
      <c r="F182" s="96"/>
      <c r="G182" s="96"/>
      <c r="H182" s="96"/>
      <c r="I182" s="81"/>
      <c r="J182" s="82">
        <f t="shared" si="9"/>
        <v>0</v>
      </c>
      <c r="K182" s="7"/>
      <c r="V182" s="5">
        <f t="shared" si="10"/>
        <v>0</v>
      </c>
      <c r="W182" s="5">
        <f t="shared" si="11"/>
        <v>0</v>
      </c>
    </row>
    <row r="183" spans="1:23" s="36" customFormat="1" ht="24" thickBot="1" x14ac:dyDescent="0.5">
      <c r="A183" s="6"/>
      <c r="B183" s="165" t="s">
        <v>22</v>
      </c>
      <c r="C183" s="166"/>
      <c r="D183" s="166"/>
      <c r="E183" s="166"/>
      <c r="F183" s="166"/>
      <c r="G183" s="166"/>
      <c r="H183" s="167"/>
      <c r="I183" s="83" t="s">
        <v>23</v>
      </c>
      <c r="J183" s="84">
        <f>SUM(J137:J182)</f>
        <v>238125</v>
      </c>
      <c r="K183" s="7"/>
      <c r="L183" s="5"/>
      <c r="M183" s="5"/>
      <c r="N183" s="5"/>
      <c r="O183" s="5"/>
      <c r="P183" s="5"/>
      <c r="Q183" s="5"/>
      <c r="R183" s="5"/>
      <c r="V183" s="36">
        <f>SUM(V137:V182)</f>
        <v>37</v>
      </c>
      <c r="W183" s="36">
        <f>SUM(W137:W182)</f>
        <v>2</v>
      </c>
    </row>
    <row r="184" spans="1:23" s="36" customFormat="1" ht="30" customHeight="1" thickBot="1" x14ac:dyDescent="0.35">
      <c r="A184" s="30"/>
      <c r="B184" s="31"/>
      <c r="C184" s="31"/>
      <c r="D184" s="31"/>
      <c r="E184" s="31"/>
      <c r="F184" s="31"/>
      <c r="G184" s="31"/>
      <c r="H184" s="32"/>
      <c r="I184" s="31"/>
      <c r="J184" s="32"/>
      <c r="K184" s="33"/>
      <c r="L184" s="5"/>
      <c r="M184" s="5"/>
      <c r="N184" s="5"/>
      <c r="O184" s="5"/>
      <c r="P184" s="5"/>
      <c r="Q184" s="5"/>
      <c r="R184" s="5"/>
    </row>
  </sheetData>
  <mergeCells count="44">
    <mergeCell ref="B129:H129"/>
    <mergeCell ref="B133:J133"/>
    <mergeCell ref="B134:J134"/>
    <mergeCell ref="B135:J135"/>
    <mergeCell ref="B183:H183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59" r:id="rId1" xr:uid="{00000000-0004-0000-1400-000000000000}"/>
    <hyperlink ref="B129" r:id="rId2" xr:uid="{00000000-0004-0000-1400-000001000000}"/>
    <hyperlink ref="B183" r:id="rId3" xr:uid="{00000000-0004-0000-1400-000002000000}"/>
    <hyperlink ref="M1" location="MASTER!A1" display="Back" xr:uid="{00000000-0004-0000-1400-000003000000}"/>
    <hyperlink ref="M6:M7" location="'MAR 2022'!A70" display="EXTRA STOCK FUTURE" xr:uid="{00000000-0004-0000-1400-000004000000}"/>
    <hyperlink ref="M8:M9" location="'MAR 2022'!A140" display="EXTRA NIFTY OPTION" xr:uid="{00000000-0004-0000-1400-000005000000}"/>
  </hyperlinks>
  <pageMargins left="0" right="0" top="0" bottom="0" header="0" footer="0"/>
  <pageSetup paperSize="9" orientation="portrait" r:id="rId4"/>
  <drawing r:id="rId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184"/>
  <sheetViews>
    <sheetView zoomScaleNormal="100" workbookViewId="0">
      <selection activeCell="O99" sqref="O99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44652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95" t="s">
        <v>107</v>
      </c>
      <c r="N4" s="111">
        <f>COUNT(C6:C58)</f>
        <v>34</v>
      </c>
      <c r="O4" s="113">
        <f>V59</f>
        <v>32</v>
      </c>
      <c r="P4" s="113">
        <f>W59</f>
        <v>2</v>
      </c>
      <c r="Q4" s="197">
        <f>N4-O4-P4</f>
        <v>0</v>
      </c>
      <c r="R4" s="199">
        <f>O4/N4</f>
        <v>0.94117647058823528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96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44652</v>
      </c>
      <c r="D6" s="90" t="s">
        <v>18</v>
      </c>
      <c r="E6" s="90" t="s">
        <v>268</v>
      </c>
      <c r="F6" s="90">
        <v>140</v>
      </c>
      <c r="G6" s="90">
        <v>240</v>
      </c>
      <c r="H6" s="91">
        <v>100</v>
      </c>
      <c r="I6" s="90">
        <v>100</v>
      </c>
      <c r="J6" s="92">
        <f t="shared" ref="J6:J58" si="0">H6*I6</f>
        <v>10000</v>
      </c>
      <c r="K6" s="7"/>
      <c r="M6" s="213" t="s">
        <v>108</v>
      </c>
      <c r="N6" s="112">
        <f>COUNT(C67:C128)</f>
        <v>32</v>
      </c>
      <c r="O6" s="113">
        <v>28</v>
      </c>
      <c r="P6" s="113">
        <f>W129</f>
        <v>4</v>
      </c>
      <c r="Q6" s="198">
        <v>0</v>
      </c>
      <c r="R6" s="203">
        <f t="shared" ref="R6" si="1">O6/N6</f>
        <v>0.875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x14ac:dyDescent="0.3">
      <c r="A7" s="6"/>
      <c r="B7" s="17">
        <v>2</v>
      </c>
      <c r="C7" s="85">
        <v>44652</v>
      </c>
      <c r="D7" s="86" t="s">
        <v>18</v>
      </c>
      <c r="E7" s="86" t="s">
        <v>452</v>
      </c>
      <c r="F7" s="86">
        <v>150</v>
      </c>
      <c r="G7" s="86">
        <v>200</v>
      </c>
      <c r="H7" s="87">
        <v>50</v>
      </c>
      <c r="I7" s="86">
        <v>100</v>
      </c>
      <c r="J7" s="21">
        <f t="shared" si="0"/>
        <v>5000</v>
      </c>
      <c r="K7" s="7"/>
      <c r="M7" s="213"/>
      <c r="N7" s="112"/>
      <c r="O7" s="114"/>
      <c r="P7" s="114"/>
      <c r="Q7" s="198"/>
      <c r="R7" s="200"/>
      <c r="V7" s="5">
        <f t="shared" si="2"/>
        <v>1</v>
      </c>
      <c r="W7" s="5">
        <f t="shared" si="3"/>
        <v>0</v>
      </c>
    </row>
    <row r="8" spans="1:23" x14ac:dyDescent="0.3">
      <c r="A8" s="6"/>
      <c r="B8" s="88">
        <v>3</v>
      </c>
      <c r="C8" s="85">
        <v>44655</v>
      </c>
      <c r="D8" s="86" t="s">
        <v>18</v>
      </c>
      <c r="E8" s="86" t="s">
        <v>506</v>
      </c>
      <c r="F8" s="86">
        <v>150</v>
      </c>
      <c r="G8" s="86">
        <v>250</v>
      </c>
      <c r="H8" s="87">
        <v>100</v>
      </c>
      <c r="I8" s="86">
        <v>100</v>
      </c>
      <c r="J8" s="21">
        <f t="shared" si="0"/>
        <v>10000</v>
      </c>
      <c r="K8" s="7"/>
      <c r="M8" s="214" t="s">
        <v>194</v>
      </c>
      <c r="N8" s="112">
        <f>COUNT(C137:C182)</f>
        <v>35</v>
      </c>
      <c r="O8" s="114">
        <f>V183</f>
        <v>31</v>
      </c>
      <c r="P8" s="114">
        <v>2</v>
      </c>
      <c r="Q8" s="198">
        <f>N8-O8-P8</f>
        <v>2</v>
      </c>
      <c r="R8" s="203">
        <f t="shared" ref="R8:R10" si="4">O8/N8</f>
        <v>0.88571428571428568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44655</v>
      </c>
      <c r="D9" s="86" t="s">
        <v>18</v>
      </c>
      <c r="E9" s="86" t="s">
        <v>616</v>
      </c>
      <c r="F9" s="86">
        <v>140</v>
      </c>
      <c r="G9" s="86">
        <v>190</v>
      </c>
      <c r="H9" s="87">
        <v>50</v>
      </c>
      <c r="I9" s="86">
        <v>100</v>
      </c>
      <c r="J9" s="21">
        <f t="shared" si="0"/>
        <v>5000</v>
      </c>
      <c r="K9" s="7"/>
      <c r="M9" s="215"/>
      <c r="N9" s="184"/>
      <c r="O9" s="172"/>
      <c r="P9" s="172"/>
      <c r="Q9" s="174"/>
      <c r="R9" s="204"/>
      <c r="V9" s="5">
        <f t="shared" si="2"/>
        <v>1</v>
      </c>
      <c r="W9" s="5">
        <f t="shared" si="3"/>
        <v>0</v>
      </c>
    </row>
    <row r="10" spans="1:23" ht="16.5" customHeight="1" x14ac:dyDescent="0.3">
      <c r="A10" s="6"/>
      <c r="B10" s="88">
        <v>5</v>
      </c>
      <c r="C10" s="85">
        <v>44656</v>
      </c>
      <c r="D10" s="86" t="s">
        <v>18</v>
      </c>
      <c r="E10" s="86" t="s">
        <v>636</v>
      </c>
      <c r="F10" s="86">
        <v>140</v>
      </c>
      <c r="G10" s="86">
        <v>90</v>
      </c>
      <c r="H10" s="87">
        <v>-50</v>
      </c>
      <c r="I10" s="86">
        <v>100</v>
      </c>
      <c r="J10" s="21">
        <f t="shared" si="0"/>
        <v>-5000</v>
      </c>
      <c r="K10" s="7"/>
      <c r="M10" s="207" t="s">
        <v>19</v>
      </c>
      <c r="N10" s="149">
        <f>SUM(N4:N9)</f>
        <v>101</v>
      </c>
      <c r="O10" s="209">
        <f>SUM(O4:O9)</f>
        <v>91</v>
      </c>
      <c r="P10" s="209">
        <f>SUM(P4:P9)</f>
        <v>8</v>
      </c>
      <c r="Q10" s="211">
        <f>SUM(Q4:Q9)</f>
        <v>2</v>
      </c>
      <c r="R10" s="199">
        <f t="shared" si="4"/>
        <v>0.90099009900990101</v>
      </c>
      <c r="V10" s="5">
        <f t="shared" si="2"/>
        <v>0</v>
      </c>
      <c r="W10" s="5">
        <f t="shared" si="3"/>
        <v>1</v>
      </c>
    </row>
    <row r="11" spans="1:23" ht="15.75" customHeight="1" thickBot="1" x14ac:dyDescent="0.35">
      <c r="A11" s="6"/>
      <c r="B11" s="17">
        <v>6</v>
      </c>
      <c r="C11" s="85">
        <v>44657</v>
      </c>
      <c r="D11" s="86" t="s">
        <v>18</v>
      </c>
      <c r="E11" s="86" t="s">
        <v>615</v>
      </c>
      <c r="F11" s="86">
        <v>140</v>
      </c>
      <c r="G11" s="86">
        <v>90</v>
      </c>
      <c r="H11" s="87">
        <v>-50</v>
      </c>
      <c r="I11" s="86">
        <v>100</v>
      </c>
      <c r="J11" s="21">
        <f t="shared" si="0"/>
        <v>-5000</v>
      </c>
      <c r="K11" s="7"/>
      <c r="M11" s="208"/>
      <c r="N11" s="150"/>
      <c r="O11" s="210"/>
      <c r="P11" s="210"/>
      <c r="Q11" s="212"/>
      <c r="R11" s="204"/>
      <c r="V11" s="5">
        <f t="shared" si="2"/>
        <v>0</v>
      </c>
      <c r="W11" s="5">
        <f t="shared" si="3"/>
        <v>1</v>
      </c>
    </row>
    <row r="12" spans="1:23" ht="15" customHeight="1" x14ac:dyDescent="0.3">
      <c r="A12" s="6"/>
      <c r="B12" s="88">
        <v>7</v>
      </c>
      <c r="C12" s="85">
        <v>44657</v>
      </c>
      <c r="D12" s="86" t="s">
        <v>18</v>
      </c>
      <c r="E12" s="86" t="s">
        <v>459</v>
      </c>
      <c r="F12" s="86">
        <v>150</v>
      </c>
      <c r="G12" s="86">
        <v>185</v>
      </c>
      <c r="H12" s="87">
        <v>35</v>
      </c>
      <c r="I12" s="86">
        <v>100</v>
      </c>
      <c r="J12" s="21">
        <f t="shared" si="0"/>
        <v>3500</v>
      </c>
      <c r="K12" s="7"/>
      <c r="M12" s="126" t="s">
        <v>20</v>
      </c>
      <c r="N12" s="130"/>
      <c r="O12" s="131"/>
      <c r="P12" s="138">
        <f>R10</f>
        <v>0.90099009900990101</v>
      </c>
      <c r="Q12" s="139"/>
      <c r="R12" s="137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44658</v>
      </c>
      <c r="D13" s="86" t="s">
        <v>18</v>
      </c>
      <c r="E13" s="86" t="s">
        <v>640</v>
      </c>
      <c r="F13" s="86">
        <v>120</v>
      </c>
      <c r="G13" s="86">
        <v>143</v>
      </c>
      <c r="H13" s="87">
        <f>143-120</f>
        <v>23</v>
      </c>
      <c r="I13" s="86">
        <v>100</v>
      </c>
      <c r="J13" s="21">
        <f t="shared" si="0"/>
        <v>2300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44659</v>
      </c>
      <c r="D14" s="86" t="s">
        <v>18</v>
      </c>
      <c r="E14" s="86" t="s">
        <v>457</v>
      </c>
      <c r="F14" s="86">
        <v>140</v>
      </c>
      <c r="G14" s="86">
        <v>170</v>
      </c>
      <c r="H14" s="87">
        <v>30</v>
      </c>
      <c r="I14" s="86">
        <v>100</v>
      </c>
      <c r="J14" s="21">
        <f t="shared" si="0"/>
        <v>3000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44659</v>
      </c>
      <c r="D15" s="86" t="s">
        <v>18</v>
      </c>
      <c r="E15" s="86" t="s">
        <v>624</v>
      </c>
      <c r="F15" s="86">
        <v>150</v>
      </c>
      <c r="G15" s="86">
        <v>192</v>
      </c>
      <c r="H15" s="87">
        <f>192-150</f>
        <v>42</v>
      </c>
      <c r="I15" s="86">
        <v>100</v>
      </c>
      <c r="J15" s="21">
        <f t="shared" si="0"/>
        <v>4200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18">
        <v>44662</v>
      </c>
      <c r="D16" s="19" t="s">
        <v>18</v>
      </c>
      <c r="E16" s="19" t="s">
        <v>507</v>
      </c>
      <c r="F16" s="35">
        <v>130</v>
      </c>
      <c r="G16" s="35">
        <v>160</v>
      </c>
      <c r="H16" s="35">
        <v>30</v>
      </c>
      <c r="I16" s="20">
        <v>100</v>
      </c>
      <c r="J16" s="21">
        <f t="shared" si="0"/>
        <v>3000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18">
        <v>44662</v>
      </c>
      <c r="D17" s="19" t="s">
        <v>18</v>
      </c>
      <c r="E17" s="19" t="s">
        <v>622</v>
      </c>
      <c r="F17" s="35">
        <v>140</v>
      </c>
      <c r="G17" s="35">
        <v>155</v>
      </c>
      <c r="H17" s="35">
        <v>15</v>
      </c>
      <c r="I17" s="20">
        <v>100</v>
      </c>
      <c r="J17" s="21">
        <f t="shared" si="0"/>
        <v>1500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18">
        <v>44663</v>
      </c>
      <c r="D18" s="19" t="s">
        <v>18</v>
      </c>
      <c r="E18" s="19" t="s">
        <v>503</v>
      </c>
      <c r="F18" s="35">
        <v>120</v>
      </c>
      <c r="G18" s="35">
        <v>220</v>
      </c>
      <c r="H18" s="35">
        <v>100</v>
      </c>
      <c r="I18" s="20">
        <v>100</v>
      </c>
      <c r="J18" s="21">
        <f t="shared" si="0"/>
        <v>10000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18">
        <v>44663</v>
      </c>
      <c r="D19" s="19" t="s">
        <v>18</v>
      </c>
      <c r="E19" s="19" t="s">
        <v>458</v>
      </c>
      <c r="F19" s="35">
        <v>120</v>
      </c>
      <c r="G19" s="35">
        <v>140</v>
      </c>
      <c r="H19" s="35">
        <v>20</v>
      </c>
      <c r="I19" s="20">
        <v>100</v>
      </c>
      <c r="J19" s="21">
        <f t="shared" si="0"/>
        <v>2000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18">
        <v>44664</v>
      </c>
      <c r="D20" s="19" t="s">
        <v>18</v>
      </c>
      <c r="E20" s="19" t="s">
        <v>636</v>
      </c>
      <c r="F20" s="35">
        <v>120</v>
      </c>
      <c r="G20" s="35">
        <v>220</v>
      </c>
      <c r="H20" s="78">
        <v>100</v>
      </c>
      <c r="I20" s="20">
        <v>100</v>
      </c>
      <c r="J20" s="21">
        <f t="shared" si="0"/>
        <v>10000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18">
        <v>44664</v>
      </c>
      <c r="D21" s="19" t="s">
        <v>18</v>
      </c>
      <c r="E21" s="19" t="s">
        <v>464</v>
      </c>
      <c r="F21" s="35">
        <v>120</v>
      </c>
      <c r="G21" s="35">
        <v>170</v>
      </c>
      <c r="H21" s="35">
        <v>50</v>
      </c>
      <c r="I21" s="20">
        <v>100</v>
      </c>
      <c r="J21" s="21">
        <f t="shared" si="0"/>
        <v>5000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44669</v>
      </c>
      <c r="D22" s="19" t="s">
        <v>18</v>
      </c>
      <c r="E22" s="19" t="s">
        <v>453</v>
      </c>
      <c r="F22" s="35">
        <v>140</v>
      </c>
      <c r="G22" s="35">
        <v>185</v>
      </c>
      <c r="H22" s="35">
        <v>45</v>
      </c>
      <c r="I22" s="20">
        <v>100</v>
      </c>
      <c r="J22" s="21">
        <f t="shared" si="0"/>
        <v>4500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44669</v>
      </c>
      <c r="D23" s="19" t="s">
        <v>18</v>
      </c>
      <c r="E23" s="19" t="s">
        <v>455</v>
      </c>
      <c r="F23" s="35">
        <v>140</v>
      </c>
      <c r="G23" s="35">
        <v>234</v>
      </c>
      <c r="H23" s="35">
        <f>234-140</f>
        <v>94</v>
      </c>
      <c r="I23" s="20">
        <v>100</v>
      </c>
      <c r="J23" s="21">
        <f t="shared" si="0"/>
        <v>9400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44670</v>
      </c>
      <c r="D24" s="19" t="s">
        <v>18</v>
      </c>
      <c r="E24" s="19" t="s">
        <v>636</v>
      </c>
      <c r="F24" s="35">
        <v>120</v>
      </c>
      <c r="G24" s="35">
        <v>220</v>
      </c>
      <c r="H24" s="35">
        <v>100</v>
      </c>
      <c r="I24" s="20">
        <v>100</v>
      </c>
      <c r="J24" s="21">
        <f t="shared" si="0"/>
        <v>10000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44670</v>
      </c>
      <c r="D25" s="19" t="s">
        <v>18</v>
      </c>
      <c r="E25" s="19" t="s">
        <v>271</v>
      </c>
      <c r="F25" s="35">
        <v>130</v>
      </c>
      <c r="G25" s="35">
        <v>167</v>
      </c>
      <c r="H25" s="35">
        <v>37</v>
      </c>
      <c r="I25" s="20">
        <v>100</v>
      </c>
      <c r="J25" s="21">
        <f t="shared" si="0"/>
        <v>3700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44671</v>
      </c>
      <c r="D26" s="19" t="s">
        <v>18</v>
      </c>
      <c r="E26" s="19" t="s">
        <v>455</v>
      </c>
      <c r="F26" s="35">
        <v>130</v>
      </c>
      <c r="G26" s="35">
        <v>163</v>
      </c>
      <c r="H26" s="35">
        <v>43</v>
      </c>
      <c r="I26" s="20">
        <v>100</v>
      </c>
      <c r="J26" s="21">
        <f t="shared" si="0"/>
        <v>4300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44671</v>
      </c>
      <c r="D27" s="19" t="s">
        <v>18</v>
      </c>
      <c r="E27" s="19" t="s">
        <v>455</v>
      </c>
      <c r="F27" s="35">
        <v>130</v>
      </c>
      <c r="G27" s="35">
        <v>180</v>
      </c>
      <c r="H27" s="19">
        <v>50</v>
      </c>
      <c r="I27" s="20">
        <v>100</v>
      </c>
      <c r="J27" s="21">
        <f t="shared" si="0"/>
        <v>5000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44672</v>
      </c>
      <c r="D28" s="19" t="s">
        <v>18</v>
      </c>
      <c r="E28" s="19" t="s">
        <v>271</v>
      </c>
      <c r="F28" s="35">
        <v>110</v>
      </c>
      <c r="G28" s="35">
        <v>160</v>
      </c>
      <c r="H28" s="19">
        <v>50</v>
      </c>
      <c r="I28" s="20">
        <v>100</v>
      </c>
      <c r="J28" s="21">
        <f t="shared" si="0"/>
        <v>5000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44673</v>
      </c>
      <c r="D29" s="19" t="s">
        <v>18</v>
      </c>
      <c r="E29" s="19" t="s">
        <v>253</v>
      </c>
      <c r="F29" s="20">
        <v>150</v>
      </c>
      <c r="G29" s="20">
        <v>200</v>
      </c>
      <c r="H29" s="19">
        <v>50</v>
      </c>
      <c r="I29" s="20">
        <v>100</v>
      </c>
      <c r="J29" s="21">
        <f t="shared" si="0"/>
        <v>5000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44673</v>
      </c>
      <c r="D30" s="25" t="s">
        <v>18</v>
      </c>
      <c r="E30" s="25" t="s">
        <v>259</v>
      </c>
      <c r="F30" s="26">
        <v>150</v>
      </c>
      <c r="G30" s="61">
        <v>250</v>
      </c>
      <c r="H30" s="61">
        <v>100</v>
      </c>
      <c r="I30" s="26">
        <v>100</v>
      </c>
      <c r="J30" s="21">
        <f t="shared" si="0"/>
        <v>10000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44676</v>
      </c>
      <c r="D31" s="25" t="s">
        <v>18</v>
      </c>
      <c r="E31" s="25" t="s">
        <v>248</v>
      </c>
      <c r="F31" s="26">
        <v>150</v>
      </c>
      <c r="G31" s="61">
        <v>191</v>
      </c>
      <c r="H31" s="61">
        <v>41</v>
      </c>
      <c r="I31" s="26">
        <v>100</v>
      </c>
      <c r="J31" s="21">
        <f t="shared" si="0"/>
        <v>4100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44676</v>
      </c>
      <c r="D32" s="25" t="s">
        <v>18</v>
      </c>
      <c r="E32" s="25" t="s">
        <v>242</v>
      </c>
      <c r="F32" s="26">
        <v>150</v>
      </c>
      <c r="G32" s="61">
        <v>168</v>
      </c>
      <c r="H32" s="61">
        <v>18</v>
      </c>
      <c r="I32" s="26">
        <v>100</v>
      </c>
      <c r="J32" s="21">
        <f t="shared" si="0"/>
        <v>1800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44677</v>
      </c>
      <c r="D33" s="25" t="s">
        <v>18</v>
      </c>
      <c r="E33" s="25" t="s">
        <v>456</v>
      </c>
      <c r="F33" s="26">
        <v>150</v>
      </c>
      <c r="G33" s="61">
        <v>165</v>
      </c>
      <c r="H33" s="61">
        <v>15</v>
      </c>
      <c r="I33" s="26">
        <v>100</v>
      </c>
      <c r="J33" s="21">
        <f t="shared" si="0"/>
        <v>1500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44677</v>
      </c>
      <c r="D34" s="25" t="s">
        <v>18</v>
      </c>
      <c r="E34" s="25" t="s">
        <v>248</v>
      </c>
      <c r="F34" s="26">
        <v>150</v>
      </c>
      <c r="G34" s="61">
        <v>162</v>
      </c>
      <c r="H34" s="61">
        <v>12</v>
      </c>
      <c r="I34" s="26">
        <v>100</v>
      </c>
      <c r="J34" s="21">
        <f t="shared" si="0"/>
        <v>1200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44678</v>
      </c>
      <c r="D35" s="25" t="s">
        <v>18</v>
      </c>
      <c r="E35" s="25" t="s">
        <v>384</v>
      </c>
      <c r="F35" s="26">
        <v>120</v>
      </c>
      <c r="G35" s="61">
        <v>210</v>
      </c>
      <c r="H35" s="61">
        <f>210-120</f>
        <v>90</v>
      </c>
      <c r="I35" s="26">
        <v>100</v>
      </c>
      <c r="J35" s="21">
        <f t="shared" si="0"/>
        <v>9000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44678</v>
      </c>
      <c r="D36" s="25" t="s">
        <v>18</v>
      </c>
      <c r="E36" s="25" t="s">
        <v>652</v>
      </c>
      <c r="F36" s="26">
        <v>120</v>
      </c>
      <c r="G36" s="61">
        <v>185</v>
      </c>
      <c r="H36" s="61">
        <v>65</v>
      </c>
      <c r="I36" s="26">
        <v>100</v>
      </c>
      <c r="J36" s="21">
        <f t="shared" si="0"/>
        <v>6500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44679</v>
      </c>
      <c r="D37" s="25" t="s">
        <v>18</v>
      </c>
      <c r="E37" s="25" t="s">
        <v>298</v>
      </c>
      <c r="F37" s="26">
        <v>120</v>
      </c>
      <c r="G37" s="61">
        <v>220</v>
      </c>
      <c r="H37" s="61">
        <v>100</v>
      </c>
      <c r="I37" s="26">
        <v>100</v>
      </c>
      <c r="J37" s="21">
        <f t="shared" si="0"/>
        <v>10000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44679</v>
      </c>
      <c r="D38" s="25" t="s">
        <v>18</v>
      </c>
      <c r="E38" s="25" t="s">
        <v>455</v>
      </c>
      <c r="F38" s="26">
        <v>140</v>
      </c>
      <c r="G38" s="61">
        <v>240</v>
      </c>
      <c r="H38" s="61">
        <v>100</v>
      </c>
      <c r="I38" s="26">
        <v>100</v>
      </c>
      <c r="J38" s="21">
        <f t="shared" si="0"/>
        <v>10000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44680</v>
      </c>
      <c r="D39" s="25" t="s">
        <v>18</v>
      </c>
      <c r="E39" s="25" t="s">
        <v>298</v>
      </c>
      <c r="F39" s="26">
        <v>120</v>
      </c>
      <c r="G39" s="61">
        <v>220</v>
      </c>
      <c r="H39" s="61">
        <v>100</v>
      </c>
      <c r="I39" s="26">
        <v>100</v>
      </c>
      <c r="J39" s="21">
        <f t="shared" si="0"/>
        <v>10000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/>
      <c r="D40" s="25"/>
      <c r="E40" s="25"/>
      <c r="F40" s="26"/>
      <c r="G40" s="61"/>
      <c r="H40" s="61"/>
      <c r="I40" s="26"/>
      <c r="J40" s="21">
        <f t="shared" si="0"/>
        <v>0</v>
      </c>
      <c r="K40" s="7"/>
      <c r="V40" s="5">
        <f t="shared" si="2"/>
        <v>0</v>
      </c>
      <c r="W40" s="5">
        <f t="shared" si="3"/>
        <v>0</v>
      </c>
    </row>
    <row r="41" spans="1:23" x14ac:dyDescent="0.3">
      <c r="A41" s="6"/>
      <c r="B41" s="17">
        <v>36</v>
      </c>
      <c r="C41" s="24"/>
      <c r="D41" s="25"/>
      <c r="E41" s="25"/>
      <c r="F41" s="26"/>
      <c r="G41" s="61"/>
      <c r="H41" s="61"/>
      <c r="I41" s="26"/>
      <c r="J41" s="21">
        <f t="shared" si="0"/>
        <v>0</v>
      </c>
      <c r="K41" s="7"/>
      <c r="V41" s="5">
        <f t="shared" si="2"/>
        <v>0</v>
      </c>
      <c r="W41" s="5">
        <f t="shared" si="3"/>
        <v>0</v>
      </c>
    </row>
    <row r="42" spans="1:23" x14ac:dyDescent="0.3">
      <c r="A42" s="6"/>
      <c r="B42" s="17">
        <v>37</v>
      </c>
      <c r="C42" s="24"/>
      <c r="D42" s="25"/>
      <c r="E42" s="25"/>
      <c r="F42" s="26"/>
      <c r="G42" s="61"/>
      <c r="H42" s="61"/>
      <c r="I42" s="26"/>
      <c r="J42" s="21">
        <f t="shared" si="0"/>
        <v>0</v>
      </c>
      <c r="K42" s="7"/>
      <c r="V42" s="5">
        <f t="shared" si="2"/>
        <v>0</v>
      </c>
      <c r="W42" s="5">
        <f t="shared" si="3"/>
        <v>0</v>
      </c>
    </row>
    <row r="43" spans="1:23" x14ac:dyDescent="0.3">
      <c r="A43" s="6"/>
      <c r="B43" s="17">
        <v>38</v>
      </c>
      <c r="C43" s="24"/>
      <c r="D43" s="25"/>
      <c r="E43" s="25"/>
      <c r="F43" s="26"/>
      <c r="G43" s="61"/>
      <c r="H43" s="61"/>
      <c r="I43" s="26"/>
      <c r="J43" s="21">
        <f t="shared" si="0"/>
        <v>0</v>
      </c>
      <c r="K43" s="7"/>
      <c r="V43" s="5">
        <f t="shared" si="2"/>
        <v>0</v>
      </c>
      <c r="W43" s="5">
        <f t="shared" si="3"/>
        <v>0</v>
      </c>
    </row>
    <row r="44" spans="1:23" x14ac:dyDescent="0.3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x14ac:dyDescent="0.3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x14ac:dyDescent="0.3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x14ac:dyDescent="0.3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x14ac:dyDescent="0.3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175500</v>
      </c>
      <c r="K59" s="7"/>
      <c r="V59" s="5">
        <f>SUM(V6:V58)</f>
        <v>32</v>
      </c>
      <c r="W59" s="5">
        <f>SUM(W6:W58)</f>
        <v>2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667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44652</v>
      </c>
      <c r="D67" s="67" t="s">
        <v>18</v>
      </c>
      <c r="E67" s="67" t="s">
        <v>70</v>
      </c>
      <c r="F67" s="68">
        <v>762</v>
      </c>
      <c r="G67" s="68">
        <v>774</v>
      </c>
      <c r="H67" s="97">
        <f>774-762</f>
        <v>12</v>
      </c>
      <c r="I67" s="68">
        <v>1200</v>
      </c>
      <c r="J67" s="92">
        <f>H67*I67</f>
        <v>14400</v>
      </c>
      <c r="K67" s="7"/>
      <c r="V67" s="5">
        <f t="shared" ref="V67:V128" si="5">IF($J67&gt;0,1,0)</f>
        <v>1</v>
      </c>
      <c r="W67" s="5">
        <f t="shared" ref="W67:W128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44652</v>
      </c>
      <c r="D68" s="67" t="s">
        <v>18</v>
      </c>
      <c r="E68" s="67" t="s">
        <v>670</v>
      </c>
      <c r="F68" s="97">
        <v>4340</v>
      </c>
      <c r="G68" s="97">
        <v>4396</v>
      </c>
      <c r="H68" s="97">
        <f>4396-4340</f>
        <v>56</v>
      </c>
      <c r="I68" s="20">
        <v>125</v>
      </c>
      <c r="J68" s="21">
        <f>H68*I68</f>
        <v>7000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8" si="7">B68+1</f>
        <v>3</v>
      </c>
      <c r="C69" s="18">
        <v>44655</v>
      </c>
      <c r="D69" s="19" t="s">
        <v>18</v>
      </c>
      <c r="E69" s="19" t="s">
        <v>71</v>
      </c>
      <c r="F69" s="35">
        <v>2660</v>
      </c>
      <c r="G69" s="97">
        <v>2680</v>
      </c>
      <c r="H69" s="35">
        <v>-20</v>
      </c>
      <c r="I69" s="20">
        <v>250</v>
      </c>
      <c r="J69" s="21">
        <f>H69*I69</f>
        <v>-5000</v>
      </c>
      <c r="K69" s="7"/>
      <c r="V69" s="5">
        <f t="shared" si="5"/>
        <v>0</v>
      </c>
      <c r="W69" s="5">
        <f t="shared" si="6"/>
        <v>1</v>
      </c>
    </row>
    <row r="70" spans="1:23" s="36" customFormat="1" x14ac:dyDescent="0.3">
      <c r="A70" s="6"/>
      <c r="B70" s="17">
        <f t="shared" si="7"/>
        <v>4</v>
      </c>
      <c r="C70" s="18">
        <v>44656</v>
      </c>
      <c r="D70" s="19" t="s">
        <v>18</v>
      </c>
      <c r="E70" s="19" t="s">
        <v>671</v>
      </c>
      <c r="F70" s="35">
        <v>3550</v>
      </c>
      <c r="G70" s="97">
        <v>3590</v>
      </c>
      <c r="H70" s="35">
        <f>3590-3550</f>
        <v>40</v>
      </c>
      <c r="I70" s="20">
        <v>200</v>
      </c>
      <c r="J70" s="21">
        <f>H70*I70</f>
        <v>8000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44657</v>
      </c>
      <c r="D71" s="19" t="s">
        <v>18</v>
      </c>
      <c r="E71" s="19" t="s">
        <v>490</v>
      </c>
      <c r="F71" s="35">
        <v>805</v>
      </c>
      <c r="G71" s="97">
        <v>809</v>
      </c>
      <c r="H71" s="35">
        <v>4</v>
      </c>
      <c r="I71" s="20">
        <v>1300</v>
      </c>
      <c r="J71" s="21">
        <f>H71*I71</f>
        <v>5200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44657</v>
      </c>
      <c r="D72" s="19" t="s">
        <v>18</v>
      </c>
      <c r="E72" s="19" t="s">
        <v>375</v>
      </c>
      <c r="F72" s="20">
        <v>1720</v>
      </c>
      <c r="G72" s="97">
        <v>1704</v>
      </c>
      <c r="H72" s="35">
        <v>-16</v>
      </c>
      <c r="I72" s="20">
        <v>475</v>
      </c>
      <c r="J72" s="21">
        <f t="shared" ref="J72:J128" si="8">I72*H72</f>
        <v>-7600</v>
      </c>
      <c r="K72" s="7"/>
      <c r="V72" s="5">
        <f t="shared" si="5"/>
        <v>0</v>
      </c>
      <c r="W72" s="5">
        <f t="shared" si="6"/>
        <v>1</v>
      </c>
    </row>
    <row r="73" spans="1:23" s="36" customFormat="1" x14ac:dyDescent="0.3">
      <c r="A73" s="6"/>
      <c r="B73" s="17">
        <f t="shared" si="7"/>
        <v>7</v>
      </c>
      <c r="C73" s="18">
        <v>44658</v>
      </c>
      <c r="D73" s="19" t="s">
        <v>18</v>
      </c>
      <c r="E73" s="19" t="s">
        <v>70</v>
      </c>
      <c r="F73" s="35">
        <v>781</v>
      </c>
      <c r="G73" s="97">
        <v>793</v>
      </c>
      <c r="H73" s="35">
        <f>793-781</f>
        <v>12</v>
      </c>
      <c r="I73" s="20">
        <v>1200</v>
      </c>
      <c r="J73" s="21">
        <f t="shared" si="8"/>
        <v>14400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44658</v>
      </c>
      <c r="D74" s="19" t="s">
        <v>18</v>
      </c>
      <c r="E74" s="19" t="s">
        <v>204</v>
      </c>
      <c r="F74" s="35">
        <v>1470</v>
      </c>
      <c r="G74" s="97">
        <v>1478</v>
      </c>
      <c r="H74" s="35">
        <v>8</v>
      </c>
      <c r="I74" s="20">
        <v>600</v>
      </c>
      <c r="J74" s="21">
        <f t="shared" si="8"/>
        <v>4800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44659</v>
      </c>
      <c r="D75" s="19" t="s">
        <v>18</v>
      </c>
      <c r="E75" s="19" t="s">
        <v>71</v>
      </c>
      <c r="F75" s="35">
        <v>2615</v>
      </c>
      <c r="G75" s="97">
        <v>2630</v>
      </c>
      <c r="H75" s="35">
        <v>15</v>
      </c>
      <c r="I75" s="20">
        <v>250</v>
      </c>
      <c r="J75" s="21">
        <f t="shared" si="8"/>
        <v>3750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44659</v>
      </c>
      <c r="D76" s="19" t="s">
        <v>18</v>
      </c>
      <c r="E76" s="19" t="s">
        <v>445</v>
      </c>
      <c r="F76" s="35">
        <v>1400</v>
      </c>
      <c r="G76" s="97">
        <v>1411</v>
      </c>
      <c r="H76" s="35">
        <v>11</v>
      </c>
      <c r="I76" s="20">
        <v>1200</v>
      </c>
      <c r="J76" s="21">
        <f t="shared" si="8"/>
        <v>13200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>
        <v>44662</v>
      </c>
      <c r="D77" s="19" t="s">
        <v>18</v>
      </c>
      <c r="E77" s="19" t="s">
        <v>279</v>
      </c>
      <c r="F77" s="19">
        <v>1010</v>
      </c>
      <c r="G77" s="97">
        <v>1026</v>
      </c>
      <c r="H77" s="35">
        <v>16</v>
      </c>
      <c r="I77" s="20">
        <v>600</v>
      </c>
      <c r="J77" s="21">
        <f t="shared" si="8"/>
        <v>9600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>
        <v>44662</v>
      </c>
      <c r="D78" s="19" t="s">
        <v>69</v>
      </c>
      <c r="E78" s="19" t="s">
        <v>71</v>
      </c>
      <c r="F78" s="35">
        <v>2595</v>
      </c>
      <c r="G78" s="97">
        <v>2615</v>
      </c>
      <c r="H78" s="35">
        <f>2615-2595</f>
        <v>20</v>
      </c>
      <c r="I78" s="20">
        <v>250</v>
      </c>
      <c r="J78" s="21">
        <f t="shared" si="8"/>
        <v>5000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44663</v>
      </c>
      <c r="D79" s="19" t="s">
        <v>69</v>
      </c>
      <c r="E79" s="19" t="s">
        <v>71</v>
      </c>
      <c r="F79" s="35">
        <v>2585</v>
      </c>
      <c r="G79" s="97">
        <v>2567</v>
      </c>
      <c r="H79" s="35">
        <f>2585-2567</f>
        <v>18</v>
      </c>
      <c r="I79" s="20">
        <v>250</v>
      </c>
      <c r="J79" s="21">
        <f t="shared" si="8"/>
        <v>4500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44663</v>
      </c>
      <c r="D80" s="19" t="s">
        <v>18</v>
      </c>
      <c r="E80" s="19" t="s">
        <v>488</v>
      </c>
      <c r="F80" s="77">
        <v>1930</v>
      </c>
      <c r="G80" s="97">
        <v>1950</v>
      </c>
      <c r="H80" s="78">
        <v>20</v>
      </c>
      <c r="I80" s="20">
        <v>407</v>
      </c>
      <c r="J80" s="21">
        <f t="shared" si="8"/>
        <v>8140</v>
      </c>
      <c r="K80" s="7"/>
      <c r="V80" s="5">
        <f t="shared" si="5"/>
        <v>1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>
        <v>44664</v>
      </c>
      <c r="D81" s="19" t="s">
        <v>18</v>
      </c>
      <c r="E81" s="19" t="s">
        <v>390</v>
      </c>
      <c r="F81" s="35">
        <v>4730</v>
      </c>
      <c r="G81" s="97">
        <v>4752</v>
      </c>
      <c r="H81" s="78">
        <v>12</v>
      </c>
      <c r="I81" s="20">
        <v>125</v>
      </c>
      <c r="J81" s="21">
        <f t="shared" si="8"/>
        <v>1500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>
        <v>44669</v>
      </c>
      <c r="D82" s="19" t="s">
        <v>18</v>
      </c>
      <c r="E82" s="19" t="s">
        <v>672</v>
      </c>
      <c r="F82" s="35">
        <v>161.5</v>
      </c>
      <c r="G82" s="97">
        <v>163</v>
      </c>
      <c r="H82" s="78">
        <f>163-161.5</f>
        <v>1.5</v>
      </c>
      <c r="I82" s="20">
        <v>5700</v>
      </c>
      <c r="J82" s="21">
        <f t="shared" si="8"/>
        <v>8550</v>
      </c>
      <c r="K82" s="7"/>
      <c r="V82" s="5">
        <f t="shared" si="5"/>
        <v>1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>
        <v>44670</v>
      </c>
      <c r="D83" s="19" t="s">
        <v>18</v>
      </c>
      <c r="E83" s="19" t="s">
        <v>70</v>
      </c>
      <c r="F83" s="35">
        <v>806</v>
      </c>
      <c r="G83" s="97">
        <v>815</v>
      </c>
      <c r="H83" s="35">
        <f>815-806</f>
        <v>9</v>
      </c>
      <c r="I83" s="20">
        <v>1200</v>
      </c>
      <c r="J83" s="21">
        <f t="shared" si="8"/>
        <v>10800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>
        <v>44670</v>
      </c>
      <c r="D84" s="19" t="s">
        <v>18</v>
      </c>
      <c r="E84" s="19" t="s">
        <v>430</v>
      </c>
      <c r="F84" s="35">
        <v>293</v>
      </c>
      <c r="G84" s="97">
        <v>297</v>
      </c>
      <c r="H84" s="35">
        <f>297-293</f>
        <v>4</v>
      </c>
      <c r="I84" s="20">
        <v>2700</v>
      </c>
      <c r="J84" s="21">
        <f t="shared" si="8"/>
        <v>10800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>
        <v>44671</v>
      </c>
      <c r="D85" s="19" t="s">
        <v>18</v>
      </c>
      <c r="E85" s="19" t="s">
        <v>181</v>
      </c>
      <c r="F85" s="35">
        <v>1900</v>
      </c>
      <c r="G85" s="97">
        <v>1907</v>
      </c>
      <c r="H85" s="35">
        <v>7</v>
      </c>
      <c r="I85" s="20">
        <v>250</v>
      </c>
      <c r="J85" s="21">
        <f t="shared" si="8"/>
        <v>1750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>
        <v>44671</v>
      </c>
      <c r="D86" s="19" t="s">
        <v>69</v>
      </c>
      <c r="E86" s="19" t="s">
        <v>70</v>
      </c>
      <c r="F86" s="35">
        <v>798</v>
      </c>
      <c r="G86" s="97">
        <v>792</v>
      </c>
      <c r="H86" s="35">
        <v>6</v>
      </c>
      <c r="I86" s="20">
        <v>1200</v>
      </c>
      <c r="J86" s="21">
        <f t="shared" si="8"/>
        <v>7200</v>
      </c>
      <c r="K86" s="7"/>
      <c r="V86" s="5">
        <f t="shared" si="5"/>
        <v>1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>
        <v>44672</v>
      </c>
      <c r="D87" s="19" t="s">
        <v>18</v>
      </c>
      <c r="E87" s="19" t="s">
        <v>609</v>
      </c>
      <c r="F87" s="35">
        <v>3115</v>
      </c>
      <c r="G87" s="97">
        <v>3175</v>
      </c>
      <c r="H87" s="35">
        <f>3175-3115</f>
        <v>60</v>
      </c>
      <c r="I87" s="20">
        <v>150</v>
      </c>
      <c r="J87" s="21">
        <f t="shared" si="8"/>
        <v>9000</v>
      </c>
      <c r="K87" s="7"/>
      <c r="V87" s="5">
        <f t="shared" si="5"/>
        <v>1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>
        <v>44672</v>
      </c>
      <c r="D88" s="19" t="s">
        <v>69</v>
      </c>
      <c r="E88" s="19" t="s">
        <v>70</v>
      </c>
      <c r="F88" s="35">
        <v>795</v>
      </c>
      <c r="G88" s="97">
        <v>792.5</v>
      </c>
      <c r="H88" s="35">
        <f>795-792.5</f>
        <v>2.5</v>
      </c>
      <c r="I88" s="20">
        <v>1200</v>
      </c>
      <c r="J88" s="21">
        <f t="shared" si="8"/>
        <v>3000</v>
      </c>
      <c r="K88" s="7"/>
      <c r="V88" s="5">
        <f t="shared" si="5"/>
        <v>1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>
        <v>44673</v>
      </c>
      <c r="D89" s="19" t="s">
        <v>18</v>
      </c>
      <c r="E89" s="19" t="s">
        <v>496</v>
      </c>
      <c r="F89" s="35">
        <v>2800</v>
      </c>
      <c r="G89" s="97">
        <v>2813</v>
      </c>
      <c r="H89" s="35">
        <v>13</v>
      </c>
      <c r="I89" s="20">
        <v>300</v>
      </c>
      <c r="J89" s="21">
        <f t="shared" si="8"/>
        <v>3900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>
        <v>44673</v>
      </c>
      <c r="D90" s="19" t="s">
        <v>18</v>
      </c>
      <c r="E90" s="19" t="s">
        <v>545</v>
      </c>
      <c r="F90" s="35">
        <v>1730</v>
      </c>
      <c r="G90" s="97">
        <v>1738</v>
      </c>
      <c r="H90" s="35">
        <v>8</v>
      </c>
      <c r="I90" s="20">
        <v>475</v>
      </c>
      <c r="J90" s="21">
        <f t="shared" si="8"/>
        <v>3800</v>
      </c>
      <c r="K90" s="7"/>
      <c r="V90" s="5">
        <f t="shared" si="5"/>
        <v>1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>
        <v>44676</v>
      </c>
      <c r="D91" s="19" t="s">
        <v>18</v>
      </c>
      <c r="E91" s="19" t="s">
        <v>311</v>
      </c>
      <c r="F91" s="35">
        <v>386</v>
      </c>
      <c r="G91" s="97">
        <v>388</v>
      </c>
      <c r="H91" s="35">
        <v>2</v>
      </c>
      <c r="I91" s="20">
        <v>1500</v>
      </c>
      <c r="J91" s="21">
        <f t="shared" si="8"/>
        <v>3000</v>
      </c>
      <c r="K91" s="7"/>
      <c r="V91" s="5">
        <f t="shared" si="5"/>
        <v>1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>
        <v>44676</v>
      </c>
      <c r="D92" s="19" t="s">
        <v>18</v>
      </c>
      <c r="E92" s="19" t="s">
        <v>71</v>
      </c>
      <c r="F92" s="35">
        <v>2745</v>
      </c>
      <c r="G92" s="97">
        <v>2725</v>
      </c>
      <c r="H92" s="35">
        <v>-20</v>
      </c>
      <c r="I92" s="20">
        <v>250</v>
      </c>
      <c r="J92" s="21">
        <f t="shared" si="8"/>
        <v>-5000</v>
      </c>
      <c r="K92" s="7"/>
      <c r="V92" s="5">
        <f t="shared" si="5"/>
        <v>0</v>
      </c>
      <c r="W92" s="5">
        <f t="shared" si="6"/>
        <v>1</v>
      </c>
    </row>
    <row r="93" spans="1:23" s="36" customFormat="1" x14ac:dyDescent="0.3">
      <c r="A93" s="6"/>
      <c r="B93" s="17">
        <f t="shared" si="7"/>
        <v>27</v>
      </c>
      <c r="C93" s="18">
        <v>44677</v>
      </c>
      <c r="D93" s="19" t="s">
        <v>18</v>
      </c>
      <c r="E93" s="19" t="s">
        <v>359</v>
      </c>
      <c r="F93" s="35">
        <v>931</v>
      </c>
      <c r="G93" s="97">
        <v>935</v>
      </c>
      <c r="H93" s="35">
        <v>4</v>
      </c>
      <c r="I93" s="20">
        <v>700</v>
      </c>
      <c r="J93" s="21">
        <f t="shared" si="8"/>
        <v>2800</v>
      </c>
      <c r="K93" s="7"/>
      <c r="V93" s="5">
        <f t="shared" si="5"/>
        <v>1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>
        <v>44678</v>
      </c>
      <c r="D94" s="19" t="s">
        <v>18</v>
      </c>
      <c r="E94" s="19" t="s">
        <v>71</v>
      </c>
      <c r="F94" s="35">
        <v>2810</v>
      </c>
      <c r="G94" s="97">
        <v>2018</v>
      </c>
      <c r="H94" s="35">
        <v>8</v>
      </c>
      <c r="I94" s="20">
        <v>250</v>
      </c>
      <c r="J94" s="21">
        <f t="shared" si="8"/>
        <v>2000</v>
      </c>
      <c r="K94" s="7"/>
      <c r="V94" s="5">
        <f t="shared" si="5"/>
        <v>1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>
        <v>44678</v>
      </c>
      <c r="D95" s="19" t="s">
        <v>18</v>
      </c>
      <c r="E95" s="19" t="s">
        <v>414</v>
      </c>
      <c r="F95" s="35">
        <v>1280</v>
      </c>
      <c r="G95" s="97">
        <v>1270</v>
      </c>
      <c r="H95" s="35">
        <v>-10</v>
      </c>
      <c r="I95" s="20">
        <v>500</v>
      </c>
      <c r="J95" s="21">
        <f t="shared" si="8"/>
        <v>-5000</v>
      </c>
      <c r="K95" s="7"/>
      <c r="V95" s="5">
        <f t="shared" si="5"/>
        <v>0</v>
      </c>
      <c r="W95" s="5">
        <f t="shared" si="6"/>
        <v>1</v>
      </c>
    </row>
    <row r="96" spans="1:23" s="36" customFormat="1" x14ac:dyDescent="0.3">
      <c r="A96" s="6"/>
      <c r="B96" s="17">
        <f t="shared" si="7"/>
        <v>30</v>
      </c>
      <c r="C96" s="18">
        <v>44679</v>
      </c>
      <c r="D96" s="19" t="s">
        <v>18</v>
      </c>
      <c r="E96" s="19" t="s">
        <v>609</v>
      </c>
      <c r="F96" s="35">
        <v>3230</v>
      </c>
      <c r="G96" s="97">
        <v>3260</v>
      </c>
      <c r="H96" s="35">
        <v>30</v>
      </c>
      <c r="I96" s="20">
        <v>150</v>
      </c>
      <c r="J96" s="21">
        <f t="shared" si="8"/>
        <v>4500</v>
      </c>
      <c r="K96" s="7"/>
      <c r="V96" s="5">
        <f t="shared" si="5"/>
        <v>1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>
        <v>44680</v>
      </c>
      <c r="D97" s="19" t="s">
        <v>18</v>
      </c>
      <c r="E97" s="19" t="s">
        <v>302</v>
      </c>
      <c r="F97" s="35">
        <v>828</v>
      </c>
      <c r="G97" s="97">
        <v>834</v>
      </c>
      <c r="H97" s="35">
        <v>6</v>
      </c>
      <c r="I97" s="20">
        <v>675</v>
      </c>
      <c r="J97" s="21">
        <f t="shared" si="8"/>
        <v>4050</v>
      </c>
      <c r="K97" s="7"/>
      <c r="V97" s="5">
        <f t="shared" si="5"/>
        <v>1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>
        <v>44680</v>
      </c>
      <c r="D98" s="19" t="s">
        <v>18</v>
      </c>
      <c r="E98" s="19" t="s">
        <v>75</v>
      </c>
      <c r="F98" s="35">
        <v>762</v>
      </c>
      <c r="G98" s="97">
        <v>763.05</v>
      </c>
      <c r="H98" s="35">
        <v>1.5</v>
      </c>
      <c r="I98" s="20">
        <v>1375</v>
      </c>
      <c r="J98" s="21">
        <f t="shared" si="8"/>
        <v>2062.5</v>
      </c>
      <c r="K98" s="7"/>
      <c r="V98" s="5">
        <f t="shared" si="5"/>
        <v>1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/>
      <c r="D99" s="19"/>
      <c r="E99" s="19"/>
      <c r="F99" s="35"/>
      <c r="G99" s="97"/>
      <c r="H99" s="35"/>
      <c r="I99" s="20"/>
      <c r="J99" s="21">
        <f t="shared" si="8"/>
        <v>0</v>
      </c>
      <c r="K99" s="7"/>
      <c r="V99" s="5">
        <f t="shared" si="5"/>
        <v>0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ht="15" thickBot="1" x14ac:dyDescent="0.35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ht="15" hidden="1" thickBot="1" x14ac:dyDescent="0.35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t="15" hidden="1" thickBot="1" x14ac:dyDescent="0.35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t="15" hidden="1" thickBot="1" x14ac:dyDescent="0.35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t="15" hidden="1" thickBot="1" x14ac:dyDescent="0.35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t="15" hidden="1" thickBot="1" x14ac:dyDescent="0.35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t="15" hidden="1" thickBot="1" x14ac:dyDescent="0.35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t="15" hidden="1" thickBot="1" x14ac:dyDescent="0.35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t="15" hidden="1" thickBot="1" x14ac:dyDescent="0.35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t="15" hidden="1" thickBot="1" x14ac:dyDescent="0.35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t="15" hidden="1" thickBot="1" x14ac:dyDescent="0.35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hidden="1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15" hidden="1" thickBot="1" x14ac:dyDescent="0.35">
      <c r="A121" s="6"/>
      <c r="B121" s="17">
        <f t="shared" si="7"/>
        <v>51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52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15" hidden="1" thickBot="1" x14ac:dyDescent="0.35">
      <c r="A123" s="6"/>
      <c r="B123" s="17">
        <f t="shared" si="7"/>
        <v>53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hidden="1" thickBot="1" x14ac:dyDescent="0.35">
      <c r="A124" s="6"/>
      <c r="B124" s="17">
        <f t="shared" si="7"/>
        <v>54</v>
      </c>
      <c r="C124" s="18"/>
      <c r="D124" s="19"/>
      <c r="E124" s="19"/>
      <c r="F124" s="35"/>
      <c r="G124" s="35"/>
      <c r="H124" s="35"/>
      <c r="I124" s="20"/>
      <c r="J124" s="21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15" hidden="1" thickBot="1" x14ac:dyDescent="0.35">
      <c r="A125" s="6"/>
      <c r="B125" s="17">
        <f t="shared" si="7"/>
        <v>55</v>
      </c>
      <c r="C125" s="18"/>
      <c r="D125" s="19"/>
      <c r="E125" s="19"/>
      <c r="F125" s="35"/>
      <c r="G125" s="35"/>
      <c r="H125" s="35"/>
      <c r="I125" s="20"/>
      <c r="J125" s="21">
        <f t="shared" si="8"/>
        <v>0</v>
      </c>
      <c r="K125" s="7"/>
      <c r="V125" s="5">
        <f t="shared" si="5"/>
        <v>0</v>
      </c>
      <c r="W125" s="5">
        <f t="shared" si="6"/>
        <v>0</v>
      </c>
    </row>
    <row r="126" spans="1:23" s="36" customFormat="1" ht="15" hidden="1" thickBot="1" x14ac:dyDescent="0.35">
      <c r="A126" s="6"/>
      <c r="B126" s="17">
        <f t="shared" si="7"/>
        <v>56</v>
      </c>
      <c r="C126" s="18"/>
      <c r="D126" s="19"/>
      <c r="E126" s="19"/>
      <c r="F126" s="35"/>
      <c r="G126" s="35"/>
      <c r="H126" s="35"/>
      <c r="I126" s="20"/>
      <c r="J126" s="21">
        <f t="shared" si="8"/>
        <v>0</v>
      </c>
      <c r="K126" s="7"/>
      <c r="V126" s="5">
        <f t="shared" si="5"/>
        <v>0</v>
      </c>
      <c r="W126" s="5">
        <f t="shared" si="6"/>
        <v>0</v>
      </c>
    </row>
    <row r="127" spans="1:23" s="36" customFormat="1" ht="15" hidden="1" thickBot="1" x14ac:dyDescent="0.35">
      <c r="A127" s="6"/>
      <c r="B127" s="17">
        <f t="shared" si="7"/>
        <v>57</v>
      </c>
      <c r="C127" s="18"/>
      <c r="D127" s="19"/>
      <c r="E127" s="19"/>
      <c r="F127" s="35"/>
      <c r="G127" s="35"/>
      <c r="H127" s="35"/>
      <c r="I127" s="20"/>
      <c r="J127" s="21">
        <f t="shared" si="8"/>
        <v>0</v>
      </c>
      <c r="K127" s="7"/>
      <c r="V127" s="5">
        <f t="shared" si="5"/>
        <v>0</v>
      </c>
      <c r="W127" s="5">
        <f t="shared" si="6"/>
        <v>0</v>
      </c>
    </row>
    <row r="128" spans="1:23" s="36" customFormat="1" ht="15" hidden="1" thickBot="1" x14ac:dyDescent="0.35">
      <c r="A128" s="6"/>
      <c r="B128" s="17">
        <f t="shared" si="7"/>
        <v>58</v>
      </c>
      <c r="C128" s="79"/>
      <c r="D128" s="80"/>
      <c r="E128" s="80"/>
      <c r="F128" s="81"/>
      <c r="G128" s="81"/>
      <c r="H128" s="80"/>
      <c r="I128" s="81"/>
      <c r="J128" s="82">
        <f t="shared" si="8"/>
        <v>0</v>
      </c>
      <c r="K128" s="7"/>
      <c r="V128" s="5">
        <f t="shared" si="5"/>
        <v>0</v>
      </c>
      <c r="W128" s="5">
        <f t="shared" si="6"/>
        <v>0</v>
      </c>
    </row>
    <row r="129" spans="1:23" s="36" customFormat="1" ht="24" thickBot="1" x14ac:dyDescent="0.5">
      <c r="A129" s="6"/>
      <c r="B129" s="144" t="s">
        <v>22</v>
      </c>
      <c r="C129" s="145"/>
      <c r="D129" s="145"/>
      <c r="E129" s="145"/>
      <c r="F129" s="145"/>
      <c r="G129" s="145"/>
      <c r="H129" s="146"/>
      <c r="I129" s="83" t="s">
        <v>23</v>
      </c>
      <c r="J129" s="84">
        <f>SUM(J67:J128)</f>
        <v>154102.5</v>
      </c>
      <c r="K129" s="7"/>
      <c r="L129" s="5"/>
      <c r="M129" s="5"/>
      <c r="N129" s="5"/>
      <c r="O129" s="5"/>
      <c r="P129" s="5"/>
      <c r="Q129" s="5"/>
      <c r="R129" s="5"/>
      <c r="V129" s="36">
        <f>SUM(V67:V128)</f>
        <v>28</v>
      </c>
      <c r="W129" s="36">
        <f>SUM(W67:W128)</f>
        <v>4</v>
      </c>
    </row>
    <row r="130" spans="1:23" s="36" customFormat="1" ht="30" customHeight="1" thickBot="1" x14ac:dyDescent="0.35">
      <c r="A130" s="30"/>
      <c r="B130" s="31"/>
      <c r="C130" s="31"/>
      <c r="D130" s="31"/>
      <c r="E130" s="31"/>
      <c r="F130" s="31"/>
      <c r="G130" s="31"/>
      <c r="H130" s="32"/>
      <c r="I130" s="31"/>
      <c r="J130" s="32"/>
      <c r="K130" s="33"/>
      <c r="L130" s="5"/>
      <c r="M130" s="5"/>
      <c r="N130" s="5"/>
      <c r="O130" s="5"/>
      <c r="P130" s="5"/>
      <c r="Q130" s="5"/>
      <c r="R130" s="5"/>
    </row>
    <row r="131" spans="1:23" ht="15" thickBot="1" x14ac:dyDescent="0.35"/>
    <row r="132" spans="1:23" s="36" customFormat="1" ht="30" customHeight="1" thickBot="1" x14ac:dyDescent="0.35">
      <c r="A132" s="1"/>
      <c r="B132" s="2"/>
      <c r="C132" s="2"/>
      <c r="D132" s="2"/>
      <c r="E132" s="2"/>
      <c r="F132" s="2"/>
      <c r="G132" s="2"/>
      <c r="H132" s="3"/>
      <c r="I132" s="2"/>
      <c r="J132" s="3"/>
      <c r="K132" s="4"/>
    </row>
    <row r="133" spans="1:23" s="36" customFormat="1" ht="25.2" thickBot="1" x14ac:dyDescent="0.35">
      <c r="A133" s="6" t="s">
        <v>1</v>
      </c>
      <c r="B133" s="119" t="s">
        <v>2</v>
      </c>
      <c r="C133" s="120"/>
      <c r="D133" s="120"/>
      <c r="E133" s="120"/>
      <c r="F133" s="120"/>
      <c r="G133" s="120"/>
      <c r="H133" s="120"/>
      <c r="I133" s="120"/>
      <c r="J133" s="121"/>
      <c r="K133" s="7"/>
    </row>
    <row r="134" spans="1:23" s="36" customFormat="1" ht="16.2" thickBot="1" x14ac:dyDescent="0.35">
      <c r="A134" s="6"/>
      <c r="B134" s="168" t="s">
        <v>668</v>
      </c>
      <c r="C134" s="169"/>
      <c r="D134" s="169"/>
      <c r="E134" s="169"/>
      <c r="F134" s="169"/>
      <c r="G134" s="169"/>
      <c r="H134" s="169"/>
      <c r="I134" s="169"/>
      <c r="J134" s="170"/>
      <c r="K134" s="7"/>
      <c r="L134" s="22"/>
    </row>
    <row r="135" spans="1:23" s="36" customFormat="1" ht="16.2" thickBot="1" x14ac:dyDescent="0.35">
      <c r="A135" s="6"/>
      <c r="B135" s="106" t="s">
        <v>215</v>
      </c>
      <c r="C135" s="107"/>
      <c r="D135" s="107"/>
      <c r="E135" s="107"/>
      <c r="F135" s="107"/>
      <c r="G135" s="107"/>
      <c r="H135" s="107"/>
      <c r="I135" s="107"/>
      <c r="J135" s="108"/>
      <c r="K135" s="7"/>
    </row>
    <row r="136" spans="1:23" s="22" customFormat="1" ht="15" thickBot="1" x14ac:dyDescent="0.35">
      <c r="A136" s="69"/>
      <c r="B136" s="70" t="s">
        <v>9</v>
      </c>
      <c r="C136" s="71" t="s">
        <v>10</v>
      </c>
      <c r="D136" s="72" t="s">
        <v>11</v>
      </c>
      <c r="E136" s="72" t="s">
        <v>12</v>
      </c>
      <c r="F136" s="73" t="s">
        <v>65</v>
      </c>
      <c r="G136" s="73" t="s">
        <v>66</v>
      </c>
      <c r="H136" s="74" t="s">
        <v>67</v>
      </c>
      <c r="I136" s="73" t="s">
        <v>68</v>
      </c>
      <c r="J136" s="75" t="s">
        <v>17</v>
      </c>
      <c r="K136" s="76"/>
      <c r="L136" s="36"/>
      <c r="M136" s="36"/>
      <c r="N136" s="36"/>
      <c r="O136" s="36" t="s">
        <v>21</v>
      </c>
      <c r="P136" s="36"/>
      <c r="Q136" s="36"/>
      <c r="R136" s="36"/>
      <c r="V136" s="5" t="s">
        <v>5</v>
      </c>
      <c r="W136" s="5" t="s">
        <v>6</v>
      </c>
    </row>
    <row r="137" spans="1:23" s="36" customFormat="1" x14ac:dyDescent="0.3">
      <c r="A137" s="6"/>
      <c r="B137" s="14">
        <v>1</v>
      </c>
      <c r="C137" s="93">
        <v>44652</v>
      </c>
      <c r="D137" s="94" t="s">
        <v>18</v>
      </c>
      <c r="E137" s="94" t="s">
        <v>480</v>
      </c>
      <c r="F137" s="60">
        <v>105</v>
      </c>
      <c r="G137" s="60">
        <v>135</v>
      </c>
      <c r="H137" s="60">
        <v>50</v>
      </c>
      <c r="I137" s="15">
        <v>300</v>
      </c>
      <c r="J137" s="16">
        <f t="shared" ref="J137:J182" si="9">I137*H137</f>
        <v>15000</v>
      </c>
      <c r="K137" s="7"/>
      <c r="V137" s="5">
        <f t="shared" ref="V137:V182" si="10">IF($J137&gt;0,1,0)</f>
        <v>1</v>
      </c>
      <c r="W137" s="5">
        <f t="shared" ref="W137:W182" si="11">IF($J137&lt;0,1,0)</f>
        <v>0</v>
      </c>
    </row>
    <row r="138" spans="1:23" s="36" customFormat="1" x14ac:dyDescent="0.3">
      <c r="A138" s="6"/>
      <c r="B138" s="17">
        <f>B137+1</f>
        <v>2</v>
      </c>
      <c r="C138" s="18">
        <v>44652</v>
      </c>
      <c r="D138" s="19" t="s">
        <v>18</v>
      </c>
      <c r="E138" s="19" t="s">
        <v>481</v>
      </c>
      <c r="F138" s="35">
        <v>100</v>
      </c>
      <c r="G138" s="35">
        <v>130</v>
      </c>
      <c r="H138" s="35">
        <v>30</v>
      </c>
      <c r="I138" s="20">
        <v>300</v>
      </c>
      <c r="J138" s="21">
        <f t="shared" si="9"/>
        <v>9000</v>
      </c>
      <c r="K138" s="7"/>
      <c r="L138" s="36" t="s">
        <v>21</v>
      </c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ref="B139:B159" si="12">B138+1</f>
        <v>3</v>
      </c>
      <c r="C139" s="18">
        <v>44655</v>
      </c>
      <c r="D139" s="19" t="s">
        <v>18</v>
      </c>
      <c r="E139" s="19" t="s">
        <v>526</v>
      </c>
      <c r="F139" s="35">
        <v>105</v>
      </c>
      <c r="G139" s="35">
        <v>135</v>
      </c>
      <c r="H139" s="35">
        <v>30</v>
      </c>
      <c r="I139" s="20">
        <v>300</v>
      </c>
      <c r="J139" s="21">
        <f t="shared" si="9"/>
        <v>9000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4</v>
      </c>
      <c r="C140" s="18">
        <v>44655</v>
      </c>
      <c r="D140" s="19" t="s">
        <v>18</v>
      </c>
      <c r="E140" s="19" t="s">
        <v>528</v>
      </c>
      <c r="F140" s="35">
        <v>80</v>
      </c>
      <c r="G140" s="35">
        <v>88</v>
      </c>
      <c r="H140" s="35">
        <v>8</v>
      </c>
      <c r="I140" s="20">
        <v>300</v>
      </c>
      <c r="J140" s="21">
        <f t="shared" si="9"/>
        <v>2400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5</v>
      </c>
      <c r="C141" s="18">
        <v>44656</v>
      </c>
      <c r="D141" s="19" t="s">
        <v>18</v>
      </c>
      <c r="E141" s="19" t="s">
        <v>537</v>
      </c>
      <c r="F141" s="35">
        <v>85</v>
      </c>
      <c r="G141" s="35">
        <v>99.95</v>
      </c>
      <c r="H141" s="35">
        <f>99.95-85</f>
        <v>14.950000000000003</v>
      </c>
      <c r="I141" s="20">
        <v>300</v>
      </c>
      <c r="J141" s="21">
        <f t="shared" si="9"/>
        <v>4485.0000000000009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6</v>
      </c>
      <c r="C142" s="18">
        <v>44656</v>
      </c>
      <c r="D142" s="19" t="s">
        <v>18</v>
      </c>
      <c r="E142" s="19" t="s">
        <v>537</v>
      </c>
      <c r="F142" s="20">
        <v>100</v>
      </c>
      <c r="G142" s="35">
        <v>106</v>
      </c>
      <c r="H142" s="35">
        <v>6</v>
      </c>
      <c r="I142" s="20">
        <v>300</v>
      </c>
      <c r="J142" s="21">
        <f t="shared" si="9"/>
        <v>1800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7</v>
      </c>
      <c r="C143" s="18">
        <v>44657</v>
      </c>
      <c r="D143" s="19" t="s">
        <v>18</v>
      </c>
      <c r="E143" s="19" t="s">
        <v>669</v>
      </c>
      <c r="F143" s="35">
        <v>80</v>
      </c>
      <c r="G143" s="35">
        <v>110</v>
      </c>
      <c r="H143" s="35">
        <f>110-80</f>
        <v>30</v>
      </c>
      <c r="I143" s="20">
        <v>300</v>
      </c>
      <c r="J143" s="21">
        <f t="shared" si="9"/>
        <v>9000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8</v>
      </c>
      <c r="C144" s="18">
        <v>44657</v>
      </c>
      <c r="D144" s="19" t="s">
        <v>18</v>
      </c>
      <c r="E144" s="19" t="s">
        <v>567</v>
      </c>
      <c r="F144" s="35">
        <v>60</v>
      </c>
      <c r="G144" s="35">
        <v>73</v>
      </c>
      <c r="H144" s="35">
        <v>13</v>
      </c>
      <c r="I144" s="20">
        <v>300</v>
      </c>
      <c r="J144" s="21">
        <f t="shared" si="9"/>
        <v>3900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9</v>
      </c>
      <c r="C145" s="18">
        <v>44658</v>
      </c>
      <c r="D145" s="19" t="s">
        <v>18</v>
      </c>
      <c r="E145" s="19" t="s">
        <v>483</v>
      </c>
      <c r="F145" s="35">
        <v>90</v>
      </c>
      <c r="G145" s="35">
        <v>120</v>
      </c>
      <c r="H145" s="35">
        <f>120-90</f>
        <v>30</v>
      </c>
      <c r="I145" s="20">
        <v>300</v>
      </c>
      <c r="J145" s="21">
        <f t="shared" si="9"/>
        <v>9000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10</v>
      </c>
      <c r="C146" s="18">
        <v>44659</v>
      </c>
      <c r="D146" s="19" t="s">
        <v>18</v>
      </c>
      <c r="E146" s="19" t="s">
        <v>525</v>
      </c>
      <c r="F146" s="35">
        <v>95</v>
      </c>
      <c r="G146" s="35">
        <v>125</v>
      </c>
      <c r="H146" s="35">
        <f>125-95</f>
        <v>30</v>
      </c>
      <c r="I146" s="20">
        <v>300</v>
      </c>
      <c r="J146" s="21">
        <f t="shared" si="9"/>
        <v>9000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11</v>
      </c>
      <c r="C147" s="18">
        <v>44659</v>
      </c>
      <c r="D147" s="19" t="s">
        <v>18</v>
      </c>
      <c r="E147" s="19" t="s">
        <v>478</v>
      </c>
      <c r="F147" s="19">
        <v>115</v>
      </c>
      <c r="G147" s="35">
        <v>121</v>
      </c>
      <c r="H147" s="35">
        <f>121-115</f>
        <v>6</v>
      </c>
      <c r="I147" s="20">
        <v>300</v>
      </c>
      <c r="J147" s="21">
        <f t="shared" si="9"/>
        <v>1800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12</v>
      </c>
      <c r="C148" s="18">
        <v>44662</v>
      </c>
      <c r="D148" s="19" t="s">
        <v>18</v>
      </c>
      <c r="E148" s="19" t="s">
        <v>524</v>
      </c>
      <c r="F148" s="35">
        <v>90</v>
      </c>
      <c r="G148" s="35">
        <v>100</v>
      </c>
      <c r="H148" s="35">
        <v>10</v>
      </c>
      <c r="I148" s="20">
        <v>300</v>
      </c>
      <c r="J148" s="21">
        <f t="shared" si="9"/>
        <v>3000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13</v>
      </c>
      <c r="C149" s="18">
        <v>44662</v>
      </c>
      <c r="D149" s="19" t="s">
        <v>18</v>
      </c>
      <c r="E149" s="19" t="s">
        <v>524</v>
      </c>
      <c r="F149" s="35">
        <v>90</v>
      </c>
      <c r="G149" s="35">
        <v>96</v>
      </c>
      <c r="H149" s="35">
        <v>6</v>
      </c>
      <c r="I149" s="20">
        <v>300</v>
      </c>
      <c r="J149" s="21">
        <f t="shared" si="9"/>
        <v>1800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14</v>
      </c>
      <c r="C150" s="18">
        <v>44663</v>
      </c>
      <c r="D150" s="19" t="s">
        <v>18</v>
      </c>
      <c r="E150" s="19" t="s">
        <v>573</v>
      </c>
      <c r="F150" s="77">
        <v>85</v>
      </c>
      <c r="G150" s="35">
        <v>115</v>
      </c>
      <c r="H150" s="78">
        <f>115-85</f>
        <v>30</v>
      </c>
      <c r="I150" s="20">
        <v>300</v>
      </c>
      <c r="J150" s="21">
        <f t="shared" si="9"/>
        <v>9000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15</v>
      </c>
      <c r="C151" s="18">
        <v>44663</v>
      </c>
      <c r="D151" s="19" t="s">
        <v>18</v>
      </c>
      <c r="E151" s="19" t="s">
        <v>575</v>
      </c>
      <c r="F151" s="35">
        <v>75</v>
      </c>
      <c r="G151" s="35">
        <v>99</v>
      </c>
      <c r="H151" s="78">
        <f>99-75</f>
        <v>24</v>
      </c>
      <c r="I151" s="20">
        <v>300</v>
      </c>
      <c r="J151" s="21">
        <f t="shared" si="9"/>
        <v>7200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16</v>
      </c>
      <c r="C152" s="18">
        <v>44664</v>
      </c>
      <c r="D152" s="19" t="s">
        <v>18</v>
      </c>
      <c r="E152" s="19" t="s">
        <v>486</v>
      </c>
      <c r="F152" s="35">
        <v>90</v>
      </c>
      <c r="G152" s="35">
        <v>120</v>
      </c>
      <c r="H152" s="78">
        <v>50</v>
      </c>
      <c r="I152" s="20">
        <v>300</v>
      </c>
      <c r="J152" s="21">
        <f t="shared" si="9"/>
        <v>15000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17</v>
      </c>
      <c r="C153" s="18">
        <v>44664</v>
      </c>
      <c r="D153" s="19" t="s">
        <v>18</v>
      </c>
      <c r="E153" s="19" t="s">
        <v>573</v>
      </c>
      <c r="F153" s="35">
        <v>60</v>
      </c>
      <c r="G153" s="35">
        <v>75</v>
      </c>
      <c r="H153" s="78">
        <v>15</v>
      </c>
      <c r="I153" s="20">
        <v>300</v>
      </c>
      <c r="J153" s="21">
        <f t="shared" si="9"/>
        <v>4500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2"/>
        <v>18</v>
      </c>
      <c r="C154" s="18">
        <v>44669</v>
      </c>
      <c r="D154" s="19" t="s">
        <v>18</v>
      </c>
      <c r="E154" s="19" t="s">
        <v>466</v>
      </c>
      <c r="F154" s="35">
        <v>110</v>
      </c>
      <c r="G154" s="35">
        <v>125</v>
      </c>
      <c r="H154" s="78">
        <v>15</v>
      </c>
      <c r="I154" s="20">
        <v>300</v>
      </c>
      <c r="J154" s="21">
        <f t="shared" si="9"/>
        <v>4500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2"/>
        <v>19</v>
      </c>
      <c r="C155" s="18">
        <v>44669</v>
      </c>
      <c r="D155" s="19" t="s">
        <v>18</v>
      </c>
      <c r="E155" s="19" t="s">
        <v>590</v>
      </c>
      <c r="F155" s="35">
        <v>100</v>
      </c>
      <c r="G155" s="35">
        <v>121</v>
      </c>
      <c r="H155" s="78">
        <f>121-100</f>
        <v>21</v>
      </c>
      <c r="I155" s="20">
        <v>300</v>
      </c>
      <c r="J155" s="21">
        <f t="shared" si="9"/>
        <v>6300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2"/>
        <v>20</v>
      </c>
      <c r="C156" s="18">
        <v>44670</v>
      </c>
      <c r="D156" s="19" t="s">
        <v>18</v>
      </c>
      <c r="E156" s="19" t="s">
        <v>590</v>
      </c>
      <c r="F156" s="35">
        <v>85</v>
      </c>
      <c r="G156" s="35">
        <v>90</v>
      </c>
      <c r="H156" s="35">
        <v>5</v>
      </c>
      <c r="I156" s="20">
        <v>300</v>
      </c>
      <c r="J156" s="21">
        <f t="shared" si="9"/>
        <v>1500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2"/>
        <v>21</v>
      </c>
      <c r="C157" s="18">
        <v>44670</v>
      </c>
      <c r="D157" s="19" t="s">
        <v>18</v>
      </c>
      <c r="E157" s="19" t="s">
        <v>589</v>
      </c>
      <c r="F157" s="35">
        <v>80</v>
      </c>
      <c r="G157" s="35">
        <v>109</v>
      </c>
      <c r="H157" s="35">
        <f>109-80</f>
        <v>29</v>
      </c>
      <c r="I157" s="20">
        <v>300</v>
      </c>
      <c r="J157" s="21">
        <f t="shared" si="9"/>
        <v>8700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2"/>
        <v>22</v>
      </c>
      <c r="C158" s="18">
        <v>44671</v>
      </c>
      <c r="D158" s="19" t="s">
        <v>18</v>
      </c>
      <c r="E158" s="19" t="s">
        <v>466</v>
      </c>
      <c r="F158" s="35">
        <v>90</v>
      </c>
      <c r="G158" s="35">
        <v>120</v>
      </c>
      <c r="H158" s="35">
        <v>30</v>
      </c>
      <c r="I158" s="20">
        <v>300</v>
      </c>
      <c r="J158" s="21">
        <f t="shared" si="9"/>
        <v>9000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2"/>
        <v>23</v>
      </c>
      <c r="C159" s="18">
        <v>44671</v>
      </c>
      <c r="D159" s="19" t="s">
        <v>18</v>
      </c>
      <c r="E159" s="19" t="s">
        <v>642</v>
      </c>
      <c r="F159" s="35">
        <v>90</v>
      </c>
      <c r="G159" s="35">
        <v>97</v>
      </c>
      <c r="H159" s="35">
        <v>7</v>
      </c>
      <c r="I159" s="20">
        <v>300</v>
      </c>
      <c r="J159" s="21">
        <f t="shared" si="9"/>
        <v>2100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>B159+1</f>
        <v>24</v>
      </c>
      <c r="C160" s="18">
        <v>44672</v>
      </c>
      <c r="D160" s="19" t="s">
        <v>18</v>
      </c>
      <c r="E160" s="19" t="s">
        <v>472</v>
      </c>
      <c r="F160" s="35">
        <v>65</v>
      </c>
      <c r="G160" s="35">
        <v>50</v>
      </c>
      <c r="H160" s="35">
        <v>-15</v>
      </c>
      <c r="I160" s="20">
        <v>300</v>
      </c>
      <c r="J160" s="21">
        <f t="shared" si="9"/>
        <v>-4500</v>
      </c>
      <c r="K160" s="7"/>
      <c r="V160" s="5">
        <f t="shared" si="10"/>
        <v>0</v>
      </c>
      <c r="W160" s="5">
        <f t="shared" si="11"/>
        <v>1</v>
      </c>
    </row>
    <row r="161" spans="1:23" s="36" customFormat="1" x14ac:dyDescent="0.3">
      <c r="A161" s="6"/>
      <c r="B161" s="17">
        <f t="shared" ref="B161:B182" si="13">B160+1</f>
        <v>25</v>
      </c>
      <c r="C161" s="18">
        <v>44673</v>
      </c>
      <c r="D161" s="19" t="s">
        <v>18</v>
      </c>
      <c r="E161" s="19" t="s">
        <v>473</v>
      </c>
      <c r="F161" s="35">
        <v>125</v>
      </c>
      <c r="G161" s="35">
        <v>155</v>
      </c>
      <c r="H161" s="35">
        <v>50</v>
      </c>
      <c r="I161" s="20">
        <v>300</v>
      </c>
      <c r="J161" s="21">
        <f t="shared" si="9"/>
        <v>15000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26</v>
      </c>
      <c r="C162" s="18">
        <v>44673</v>
      </c>
      <c r="D162" s="19" t="s">
        <v>18</v>
      </c>
      <c r="E162" s="19" t="s">
        <v>466</v>
      </c>
      <c r="F162" s="35">
        <v>115</v>
      </c>
      <c r="G162" s="35">
        <v>100</v>
      </c>
      <c r="H162" s="35">
        <v>-15</v>
      </c>
      <c r="I162" s="20">
        <v>300</v>
      </c>
      <c r="J162" s="21">
        <f t="shared" si="9"/>
        <v>-4500</v>
      </c>
      <c r="K162" s="7"/>
      <c r="V162" s="5">
        <f t="shared" si="10"/>
        <v>0</v>
      </c>
      <c r="W162" s="5">
        <f t="shared" si="11"/>
        <v>1</v>
      </c>
    </row>
    <row r="163" spans="1:23" s="36" customFormat="1" x14ac:dyDescent="0.3">
      <c r="A163" s="6"/>
      <c r="B163" s="17">
        <f t="shared" si="13"/>
        <v>27</v>
      </c>
      <c r="C163" s="18">
        <v>44676</v>
      </c>
      <c r="D163" s="19" t="s">
        <v>18</v>
      </c>
      <c r="E163" s="19" t="s">
        <v>666</v>
      </c>
      <c r="F163" s="35">
        <v>95</v>
      </c>
      <c r="G163" s="35">
        <v>125</v>
      </c>
      <c r="H163" s="35">
        <f>125-90</f>
        <v>35</v>
      </c>
      <c r="I163" s="20">
        <v>300</v>
      </c>
      <c r="J163" s="21">
        <f t="shared" si="9"/>
        <v>10500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28</v>
      </c>
      <c r="C164" s="18">
        <v>44676</v>
      </c>
      <c r="D164" s="19" t="s">
        <v>18</v>
      </c>
      <c r="E164" s="19" t="s">
        <v>595</v>
      </c>
      <c r="F164" s="35">
        <v>110</v>
      </c>
      <c r="G164" s="35">
        <v>140</v>
      </c>
      <c r="H164" s="35">
        <v>30</v>
      </c>
      <c r="I164" s="20">
        <v>300</v>
      </c>
      <c r="J164" s="21">
        <f t="shared" si="9"/>
        <v>9000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3"/>
        <v>29</v>
      </c>
      <c r="C165" s="18">
        <v>44677</v>
      </c>
      <c r="D165" s="19" t="s">
        <v>18</v>
      </c>
      <c r="E165" s="19" t="s">
        <v>586</v>
      </c>
      <c r="F165" s="35">
        <v>95</v>
      </c>
      <c r="G165" s="35">
        <v>80</v>
      </c>
      <c r="H165" s="35">
        <v>-15</v>
      </c>
      <c r="I165" s="20">
        <v>300</v>
      </c>
      <c r="J165" s="21">
        <f t="shared" si="9"/>
        <v>-4500</v>
      </c>
      <c r="K165" s="7"/>
      <c r="V165" s="5">
        <f t="shared" si="10"/>
        <v>0</v>
      </c>
      <c r="W165" s="5">
        <f t="shared" si="11"/>
        <v>1</v>
      </c>
    </row>
    <row r="166" spans="1:23" s="36" customFormat="1" x14ac:dyDescent="0.3">
      <c r="A166" s="6"/>
      <c r="B166" s="17">
        <f t="shared" si="13"/>
        <v>30</v>
      </c>
      <c r="C166" s="18">
        <v>44677</v>
      </c>
      <c r="D166" s="19" t="s">
        <v>18</v>
      </c>
      <c r="E166" s="19" t="s">
        <v>586</v>
      </c>
      <c r="F166" s="35">
        <v>80</v>
      </c>
      <c r="G166" s="35">
        <v>65</v>
      </c>
      <c r="H166" s="35">
        <v>-15</v>
      </c>
      <c r="I166" s="20">
        <v>300</v>
      </c>
      <c r="J166" s="21">
        <f t="shared" si="9"/>
        <v>-4500</v>
      </c>
      <c r="K166" s="7"/>
      <c r="V166" s="5">
        <f t="shared" si="10"/>
        <v>0</v>
      </c>
      <c r="W166" s="5">
        <f t="shared" si="11"/>
        <v>1</v>
      </c>
    </row>
    <row r="167" spans="1:23" s="36" customFormat="1" x14ac:dyDescent="0.3">
      <c r="A167" s="6"/>
      <c r="B167" s="17">
        <f t="shared" si="13"/>
        <v>31</v>
      </c>
      <c r="C167" s="18">
        <v>44678</v>
      </c>
      <c r="D167" s="19" t="s">
        <v>18</v>
      </c>
      <c r="E167" s="19" t="s">
        <v>590</v>
      </c>
      <c r="F167" s="35">
        <v>85</v>
      </c>
      <c r="G167" s="35">
        <v>115</v>
      </c>
      <c r="H167" s="35">
        <v>30</v>
      </c>
      <c r="I167" s="20">
        <v>300</v>
      </c>
      <c r="J167" s="21">
        <f t="shared" si="9"/>
        <v>9000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3"/>
        <v>32</v>
      </c>
      <c r="C168" s="18">
        <v>44679</v>
      </c>
      <c r="D168" s="19" t="s">
        <v>18</v>
      </c>
      <c r="E168" s="19" t="s">
        <v>466</v>
      </c>
      <c r="F168" s="35">
        <v>70</v>
      </c>
      <c r="G168" s="35">
        <v>95</v>
      </c>
      <c r="H168" s="35">
        <v>15</v>
      </c>
      <c r="I168" s="20">
        <v>300</v>
      </c>
      <c r="J168" s="21">
        <f t="shared" si="9"/>
        <v>4500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3"/>
        <v>33</v>
      </c>
      <c r="C169" s="18">
        <v>44679</v>
      </c>
      <c r="D169" s="19" t="s">
        <v>18</v>
      </c>
      <c r="E169" s="19" t="s">
        <v>467</v>
      </c>
      <c r="F169" s="35">
        <v>65</v>
      </c>
      <c r="G169" s="35">
        <v>95</v>
      </c>
      <c r="H169" s="35">
        <v>30</v>
      </c>
      <c r="I169" s="20">
        <v>300</v>
      </c>
      <c r="J169" s="21">
        <f t="shared" si="9"/>
        <v>9000</v>
      </c>
      <c r="K169" s="7"/>
      <c r="V169" s="5">
        <f t="shared" si="10"/>
        <v>1</v>
      </c>
      <c r="W169" s="5">
        <f t="shared" si="11"/>
        <v>0</v>
      </c>
    </row>
    <row r="170" spans="1:23" s="36" customFormat="1" x14ac:dyDescent="0.3">
      <c r="A170" s="6"/>
      <c r="B170" s="17">
        <f t="shared" si="13"/>
        <v>34</v>
      </c>
      <c r="C170" s="18">
        <v>44680</v>
      </c>
      <c r="D170" s="19" t="s">
        <v>18</v>
      </c>
      <c r="E170" s="19" t="s">
        <v>474</v>
      </c>
      <c r="F170" s="35">
        <v>100</v>
      </c>
      <c r="G170" s="35">
        <v>130</v>
      </c>
      <c r="H170" s="35">
        <v>30</v>
      </c>
      <c r="I170" s="20">
        <v>300</v>
      </c>
      <c r="J170" s="21">
        <f t="shared" si="9"/>
        <v>9000</v>
      </c>
      <c r="K170" s="7"/>
      <c r="V170" s="5">
        <f t="shared" si="10"/>
        <v>1</v>
      </c>
      <c r="W170" s="5">
        <f t="shared" si="11"/>
        <v>0</v>
      </c>
    </row>
    <row r="171" spans="1:23" s="36" customFormat="1" x14ac:dyDescent="0.3">
      <c r="A171" s="6"/>
      <c r="B171" s="17">
        <f t="shared" si="13"/>
        <v>35</v>
      </c>
      <c r="C171" s="18">
        <v>44680</v>
      </c>
      <c r="D171" s="19" t="s">
        <v>18</v>
      </c>
      <c r="E171" s="19" t="s">
        <v>467</v>
      </c>
      <c r="F171" s="35">
        <v>100</v>
      </c>
      <c r="G171" s="35">
        <v>106</v>
      </c>
      <c r="H171" s="35">
        <v>6</v>
      </c>
      <c r="I171" s="20">
        <v>300</v>
      </c>
      <c r="J171" s="21">
        <f t="shared" si="9"/>
        <v>1800</v>
      </c>
      <c r="K171" s="7"/>
      <c r="V171" s="5">
        <f t="shared" si="10"/>
        <v>1</v>
      </c>
      <c r="W171" s="5">
        <f t="shared" si="11"/>
        <v>0</v>
      </c>
    </row>
    <row r="172" spans="1:23" s="36" customFormat="1" x14ac:dyDescent="0.3">
      <c r="A172" s="6"/>
      <c r="B172" s="17">
        <f t="shared" si="13"/>
        <v>36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x14ac:dyDescent="0.3">
      <c r="A173" s="6"/>
      <c r="B173" s="17">
        <f t="shared" si="13"/>
        <v>37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x14ac:dyDescent="0.3">
      <c r="A174" s="6"/>
      <c r="B174" s="17">
        <f t="shared" si="13"/>
        <v>38</v>
      </c>
      <c r="C174" s="18"/>
      <c r="D174" s="19"/>
      <c r="E174" s="19"/>
      <c r="F174" s="35"/>
      <c r="G174" s="35"/>
      <c r="H174" s="35"/>
      <c r="I174" s="20"/>
      <c r="J174" s="21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x14ac:dyDescent="0.3">
      <c r="A175" s="6"/>
      <c r="B175" s="17">
        <f t="shared" si="13"/>
        <v>39</v>
      </c>
      <c r="C175" s="18"/>
      <c r="D175" s="19"/>
      <c r="E175" s="19"/>
      <c r="F175" s="35"/>
      <c r="G175" s="35"/>
      <c r="H175" s="35"/>
      <c r="I175" s="20"/>
      <c r="J175" s="21">
        <f t="shared" si="9"/>
        <v>0</v>
      </c>
      <c r="K175" s="7"/>
      <c r="V175" s="5">
        <f t="shared" si="10"/>
        <v>0</v>
      </c>
      <c r="W175" s="5">
        <f t="shared" si="11"/>
        <v>0</v>
      </c>
    </row>
    <row r="176" spans="1:23" s="36" customFormat="1" x14ac:dyDescent="0.3">
      <c r="A176" s="6"/>
      <c r="B176" s="17">
        <f t="shared" si="13"/>
        <v>40</v>
      </c>
      <c r="C176" s="18"/>
      <c r="D176" s="19"/>
      <c r="E176" s="19"/>
      <c r="F176" s="35"/>
      <c r="G176" s="35"/>
      <c r="H176" s="35"/>
      <c r="I176" s="20"/>
      <c r="J176" s="21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x14ac:dyDescent="0.3">
      <c r="A177" s="6"/>
      <c r="B177" s="17">
        <f t="shared" si="13"/>
        <v>41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x14ac:dyDescent="0.3">
      <c r="A178" s="6"/>
      <c r="B178" s="17">
        <f t="shared" si="13"/>
        <v>42</v>
      </c>
      <c r="C178" s="18"/>
      <c r="D178" s="19"/>
      <c r="E178" s="19"/>
      <c r="F178" s="35"/>
      <c r="G178" s="35"/>
      <c r="H178" s="35"/>
      <c r="I178" s="20"/>
      <c r="J178" s="21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x14ac:dyDescent="0.3">
      <c r="A179" s="6"/>
      <c r="B179" s="17">
        <f t="shared" si="13"/>
        <v>43</v>
      </c>
      <c r="C179" s="18"/>
      <c r="D179" s="19"/>
      <c r="E179" s="19"/>
      <c r="F179" s="35"/>
      <c r="G179" s="35"/>
      <c r="H179" s="35"/>
      <c r="I179" s="20"/>
      <c r="J179" s="21">
        <f t="shared" si="9"/>
        <v>0</v>
      </c>
      <c r="K179" s="7"/>
      <c r="V179" s="5">
        <f t="shared" si="10"/>
        <v>0</v>
      </c>
      <c r="W179" s="5">
        <f t="shared" si="11"/>
        <v>0</v>
      </c>
    </row>
    <row r="180" spans="1:23" s="36" customFormat="1" x14ac:dyDescent="0.3">
      <c r="A180" s="6"/>
      <c r="B180" s="17">
        <f t="shared" si="13"/>
        <v>44</v>
      </c>
      <c r="C180" s="18"/>
      <c r="D180" s="19"/>
      <c r="E180" s="19"/>
      <c r="F180" s="35"/>
      <c r="G180" s="35"/>
      <c r="H180" s="35"/>
      <c r="I180" s="20"/>
      <c r="J180" s="21">
        <f t="shared" si="9"/>
        <v>0</v>
      </c>
      <c r="K180" s="7"/>
      <c r="V180" s="5">
        <f t="shared" si="10"/>
        <v>0</v>
      </c>
      <c r="W180" s="5">
        <f t="shared" si="11"/>
        <v>0</v>
      </c>
    </row>
    <row r="181" spans="1:23" s="36" customFormat="1" x14ac:dyDescent="0.3">
      <c r="A181" s="6"/>
      <c r="B181" s="17">
        <f t="shared" si="13"/>
        <v>45</v>
      </c>
      <c r="C181" s="18"/>
      <c r="D181" s="19"/>
      <c r="E181" s="19"/>
      <c r="F181" s="35"/>
      <c r="G181" s="35"/>
      <c r="H181" s="35"/>
      <c r="I181" s="20"/>
      <c r="J181" s="21">
        <f t="shared" si="9"/>
        <v>0</v>
      </c>
      <c r="K181" s="7"/>
      <c r="V181" s="5">
        <f t="shared" si="10"/>
        <v>0</v>
      </c>
      <c r="W181" s="5">
        <f t="shared" si="11"/>
        <v>0</v>
      </c>
    </row>
    <row r="182" spans="1:23" s="36" customFormat="1" ht="15" thickBot="1" x14ac:dyDescent="0.35">
      <c r="A182" s="6"/>
      <c r="B182" s="95">
        <f t="shared" si="13"/>
        <v>46</v>
      </c>
      <c r="C182" s="79"/>
      <c r="D182" s="80"/>
      <c r="E182" s="80"/>
      <c r="F182" s="96"/>
      <c r="G182" s="96"/>
      <c r="H182" s="96"/>
      <c r="I182" s="81"/>
      <c r="J182" s="82">
        <f t="shared" si="9"/>
        <v>0</v>
      </c>
      <c r="K182" s="7"/>
      <c r="V182" s="5">
        <f t="shared" si="10"/>
        <v>0</v>
      </c>
      <c r="W182" s="5">
        <f t="shared" si="11"/>
        <v>0</v>
      </c>
    </row>
    <row r="183" spans="1:23" s="36" customFormat="1" ht="24" thickBot="1" x14ac:dyDescent="0.5">
      <c r="A183" s="6"/>
      <c r="B183" s="165" t="s">
        <v>22</v>
      </c>
      <c r="C183" s="166"/>
      <c r="D183" s="166"/>
      <c r="E183" s="166"/>
      <c r="F183" s="166"/>
      <c r="G183" s="166"/>
      <c r="H183" s="167"/>
      <c r="I183" s="83" t="s">
        <v>23</v>
      </c>
      <c r="J183" s="84">
        <f>SUM(J137:J182)</f>
        <v>196785</v>
      </c>
      <c r="K183" s="7"/>
      <c r="L183" s="5"/>
      <c r="M183" s="5"/>
      <c r="N183" s="5"/>
      <c r="O183" s="5"/>
      <c r="P183" s="5"/>
      <c r="Q183" s="5"/>
      <c r="R183" s="5"/>
      <c r="V183" s="36">
        <f>SUM(V137:V182)</f>
        <v>31</v>
      </c>
      <c r="W183" s="36">
        <f>SUM(W137:W182)</f>
        <v>4</v>
      </c>
    </row>
    <row r="184" spans="1:23" s="36" customFormat="1" ht="30" customHeight="1" thickBot="1" x14ac:dyDescent="0.35">
      <c r="A184" s="30"/>
      <c r="B184" s="31"/>
      <c r="C184" s="31"/>
      <c r="D184" s="31"/>
      <c r="E184" s="31"/>
      <c r="F184" s="31"/>
      <c r="G184" s="31"/>
      <c r="H184" s="32"/>
      <c r="I184" s="31"/>
      <c r="J184" s="32"/>
      <c r="K184" s="33"/>
      <c r="L184" s="5"/>
      <c r="M184" s="5"/>
      <c r="N184" s="5"/>
      <c r="O184" s="5"/>
      <c r="P184" s="5"/>
      <c r="Q184" s="5"/>
      <c r="R184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B129:H129"/>
    <mergeCell ref="B133:J133"/>
    <mergeCell ref="B134:J134"/>
    <mergeCell ref="B135:J135"/>
    <mergeCell ref="B183:H183"/>
  </mergeCells>
  <hyperlinks>
    <hyperlink ref="B59" r:id="rId1" xr:uid="{00000000-0004-0000-1500-000000000000}"/>
    <hyperlink ref="B129" r:id="rId2" xr:uid="{00000000-0004-0000-1500-000001000000}"/>
    <hyperlink ref="B183" r:id="rId3" xr:uid="{00000000-0004-0000-1500-000002000000}"/>
    <hyperlink ref="M1" location="MASTER!A1" display="Back" xr:uid="{00000000-0004-0000-1500-000003000000}"/>
    <hyperlink ref="M6:M7" location="'MAR 2022'!A70" display="EXTRA STOCK FUTURE" xr:uid="{00000000-0004-0000-1500-000004000000}"/>
    <hyperlink ref="M8:M9" location="'MAR 2022'!A140" display="EXTRA NIFTY OPTION" xr:uid="{00000000-0004-0000-1500-000005000000}"/>
  </hyperlinks>
  <pageMargins left="0" right="0" top="0" bottom="0" header="0" footer="0"/>
  <pageSetup paperSize="9" orientation="portrait" r:id="rId4"/>
  <drawing r:id="rId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184"/>
  <sheetViews>
    <sheetView zoomScaleNormal="100" workbookViewId="0">
      <selection activeCell="O8" sqref="O8:O9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44682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95" t="s">
        <v>107</v>
      </c>
      <c r="N4" s="111">
        <f>COUNT(C6:C58)</f>
        <v>35</v>
      </c>
      <c r="O4" s="113">
        <f>V59</f>
        <v>29</v>
      </c>
      <c r="P4" s="113">
        <f>W59</f>
        <v>6</v>
      </c>
      <c r="Q4" s="197">
        <f>N4-O4-P4</f>
        <v>0</v>
      </c>
      <c r="R4" s="199">
        <f>O4/N4</f>
        <v>0.82857142857142863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96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44683</v>
      </c>
      <c r="D6" s="90" t="s">
        <v>18</v>
      </c>
      <c r="E6" s="90" t="s">
        <v>423</v>
      </c>
      <c r="F6" s="90">
        <v>150</v>
      </c>
      <c r="G6" s="90">
        <v>165</v>
      </c>
      <c r="H6" s="91">
        <v>15</v>
      </c>
      <c r="I6" s="90">
        <v>100</v>
      </c>
      <c r="J6" s="92">
        <f t="shared" ref="J6:J58" si="0">H6*I6</f>
        <v>1500</v>
      </c>
      <c r="K6" s="7"/>
      <c r="M6" s="213" t="s">
        <v>108</v>
      </c>
      <c r="N6" s="112">
        <f>COUNT(C67:C128)</f>
        <v>35</v>
      </c>
      <c r="O6" s="113">
        <v>33</v>
      </c>
      <c r="P6" s="113">
        <f>W129</f>
        <v>2</v>
      </c>
      <c r="Q6" s="198">
        <v>0</v>
      </c>
      <c r="R6" s="203">
        <f t="shared" ref="R6" si="1">O6/N6</f>
        <v>0.94285714285714284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x14ac:dyDescent="0.3">
      <c r="A7" s="6"/>
      <c r="B7" s="17">
        <v>2</v>
      </c>
      <c r="C7" s="85">
        <v>44685</v>
      </c>
      <c r="D7" s="86" t="s">
        <v>18</v>
      </c>
      <c r="E7" s="86" t="s">
        <v>678</v>
      </c>
      <c r="F7" s="86">
        <v>140</v>
      </c>
      <c r="G7" s="86">
        <v>240</v>
      </c>
      <c r="H7" s="87">
        <v>100</v>
      </c>
      <c r="I7" s="86">
        <v>100</v>
      </c>
      <c r="J7" s="21">
        <f t="shared" si="0"/>
        <v>10000</v>
      </c>
      <c r="K7" s="7"/>
      <c r="M7" s="213"/>
      <c r="N7" s="112"/>
      <c r="O7" s="114"/>
      <c r="P7" s="114"/>
      <c r="Q7" s="198"/>
      <c r="R7" s="200"/>
      <c r="V7" s="5">
        <f t="shared" si="2"/>
        <v>1</v>
      </c>
      <c r="W7" s="5">
        <f t="shared" si="3"/>
        <v>0</v>
      </c>
    </row>
    <row r="8" spans="1:23" x14ac:dyDescent="0.3">
      <c r="A8" s="6"/>
      <c r="B8" s="88">
        <v>3</v>
      </c>
      <c r="C8" s="85">
        <v>44685</v>
      </c>
      <c r="D8" s="86" t="s">
        <v>18</v>
      </c>
      <c r="E8" s="86" t="s">
        <v>384</v>
      </c>
      <c r="F8" s="86">
        <v>150</v>
      </c>
      <c r="G8" s="86">
        <v>250</v>
      </c>
      <c r="H8" s="87">
        <v>100</v>
      </c>
      <c r="I8" s="86">
        <v>100</v>
      </c>
      <c r="J8" s="21">
        <f t="shared" si="0"/>
        <v>10000</v>
      </c>
      <c r="K8" s="7"/>
      <c r="M8" s="214" t="s">
        <v>194</v>
      </c>
      <c r="N8" s="112">
        <f>COUNT(C137:C182)</f>
        <v>40</v>
      </c>
      <c r="O8" s="114">
        <f>V183</f>
        <v>37</v>
      </c>
      <c r="P8" s="114">
        <v>3</v>
      </c>
      <c r="Q8" s="198">
        <f>N8-O8-P8</f>
        <v>0</v>
      </c>
      <c r="R8" s="203">
        <f t="shared" ref="R8:R10" si="4">O8/N8</f>
        <v>0.92500000000000004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44686</v>
      </c>
      <c r="D9" s="86" t="s">
        <v>18</v>
      </c>
      <c r="E9" s="86" t="s">
        <v>278</v>
      </c>
      <c r="F9" s="86">
        <v>110</v>
      </c>
      <c r="G9" s="86">
        <v>190</v>
      </c>
      <c r="H9" s="87">
        <v>80</v>
      </c>
      <c r="I9" s="86">
        <v>100</v>
      </c>
      <c r="J9" s="21">
        <f t="shared" si="0"/>
        <v>8000</v>
      </c>
      <c r="K9" s="7"/>
      <c r="M9" s="215"/>
      <c r="N9" s="184"/>
      <c r="O9" s="172"/>
      <c r="P9" s="172"/>
      <c r="Q9" s="174"/>
      <c r="R9" s="204"/>
      <c r="V9" s="5">
        <f t="shared" si="2"/>
        <v>1</v>
      </c>
      <c r="W9" s="5">
        <f t="shared" si="3"/>
        <v>0</v>
      </c>
    </row>
    <row r="10" spans="1:23" ht="16.5" customHeight="1" x14ac:dyDescent="0.3">
      <c r="A10" s="6"/>
      <c r="B10" s="88">
        <v>5</v>
      </c>
      <c r="C10" s="85">
        <v>44686</v>
      </c>
      <c r="D10" s="86" t="s">
        <v>18</v>
      </c>
      <c r="E10" s="86" t="s">
        <v>384</v>
      </c>
      <c r="F10" s="86">
        <v>130</v>
      </c>
      <c r="G10" s="86">
        <v>200</v>
      </c>
      <c r="H10" s="87">
        <f>200-130</f>
        <v>70</v>
      </c>
      <c r="I10" s="86">
        <v>100</v>
      </c>
      <c r="J10" s="21">
        <f t="shared" si="0"/>
        <v>7000</v>
      </c>
      <c r="K10" s="7"/>
      <c r="M10" s="207" t="s">
        <v>19</v>
      </c>
      <c r="N10" s="149">
        <f>SUM(N4:N9)</f>
        <v>110</v>
      </c>
      <c r="O10" s="209">
        <f>SUM(O4:O9)</f>
        <v>99</v>
      </c>
      <c r="P10" s="209">
        <f>SUM(P4:P9)</f>
        <v>11</v>
      </c>
      <c r="Q10" s="211">
        <f>SUM(Q4:Q9)</f>
        <v>0</v>
      </c>
      <c r="R10" s="199">
        <f t="shared" si="4"/>
        <v>0.9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44687</v>
      </c>
      <c r="D11" s="86" t="s">
        <v>18</v>
      </c>
      <c r="E11" s="86" t="s">
        <v>394</v>
      </c>
      <c r="F11" s="86">
        <v>140</v>
      </c>
      <c r="G11" s="86">
        <v>120</v>
      </c>
      <c r="H11" s="87">
        <v>-20</v>
      </c>
      <c r="I11" s="86">
        <v>100</v>
      </c>
      <c r="J11" s="21">
        <f t="shared" si="0"/>
        <v>-2000</v>
      </c>
      <c r="K11" s="7"/>
      <c r="M11" s="208"/>
      <c r="N11" s="150"/>
      <c r="O11" s="210"/>
      <c r="P11" s="210"/>
      <c r="Q11" s="212"/>
      <c r="R11" s="204"/>
      <c r="V11" s="5">
        <f t="shared" si="2"/>
        <v>0</v>
      </c>
      <c r="W11" s="5">
        <f t="shared" si="3"/>
        <v>1</v>
      </c>
    </row>
    <row r="12" spans="1:23" ht="15" customHeight="1" x14ac:dyDescent="0.3">
      <c r="A12" s="6"/>
      <c r="B12" s="88">
        <v>7</v>
      </c>
      <c r="C12" s="85">
        <v>44687</v>
      </c>
      <c r="D12" s="86" t="s">
        <v>18</v>
      </c>
      <c r="E12" s="86" t="s">
        <v>332</v>
      </c>
      <c r="F12" s="86">
        <v>140</v>
      </c>
      <c r="G12" s="86">
        <v>152</v>
      </c>
      <c r="H12" s="87">
        <v>12</v>
      </c>
      <c r="I12" s="86">
        <v>100</v>
      </c>
      <c r="J12" s="21">
        <f t="shared" si="0"/>
        <v>1200</v>
      </c>
      <c r="K12" s="7"/>
      <c r="M12" s="126" t="s">
        <v>20</v>
      </c>
      <c r="N12" s="130"/>
      <c r="O12" s="131"/>
      <c r="P12" s="138">
        <f>R10</f>
        <v>0.9</v>
      </c>
      <c r="Q12" s="139"/>
      <c r="R12" s="137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44690</v>
      </c>
      <c r="D13" s="86" t="s">
        <v>18</v>
      </c>
      <c r="E13" s="86" t="s">
        <v>239</v>
      </c>
      <c r="F13" s="86">
        <v>150</v>
      </c>
      <c r="G13" s="86">
        <v>100</v>
      </c>
      <c r="H13" s="87">
        <v>-50</v>
      </c>
      <c r="I13" s="86">
        <v>100</v>
      </c>
      <c r="J13" s="21">
        <f t="shared" si="0"/>
        <v>-5000</v>
      </c>
      <c r="K13" s="7"/>
      <c r="M13" s="129"/>
      <c r="N13" s="130"/>
      <c r="O13" s="131"/>
      <c r="P13" s="138"/>
      <c r="Q13" s="139"/>
      <c r="R13" s="140"/>
      <c r="V13" s="5">
        <f t="shared" si="2"/>
        <v>0</v>
      </c>
      <c r="W13" s="5">
        <f t="shared" si="3"/>
        <v>1</v>
      </c>
    </row>
    <row r="14" spans="1:23" ht="15.75" customHeight="1" thickBot="1" x14ac:dyDescent="0.35">
      <c r="A14" s="6"/>
      <c r="B14" s="88">
        <v>9</v>
      </c>
      <c r="C14" s="85">
        <v>44690</v>
      </c>
      <c r="D14" s="86" t="s">
        <v>18</v>
      </c>
      <c r="E14" s="86" t="s">
        <v>241</v>
      </c>
      <c r="F14" s="86">
        <v>150</v>
      </c>
      <c r="G14" s="86">
        <v>250</v>
      </c>
      <c r="H14" s="87">
        <v>100</v>
      </c>
      <c r="I14" s="86">
        <v>100</v>
      </c>
      <c r="J14" s="21">
        <f t="shared" si="0"/>
        <v>10000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44691</v>
      </c>
      <c r="D15" s="86" t="s">
        <v>18</v>
      </c>
      <c r="E15" s="86" t="s">
        <v>369</v>
      </c>
      <c r="F15" s="86">
        <v>130</v>
      </c>
      <c r="G15" s="86">
        <v>190</v>
      </c>
      <c r="H15" s="87">
        <v>60</v>
      </c>
      <c r="I15" s="86">
        <v>100</v>
      </c>
      <c r="J15" s="21">
        <f t="shared" si="0"/>
        <v>6000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18">
        <v>44691</v>
      </c>
      <c r="D16" s="19" t="s">
        <v>18</v>
      </c>
      <c r="E16" s="19" t="s">
        <v>306</v>
      </c>
      <c r="F16" s="35">
        <v>120</v>
      </c>
      <c r="G16" s="35">
        <v>140</v>
      </c>
      <c r="H16" s="35">
        <v>20</v>
      </c>
      <c r="I16" s="20">
        <v>100</v>
      </c>
      <c r="J16" s="21">
        <f t="shared" si="0"/>
        <v>2000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18">
        <v>44692</v>
      </c>
      <c r="D17" s="19" t="s">
        <v>18</v>
      </c>
      <c r="E17" s="19" t="s">
        <v>372</v>
      </c>
      <c r="F17" s="35">
        <v>150</v>
      </c>
      <c r="G17" s="35">
        <v>250</v>
      </c>
      <c r="H17" s="35">
        <v>100</v>
      </c>
      <c r="I17" s="20">
        <v>100</v>
      </c>
      <c r="J17" s="21">
        <f t="shared" si="0"/>
        <v>10000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18">
        <v>44692</v>
      </c>
      <c r="D18" s="19" t="s">
        <v>18</v>
      </c>
      <c r="E18" s="19" t="s">
        <v>372</v>
      </c>
      <c r="F18" s="35">
        <v>150</v>
      </c>
      <c r="G18" s="35">
        <v>248</v>
      </c>
      <c r="H18" s="35">
        <f>248-150</f>
        <v>98</v>
      </c>
      <c r="I18" s="20">
        <v>100</v>
      </c>
      <c r="J18" s="21">
        <f t="shared" si="0"/>
        <v>9800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18">
        <v>44693</v>
      </c>
      <c r="D19" s="19" t="s">
        <v>18</v>
      </c>
      <c r="E19" s="19" t="s">
        <v>367</v>
      </c>
      <c r="F19" s="35">
        <v>130</v>
      </c>
      <c r="G19" s="35">
        <v>145</v>
      </c>
      <c r="H19" s="35">
        <v>15</v>
      </c>
      <c r="I19" s="20">
        <v>100</v>
      </c>
      <c r="J19" s="21">
        <f t="shared" si="0"/>
        <v>1500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18">
        <v>44693</v>
      </c>
      <c r="D20" s="19" t="s">
        <v>18</v>
      </c>
      <c r="E20" s="19" t="s">
        <v>367</v>
      </c>
      <c r="F20" s="35">
        <v>150</v>
      </c>
      <c r="G20" s="35">
        <v>165</v>
      </c>
      <c r="H20" s="78">
        <v>15</v>
      </c>
      <c r="I20" s="20">
        <v>100</v>
      </c>
      <c r="J20" s="21">
        <f t="shared" si="0"/>
        <v>1500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18">
        <v>44694</v>
      </c>
      <c r="D21" s="19" t="s">
        <v>18</v>
      </c>
      <c r="E21" s="19" t="s">
        <v>241</v>
      </c>
      <c r="F21" s="35">
        <v>140</v>
      </c>
      <c r="G21" s="35">
        <v>155</v>
      </c>
      <c r="H21" s="35">
        <v>15</v>
      </c>
      <c r="I21" s="20">
        <v>100</v>
      </c>
      <c r="J21" s="21">
        <f t="shared" si="0"/>
        <v>1500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44694</v>
      </c>
      <c r="D22" s="19" t="s">
        <v>18</v>
      </c>
      <c r="E22" s="19" t="s">
        <v>308</v>
      </c>
      <c r="F22" s="35">
        <v>150</v>
      </c>
      <c r="G22" s="35">
        <v>170</v>
      </c>
      <c r="H22" s="35">
        <v>20</v>
      </c>
      <c r="I22" s="20">
        <v>100</v>
      </c>
      <c r="J22" s="21">
        <f t="shared" si="0"/>
        <v>2000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44697</v>
      </c>
      <c r="D23" s="19" t="s">
        <v>18</v>
      </c>
      <c r="E23" s="19" t="s">
        <v>323</v>
      </c>
      <c r="F23" s="35">
        <v>150</v>
      </c>
      <c r="G23" s="35">
        <v>198</v>
      </c>
      <c r="H23" s="35">
        <v>48</v>
      </c>
      <c r="I23" s="20">
        <v>100</v>
      </c>
      <c r="J23" s="21">
        <f t="shared" si="0"/>
        <v>4800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44698</v>
      </c>
      <c r="D24" s="19" t="s">
        <v>18</v>
      </c>
      <c r="E24" s="19" t="s">
        <v>365</v>
      </c>
      <c r="F24" s="35">
        <v>130</v>
      </c>
      <c r="G24" s="35">
        <v>210</v>
      </c>
      <c r="H24" s="35">
        <f>210-130</f>
        <v>80</v>
      </c>
      <c r="I24" s="20">
        <v>100</v>
      </c>
      <c r="J24" s="21">
        <f t="shared" si="0"/>
        <v>8000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44698</v>
      </c>
      <c r="D25" s="19" t="s">
        <v>18</v>
      </c>
      <c r="E25" s="19" t="s">
        <v>262</v>
      </c>
      <c r="F25" s="35">
        <v>140</v>
      </c>
      <c r="G25" s="35">
        <v>190</v>
      </c>
      <c r="H25" s="35">
        <v>50</v>
      </c>
      <c r="I25" s="20">
        <v>100</v>
      </c>
      <c r="J25" s="21">
        <f t="shared" si="0"/>
        <v>5000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44699</v>
      </c>
      <c r="D26" s="19" t="s">
        <v>18</v>
      </c>
      <c r="E26" s="19" t="s">
        <v>240</v>
      </c>
      <c r="F26" s="35">
        <v>150</v>
      </c>
      <c r="G26" s="35">
        <v>250</v>
      </c>
      <c r="H26" s="35">
        <v>100</v>
      </c>
      <c r="I26" s="20">
        <v>100</v>
      </c>
      <c r="J26" s="21">
        <f t="shared" si="0"/>
        <v>10000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44699</v>
      </c>
      <c r="D27" s="19" t="s">
        <v>18</v>
      </c>
      <c r="E27" s="19" t="s">
        <v>289</v>
      </c>
      <c r="F27" s="35">
        <v>140</v>
      </c>
      <c r="G27" s="35">
        <v>165</v>
      </c>
      <c r="H27" s="19">
        <v>15</v>
      </c>
      <c r="I27" s="20">
        <v>100</v>
      </c>
      <c r="J27" s="21">
        <f t="shared" si="0"/>
        <v>1500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44700</v>
      </c>
      <c r="D28" s="19" t="s">
        <v>18</v>
      </c>
      <c r="E28" s="19" t="s">
        <v>332</v>
      </c>
      <c r="F28" s="35">
        <v>120</v>
      </c>
      <c r="G28" s="35">
        <v>70</v>
      </c>
      <c r="H28" s="19">
        <v>-50</v>
      </c>
      <c r="I28" s="20">
        <v>100</v>
      </c>
      <c r="J28" s="21">
        <f t="shared" si="0"/>
        <v>-5000</v>
      </c>
      <c r="K28" s="7"/>
      <c r="V28" s="5">
        <f t="shared" si="2"/>
        <v>0</v>
      </c>
      <c r="W28" s="5">
        <f t="shared" si="3"/>
        <v>1</v>
      </c>
    </row>
    <row r="29" spans="1:23" x14ac:dyDescent="0.3">
      <c r="A29" s="6"/>
      <c r="B29" s="17">
        <v>24</v>
      </c>
      <c r="C29" s="18">
        <v>44700</v>
      </c>
      <c r="D29" s="19" t="s">
        <v>18</v>
      </c>
      <c r="E29" s="19" t="s">
        <v>332</v>
      </c>
      <c r="F29" s="20">
        <v>110</v>
      </c>
      <c r="G29" s="20">
        <v>140</v>
      </c>
      <c r="H29" s="19">
        <v>30</v>
      </c>
      <c r="I29" s="20">
        <v>100</v>
      </c>
      <c r="J29" s="21">
        <f t="shared" si="0"/>
        <v>3000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44704</v>
      </c>
      <c r="D30" s="25" t="s">
        <v>18</v>
      </c>
      <c r="E30" s="25" t="s">
        <v>306</v>
      </c>
      <c r="F30" s="26">
        <v>140</v>
      </c>
      <c r="G30" s="61">
        <v>220</v>
      </c>
      <c r="H30" s="61">
        <f>220-140</f>
        <v>80</v>
      </c>
      <c r="I30" s="26">
        <v>100</v>
      </c>
      <c r="J30" s="21">
        <f t="shared" si="0"/>
        <v>8000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44705</v>
      </c>
      <c r="D31" s="25" t="s">
        <v>18</v>
      </c>
      <c r="E31" s="25" t="s">
        <v>368</v>
      </c>
      <c r="F31" s="26">
        <v>140</v>
      </c>
      <c r="G31" s="61">
        <v>160</v>
      </c>
      <c r="H31" s="61">
        <v>20</v>
      </c>
      <c r="I31" s="26">
        <v>100</v>
      </c>
      <c r="J31" s="21">
        <f t="shared" si="0"/>
        <v>2000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44705</v>
      </c>
      <c r="D32" s="25" t="s">
        <v>18</v>
      </c>
      <c r="E32" s="25" t="s">
        <v>369</v>
      </c>
      <c r="F32" s="26">
        <v>140</v>
      </c>
      <c r="G32" s="61">
        <v>167</v>
      </c>
      <c r="H32" s="61">
        <v>27</v>
      </c>
      <c r="I32" s="26">
        <v>100</v>
      </c>
      <c r="J32" s="21">
        <f t="shared" si="0"/>
        <v>2700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44706</v>
      </c>
      <c r="D33" s="25" t="s">
        <v>18</v>
      </c>
      <c r="E33" s="25" t="s">
        <v>372</v>
      </c>
      <c r="F33" s="26">
        <v>130</v>
      </c>
      <c r="G33" s="61">
        <v>180</v>
      </c>
      <c r="H33" s="61">
        <v>50</v>
      </c>
      <c r="I33" s="26">
        <v>100</v>
      </c>
      <c r="J33" s="21">
        <f t="shared" si="0"/>
        <v>5000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44706</v>
      </c>
      <c r="D34" s="25" t="s">
        <v>18</v>
      </c>
      <c r="E34" s="25" t="s">
        <v>420</v>
      </c>
      <c r="F34" s="26">
        <v>130</v>
      </c>
      <c r="G34" s="61">
        <v>150</v>
      </c>
      <c r="H34" s="61">
        <v>20</v>
      </c>
      <c r="I34" s="26">
        <v>100</v>
      </c>
      <c r="J34" s="21">
        <f t="shared" si="0"/>
        <v>2000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44707</v>
      </c>
      <c r="D35" s="25" t="s">
        <v>18</v>
      </c>
      <c r="E35" s="25" t="s">
        <v>369</v>
      </c>
      <c r="F35" s="26">
        <v>100</v>
      </c>
      <c r="G35" s="61">
        <v>50</v>
      </c>
      <c r="H35" s="61">
        <v>-50</v>
      </c>
      <c r="I35" s="26">
        <v>100</v>
      </c>
      <c r="J35" s="21">
        <f t="shared" si="0"/>
        <v>-5000</v>
      </c>
      <c r="K35" s="7"/>
      <c r="V35" s="5">
        <f t="shared" si="2"/>
        <v>0</v>
      </c>
      <c r="W35" s="5">
        <f t="shared" si="3"/>
        <v>1</v>
      </c>
    </row>
    <row r="36" spans="1:23" x14ac:dyDescent="0.3">
      <c r="A36" s="6"/>
      <c r="B36" s="88">
        <v>31</v>
      </c>
      <c r="C36" s="24">
        <v>44708</v>
      </c>
      <c r="D36" s="25" t="s">
        <v>18</v>
      </c>
      <c r="E36" s="25" t="s">
        <v>252</v>
      </c>
      <c r="F36" s="26">
        <v>140</v>
      </c>
      <c r="G36" s="61">
        <v>169</v>
      </c>
      <c r="H36" s="61">
        <v>39</v>
      </c>
      <c r="I36" s="26">
        <v>100</v>
      </c>
      <c r="J36" s="21">
        <f t="shared" si="0"/>
        <v>3900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44708</v>
      </c>
      <c r="D37" s="25" t="s">
        <v>18</v>
      </c>
      <c r="E37" s="25" t="s">
        <v>252</v>
      </c>
      <c r="F37" s="26">
        <v>150</v>
      </c>
      <c r="G37" s="61">
        <v>148</v>
      </c>
      <c r="H37" s="61">
        <v>-2</v>
      </c>
      <c r="I37" s="26">
        <v>100</v>
      </c>
      <c r="J37" s="21">
        <f t="shared" si="0"/>
        <v>-200</v>
      </c>
      <c r="K37" s="7"/>
      <c r="V37" s="5">
        <f t="shared" si="2"/>
        <v>0</v>
      </c>
      <c r="W37" s="5">
        <f t="shared" si="3"/>
        <v>1</v>
      </c>
    </row>
    <row r="38" spans="1:23" x14ac:dyDescent="0.3">
      <c r="A38" s="6"/>
      <c r="B38" s="88">
        <v>33</v>
      </c>
      <c r="C38" s="24">
        <v>44711</v>
      </c>
      <c r="D38" s="25" t="s">
        <v>18</v>
      </c>
      <c r="E38" s="25" t="s">
        <v>423</v>
      </c>
      <c r="F38" s="26">
        <v>150</v>
      </c>
      <c r="G38" s="61">
        <v>140</v>
      </c>
      <c r="H38" s="61">
        <v>-10</v>
      </c>
      <c r="I38" s="26">
        <v>100</v>
      </c>
      <c r="J38" s="21">
        <f t="shared" si="0"/>
        <v>-1000</v>
      </c>
      <c r="K38" s="7"/>
      <c r="V38" s="5">
        <f t="shared" si="2"/>
        <v>0</v>
      </c>
      <c r="W38" s="5">
        <f t="shared" si="3"/>
        <v>1</v>
      </c>
    </row>
    <row r="39" spans="1:23" x14ac:dyDescent="0.3">
      <c r="A39" s="6"/>
      <c r="B39" s="17">
        <v>34</v>
      </c>
      <c r="C39" s="24">
        <v>44711</v>
      </c>
      <c r="D39" s="25" t="s">
        <v>18</v>
      </c>
      <c r="E39" s="25" t="s">
        <v>424</v>
      </c>
      <c r="F39" s="26">
        <v>150</v>
      </c>
      <c r="G39" s="61">
        <v>180</v>
      </c>
      <c r="H39" s="61">
        <v>30</v>
      </c>
      <c r="I39" s="26">
        <v>100</v>
      </c>
      <c r="J39" s="21">
        <f t="shared" si="0"/>
        <v>3000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44711</v>
      </c>
      <c r="D40" s="25" t="s">
        <v>18</v>
      </c>
      <c r="E40" s="25" t="s">
        <v>260</v>
      </c>
      <c r="F40" s="26">
        <v>150</v>
      </c>
      <c r="G40" s="61">
        <v>167</v>
      </c>
      <c r="H40" s="61">
        <v>17</v>
      </c>
      <c r="I40" s="26">
        <v>100</v>
      </c>
      <c r="J40" s="21">
        <f t="shared" si="0"/>
        <v>1700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24"/>
      <c r="D41" s="25"/>
      <c r="E41" s="25"/>
      <c r="F41" s="26"/>
      <c r="G41" s="61"/>
      <c r="H41" s="61"/>
      <c r="I41" s="26"/>
      <c r="J41" s="21">
        <f t="shared" si="0"/>
        <v>0</v>
      </c>
      <c r="K41" s="7"/>
      <c r="V41" s="5">
        <f t="shared" si="2"/>
        <v>0</v>
      </c>
      <c r="W41" s="5">
        <f t="shared" si="3"/>
        <v>0</v>
      </c>
    </row>
    <row r="42" spans="1:23" x14ac:dyDescent="0.3">
      <c r="A42" s="6"/>
      <c r="B42" s="17">
        <v>37</v>
      </c>
      <c r="C42" s="24"/>
      <c r="D42" s="25"/>
      <c r="E42" s="25"/>
      <c r="F42" s="26"/>
      <c r="G42" s="61"/>
      <c r="H42" s="61"/>
      <c r="I42" s="26"/>
      <c r="J42" s="21">
        <f t="shared" si="0"/>
        <v>0</v>
      </c>
      <c r="K42" s="7"/>
      <c r="V42" s="5">
        <f t="shared" si="2"/>
        <v>0</v>
      </c>
      <c r="W42" s="5">
        <f t="shared" si="3"/>
        <v>0</v>
      </c>
    </row>
    <row r="43" spans="1:23" x14ac:dyDescent="0.3">
      <c r="A43" s="6"/>
      <c r="B43" s="17">
        <v>38</v>
      </c>
      <c r="C43" s="24"/>
      <c r="D43" s="25"/>
      <c r="E43" s="25"/>
      <c r="F43" s="26"/>
      <c r="G43" s="61"/>
      <c r="H43" s="61"/>
      <c r="I43" s="26"/>
      <c r="J43" s="21">
        <f t="shared" si="0"/>
        <v>0</v>
      </c>
      <c r="K43" s="7"/>
      <c r="V43" s="5">
        <f t="shared" si="2"/>
        <v>0</v>
      </c>
      <c r="W43" s="5">
        <f t="shared" si="3"/>
        <v>0</v>
      </c>
    </row>
    <row r="44" spans="1:23" x14ac:dyDescent="0.3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x14ac:dyDescent="0.3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x14ac:dyDescent="0.3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x14ac:dyDescent="0.3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x14ac:dyDescent="0.3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124400</v>
      </c>
      <c r="K59" s="7"/>
      <c r="V59" s="5">
        <f>SUM(V6:V58)</f>
        <v>29</v>
      </c>
      <c r="W59" s="5">
        <f>SUM(W6:W58)</f>
        <v>6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673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44683</v>
      </c>
      <c r="D67" s="67" t="s">
        <v>18</v>
      </c>
      <c r="E67" s="67" t="s">
        <v>658</v>
      </c>
      <c r="F67" s="68">
        <v>4540</v>
      </c>
      <c r="G67" s="68">
        <v>4555</v>
      </c>
      <c r="H67" s="97">
        <v>15</v>
      </c>
      <c r="I67" s="68">
        <v>100</v>
      </c>
      <c r="J67" s="92">
        <f>H67*I67</f>
        <v>1500</v>
      </c>
      <c r="K67" s="7"/>
      <c r="V67" s="5">
        <f t="shared" ref="V67:V128" si="5">IF($J67&gt;0,1,0)</f>
        <v>1</v>
      </c>
      <c r="W67" s="5">
        <f t="shared" ref="W67:W128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44683</v>
      </c>
      <c r="D68" s="67" t="s">
        <v>18</v>
      </c>
      <c r="E68" s="67" t="s">
        <v>181</v>
      </c>
      <c r="F68" s="97">
        <v>1860</v>
      </c>
      <c r="G68" s="97">
        <v>1876</v>
      </c>
      <c r="H68" s="97">
        <v>16</v>
      </c>
      <c r="I68" s="20">
        <v>250</v>
      </c>
      <c r="J68" s="21">
        <f>H68*I68</f>
        <v>4000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8" si="7">B68+1</f>
        <v>3</v>
      </c>
      <c r="C69" s="18">
        <v>44685</v>
      </c>
      <c r="D69" s="19" t="s">
        <v>18</v>
      </c>
      <c r="E69" s="19" t="s">
        <v>119</v>
      </c>
      <c r="F69" s="35">
        <v>1302</v>
      </c>
      <c r="G69" s="97">
        <v>1290</v>
      </c>
      <c r="H69" s="35">
        <v>-12</v>
      </c>
      <c r="I69" s="20">
        <v>425</v>
      </c>
      <c r="J69" s="21">
        <f>H69*I69</f>
        <v>-5100</v>
      </c>
      <c r="K69" s="7"/>
      <c r="V69" s="5">
        <f t="shared" si="5"/>
        <v>0</v>
      </c>
      <c r="W69" s="5">
        <f t="shared" si="6"/>
        <v>1</v>
      </c>
    </row>
    <row r="70" spans="1:23" s="36" customFormat="1" x14ac:dyDescent="0.3">
      <c r="A70" s="6"/>
      <c r="B70" s="17">
        <f t="shared" si="7"/>
        <v>4</v>
      </c>
      <c r="C70" s="18">
        <v>44686</v>
      </c>
      <c r="D70" s="19" t="s">
        <v>18</v>
      </c>
      <c r="E70" s="19" t="s">
        <v>128</v>
      </c>
      <c r="F70" s="35">
        <v>2515</v>
      </c>
      <c r="G70" s="97">
        <v>2545</v>
      </c>
      <c r="H70" s="35">
        <f>2545-2515</f>
        <v>30</v>
      </c>
      <c r="I70" s="20">
        <v>300</v>
      </c>
      <c r="J70" s="21">
        <f>H70*I70</f>
        <v>9000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44687</v>
      </c>
      <c r="D71" s="19" t="s">
        <v>69</v>
      </c>
      <c r="E71" s="19" t="s">
        <v>75</v>
      </c>
      <c r="F71" s="35">
        <v>715</v>
      </c>
      <c r="G71" s="97">
        <v>712</v>
      </c>
      <c r="H71" s="35">
        <v>3</v>
      </c>
      <c r="I71" s="20">
        <v>1375</v>
      </c>
      <c r="J71" s="21">
        <f>H71*I71</f>
        <v>4125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44687</v>
      </c>
      <c r="D72" s="19" t="s">
        <v>18</v>
      </c>
      <c r="E72" s="19" t="s">
        <v>140</v>
      </c>
      <c r="F72" s="20">
        <v>3410</v>
      </c>
      <c r="G72" s="97">
        <v>3429</v>
      </c>
      <c r="H72" s="35">
        <f>3429-3410</f>
        <v>19</v>
      </c>
      <c r="I72" s="20">
        <v>200</v>
      </c>
      <c r="J72" s="21">
        <f t="shared" ref="J72:J128" si="8">I72*H72</f>
        <v>3800</v>
      </c>
      <c r="K72" s="7"/>
      <c r="V72" s="5">
        <f t="shared" si="5"/>
        <v>1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>
        <v>44690</v>
      </c>
      <c r="D73" s="19" t="s">
        <v>69</v>
      </c>
      <c r="E73" s="19" t="s">
        <v>71</v>
      </c>
      <c r="F73" s="35">
        <v>2535</v>
      </c>
      <c r="G73" s="97">
        <v>2528</v>
      </c>
      <c r="H73" s="35">
        <f>2535-2528</f>
        <v>7</v>
      </c>
      <c r="I73" s="20">
        <v>250</v>
      </c>
      <c r="J73" s="21">
        <f t="shared" si="8"/>
        <v>1750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44691</v>
      </c>
      <c r="D74" s="19" t="s">
        <v>18</v>
      </c>
      <c r="E74" s="19" t="s">
        <v>125</v>
      </c>
      <c r="F74" s="35">
        <v>2300</v>
      </c>
      <c r="G74" s="97">
        <v>2315</v>
      </c>
      <c r="H74" s="35">
        <v>15</v>
      </c>
      <c r="I74" s="20">
        <v>275</v>
      </c>
      <c r="J74" s="21">
        <f t="shared" si="8"/>
        <v>4125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44691</v>
      </c>
      <c r="D75" s="19" t="s">
        <v>69</v>
      </c>
      <c r="E75" s="19" t="s">
        <v>71</v>
      </c>
      <c r="F75" s="35">
        <v>2500</v>
      </c>
      <c r="G75" s="97">
        <v>2484</v>
      </c>
      <c r="H75" s="35">
        <f>2500-2484</f>
        <v>16</v>
      </c>
      <c r="I75" s="20">
        <v>250</v>
      </c>
      <c r="J75" s="21">
        <f t="shared" si="8"/>
        <v>4000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44692</v>
      </c>
      <c r="D76" s="19" t="s">
        <v>69</v>
      </c>
      <c r="E76" s="19" t="s">
        <v>680</v>
      </c>
      <c r="F76" s="35">
        <v>118.5</v>
      </c>
      <c r="G76" s="97">
        <v>116.5</v>
      </c>
      <c r="H76" s="35">
        <v>2</v>
      </c>
      <c r="I76" s="20">
        <v>3500</v>
      </c>
      <c r="J76" s="21">
        <f t="shared" si="8"/>
        <v>7000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>
        <v>44692</v>
      </c>
      <c r="D77" s="19" t="s">
        <v>18</v>
      </c>
      <c r="E77" s="19" t="s">
        <v>71</v>
      </c>
      <c r="F77" s="19">
        <v>2455</v>
      </c>
      <c r="G77" s="97">
        <v>2468</v>
      </c>
      <c r="H77" s="35">
        <v>13</v>
      </c>
      <c r="I77" s="20">
        <v>250</v>
      </c>
      <c r="J77" s="21">
        <f t="shared" si="8"/>
        <v>3250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>
        <v>44693</v>
      </c>
      <c r="D78" s="19" t="s">
        <v>18</v>
      </c>
      <c r="E78" s="19" t="s">
        <v>71</v>
      </c>
      <c r="F78" s="35">
        <v>2420</v>
      </c>
      <c r="G78" s="97">
        <v>2426</v>
      </c>
      <c r="H78" s="35">
        <v>6</v>
      </c>
      <c r="I78" s="20">
        <v>250</v>
      </c>
      <c r="J78" s="21">
        <f t="shared" si="8"/>
        <v>1500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44694</v>
      </c>
      <c r="D79" s="19" t="s">
        <v>18</v>
      </c>
      <c r="E79" s="19" t="s">
        <v>128</v>
      </c>
      <c r="F79" s="35">
        <v>2450</v>
      </c>
      <c r="G79" s="97">
        <v>2505</v>
      </c>
      <c r="H79" s="35">
        <v>55</v>
      </c>
      <c r="I79" s="20">
        <v>300</v>
      </c>
      <c r="J79" s="21">
        <f t="shared" si="8"/>
        <v>16500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44694</v>
      </c>
      <c r="D80" s="19" t="s">
        <v>18</v>
      </c>
      <c r="E80" s="19" t="s">
        <v>81</v>
      </c>
      <c r="F80" s="77">
        <v>1590</v>
      </c>
      <c r="G80" s="97">
        <v>1603</v>
      </c>
      <c r="H80" s="78">
        <f>1603-1590</f>
        <v>13</v>
      </c>
      <c r="I80" s="20">
        <v>550</v>
      </c>
      <c r="J80" s="21">
        <f t="shared" si="8"/>
        <v>7150</v>
      </c>
      <c r="K80" s="7"/>
      <c r="V80" s="5">
        <f t="shared" si="5"/>
        <v>1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>
        <v>44697</v>
      </c>
      <c r="D81" s="19" t="s">
        <v>18</v>
      </c>
      <c r="E81" s="19" t="s">
        <v>444</v>
      </c>
      <c r="F81" s="35">
        <v>2570</v>
      </c>
      <c r="G81" s="97">
        <v>2600</v>
      </c>
      <c r="H81" s="78">
        <f>2600-2570</f>
        <v>30</v>
      </c>
      <c r="I81" s="20">
        <v>350</v>
      </c>
      <c r="J81" s="21">
        <f t="shared" si="8"/>
        <v>10500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>
        <v>44697</v>
      </c>
      <c r="D82" s="19" t="s">
        <v>18</v>
      </c>
      <c r="E82" s="19" t="s">
        <v>684</v>
      </c>
      <c r="F82" s="35">
        <v>340</v>
      </c>
      <c r="G82" s="97">
        <v>342</v>
      </c>
      <c r="H82" s="78">
        <v>2</v>
      </c>
      <c r="I82" s="20">
        <v>1800</v>
      </c>
      <c r="J82" s="21">
        <f t="shared" si="8"/>
        <v>3600</v>
      </c>
      <c r="K82" s="7"/>
      <c r="V82" s="5">
        <f t="shared" si="5"/>
        <v>1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>
        <v>44698</v>
      </c>
      <c r="D83" s="19" t="s">
        <v>18</v>
      </c>
      <c r="E83" s="19" t="s">
        <v>685</v>
      </c>
      <c r="F83" s="35">
        <v>555</v>
      </c>
      <c r="G83" s="97">
        <v>552</v>
      </c>
      <c r="H83" s="35">
        <v>3</v>
      </c>
      <c r="I83" s="20">
        <v>1250</v>
      </c>
      <c r="J83" s="21">
        <f t="shared" si="8"/>
        <v>3750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>
        <v>44698</v>
      </c>
      <c r="D84" s="19" t="s">
        <v>18</v>
      </c>
      <c r="E84" s="19" t="s">
        <v>609</v>
      </c>
      <c r="F84" s="35">
        <v>2955</v>
      </c>
      <c r="G84" s="97">
        <v>2947</v>
      </c>
      <c r="H84" s="35">
        <f>2955-2947</f>
        <v>8</v>
      </c>
      <c r="I84" s="20">
        <v>150</v>
      </c>
      <c r="J84" s="21">
        <f t="shared" si="8"/>
        <v>1200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>
        <v>44699</v>
      </c>
      <c r="D85" s="19" t="s">
        <v>18</v>
      </c>
      <c r="E85" s="19" t="s">
        <v>685</v>
      </c>
      <c r="F85" s="35">
        <v>578</v>
      </c>
      <c r="G85" s="97">
        <v>584</v>
      </c>
      <c r="H85" s="35">
        <f>584-578</f>
        <v>6</v>
      </c>
      <c r="I85" s="20">
        <v>1250</v>
      </c>
      <c r="J85" s="21">
        <f t="shared" si="8"/>
        <v>7500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>
        <v>44699</v>
      </c>
      <c r="D86" s="19" t="s">
        <v>69</v>
      </c>
      <c r="E86" s="19" t="s">
        <v>543</v>
      </c>
      <c r="F86" s="35">
        <v>690</v>
      </c>
      <c r="G86" s="97">
        <v>687</v>
      </c>
      <c r="H86" s="35">
        <v>2</v>
      </c>
      <c r="I86" s="20">
        <v>850</v>
      </c>
      <c r="J86" s="21">
        <f t="shared" si="8"/>
        <v>1700</v>
      </c>
      <c r="K86" s="7"/>
      <c r="V86" s="5">
        <f t="shared" si="5"/>
        <v>1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>
        <v>44700</v>
      </c>
      <c r="D87" s="19" t="s">
        <v>18</v>
      </c>
      <c r="E87" s="19" t="s">
        <v>71</v>
      </c>
      <c r="F87" s="35">
        <v>2505</v>
      </c>
      <c r="G87" s="97">
        <v>2513</v>
      </c>
      <c r="H87" s="35">
        <f>2513-2505</f>
        <v>8</v>
      </c>
      <c r="I87" s="20">
        <v>250</v>
      </c>
      <c r="J87" s="21">
        <f t="shared" si="8"/>
        <v>2000</v>
      </c>
      <c r="K87" s="7"/>
      <c r="V87" s="5">
        <f t="shared" si="5"/>
        <v>1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>
        <v>44700</v>
      </c>
      <c r="D88" s="19" t="s">
        <v>18</v>
      </c>
      <c r="E88" s="19" t="s">
        <v>237</v>
      </c>
      <c r="F88" s="35">
        <v>3930</v>
      </c>
      <c r="G88" s="97">
        <v>3990</v>
      </c>
      <c r="H88" s="35">
        <v>30</v>
      </c>
      <c r="I88" s="20">
        <v>125</v>
      </c>
      <c r="J88" s="21">
        <f t="shared" si="8"/>
        <v>3750</v>
      </c>
      <c r="K88" s="7"/>
      <c r="V88" s="5">
        <f t="shared" si="5"/>
        <v>1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>
        <v>44701</v>
      </c>
      <c r="D89" s="19" t="s">
        <v>18</v>
      </c>
      <c r="E89" s="19" t="s">
        <v>71</v>
      </c>
      <c r="F89" s="35">
        <v>2540</v>
      </c>
      <c r="G89" s="97">
        <v>2580</v>
      </c>
      <c r="H89" s="35">
        <v>40</v>
      </c>
      <c r="I89" s="20">
        <v>125</v>
      </c>
      <c r="J89" s="21">
        <f t="shared" si="8"/>
        <v>5000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>
        <v>44701</v>
      </c>
      <c r="D90" s="19" t="s">
        <v>69</v>
      </c>
      <c r="E90" s="19" t="s">
        <v>327</v>
      </c>
      <c r="F90" s="35">
        <v>760</v>
      </c>
      <c r="G90" s="97">
        <v>754.5</v>
      </c>
      <c r="H90" s="35">
        <v>0.5</v>
      </c>
      <c r="I90" s="20">
        <v>500</v>
      </c>
      <c r="J90" s="21">
        <f t="shared" si="8"/>
        <v>250</v>
      </c>
      <c r="K90" s="7"/>
      <c r="V90" s="5">
        <f t="shared" si="5"/>
        <v>1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>
        <v>44704</v>
      </c>
      <c r="D91" s="19" t="s">
        <v>18</v>
      </c>
      <c r="E91" s="19" t="s">
        <v>75</v>
      </c>
      <c r="F91" s="35">
        <v>717</v>
      </c>
      <c r="G91" s="97">
        <v>725</v>
      </c>
      <c r="H91" s="35">
        <f>725-717</f>
        <v>8</v>
      </c>
      <c r="I91" s="20">
        <v>1375</v>
      </c>
      <c r="J91" s="21">
        <f t="shared" si="8"/>
        <v>11000</v>
      </c>
      <c r="K91" s="7"/>
      <c r="V91" s="5">
        <f t="shared" si="5"/>
        <v>1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>
        <v>44704</v>
      </c>
      <c r="D92" s="19" t="s">
        <v>18</v>
      </c>
      <c r="E92" s="19" t="s">
        <v>564</v>
      </c>
      <c r="F92" s="35">
        <v>2385</v>
      </c>
      <c r="G92" s="97">
        <v>2393</v>
      </c>
      <c r="H92" s="35">
        <f>2393-2385</f>
        <v>8</v>
      </c>
      <c r="I92" s="20">
        <v>375</v>
      </c>
      <c r="J92" s="21">
        <f t="shared" si="8"/>
        <v>3000</v>
      </c>
      <c r="K92" s="7"/>
      <c r="V92" s="5">
        <f t="shared" si="5"/>
        <v>1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>
        <v>44705</v>
      </c>
      <c r="D93" s="19" t="s">
        <v>18</v>
      </c>
      <c r="E93" s="19" t="s">
        <v>75</v>
      </c>
      <c r="F93" s="35">
        <v>714</v>
      </c>
      <c r="G93" s="97">
        <v>718.2</v>
      </c>
      <c r="H93" s="35">
        <v>4.2</v>
      </c>
      <c r="I93" s="20">
        <v>1375</v>
      </c>
      <c r="J93" s="21">
        <f t="shared" si="8"/>
        <v>5775</v>
      </c>
      <c r="K93" s="7"/>
      <c r="V93" s="5">
        <f t="shared" si="5"/>
        <v>1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>
        <v>44705</v>
      </c>
      <c r="D94" s="19" t="s">
        <v>69</v>
      </c>
      <c r="E94" s="19" t="s">
        <v>609</v>
      </c>
      <c r="F94" s="35">
        <v>3140</v>
      </c>
      <c r="G94" s="97">
        <v>3100</v>
      </c>
      <c r="H94" s="35">
        <v>40</v>
      </c>
      <c r="I94" s="20">
        <v>150</v>
      </c>
      <c r="J94" s="21">
        <f t="shared" si="8"/>
        <v>6000</v>
      </c>
      <c r="K94" s="7"/>
      <c r="V94" s="5">
        <f t="shared" si="5"/>
        <v>1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>
        <v>44706</v>
      </c>
      <c r="D95" s="19" t="s">
        <v>18</v>
      </c>
      <c r="E95" s="19" t="s">
        <v>75</v>
      </c>
      <c r="F95" s="35">
        <v>717</v>
      </c>
      <c r="G95" s="97">
        <v>720</v>
      </c>
      <c r="H95" s="35">
        <v>3</v>
      </c>
      <c r="I95" s="20">
        <v>1375</v>
      </c>
      <c r="J95" s="21">
        <f t="shared" si="8"/>
        <v>4125</v>
      </c>
      <c r="K95" s="7"/>
      <c r="V95" s="5">
        <f t="shared" si="5"/>
        <v>1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>
        <v>44708</v>
      </c>
      <c r="D96" s="19" t="s">
        <v>18</v>
      </c>
      <c r="E96" s="19" t="s">
        <v>70</v>
      </c>
      <c r="F96" s="35">
        <v>692</v>
      </c>
      <c r="G96" s="97">
        <v>708</v>
      </c>
      <c r="H96" s="35">
        <f>708-692</f>
        <v>16</v>
      </c>
      <c r="I96" s="20">
        <v>1200</v>
      </c>
      <c r="J96" s="21">
        <f t="shared" si="8"/>
        <v>19200</v>
      </c>
      <c r="K96" s="7"/>
      <c r="V96" s="5">
        <f t="shared" si="5"/>
        <v>1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>
        <v>44708</v>
      </c>
      <c r="D97" s="19" t="s">
        <v>69</v>
      </c>
      <c r="E97" s="19" t="s">
        <v>71</v>
      </c>
      <c r="F97" s="35">
        <v>2580</v>
      </c>
      <c r="G97" s="97">
        <v>2551</v>
      </c>
      <c r="H97" s="35">
        <f>2580-2551</f>
        <v>29</v>
      </c>
      <c r="I97" s="20">
        <v>250</v>
      </c>
      <c r="J97" s="21">
        <f t="shared" si="8"/>
        <v>7250</v>
      </c>
      <c r="K97" s="7"/>
      <c r="V97" s="5">
        <f t="shared" si="5"/>
        <v>1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>
        <v>44711</v>
      </c>
      <c r="D98" s="19" t="s">
        <v>18</v>
      </c>
      <c r="E98" s="19" t="s">
        <v>71</v>
      </c>
      <c r="F98" s="35">
        <v>2630</v>
      </c>
      <c r="G98" s="97">
        <v>2670</v>
      </c>
      <c r="H98" s="35">
        <f>2670-2630</f>
        <v>40</v>
      </c>
      <c r="I98" s="20">
        <v>125</v>
      </c>
      <c r="J98" s="21">
        <f t="shared" si="8"/>
        <v>5000</v>
      </c>
      <c r="K98" s="7"/>
      <c r="V98" s="5">
        <f t="shared" si="5"/>
        <v>1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>
        <v>44711</v>
      </c>
      <c r="D99" s="19" t="s">
        <v>18</v>
      </c>
      <c r="E99" s="19" t="s">
        <v>606</v>
      </c>
      <c r="F99" s="35">
        <v>1110</v>
      </c>
      <c r="G99" s="97">
        <v>1120</v>
      </c>
      <c r="H99" s="35">
        <v>10</v>
      </c>
      <c r="I99" s="20">
        <v>725</v>
      </c>
      <c r="J99" s="21">
        <f t="shared" si="8"/>
        <v>7250</v>
      </c>
      <c r="K99" s="7"/>
      <c r="V99" s="5">
        <f t="shared" si="5"/>
        <v>1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>
        <v>44712</v>
      </c>
      <c r="D100" s="19" t="s">
        <v>69</v>
      </c>
      <c r="E100" s="19" t="s">
        <v>71</v>
      </c>
      <c r="F100" s="35">
        <v>2650</v>
      </c>
      <c r="G100" s="97">
        <v>2670</v>
      </c>
      <c r="H100" s="35">
        <v>-20</v>
      </c>
      <c r="I100" s="20">
        <v>125</v>
      </c>
      <c r="J100" s="21">
        <f t="shared" si="8"/>
        <v>-2500</v>
      </c>
      <c r="K100" s="7"/>
      <c r="V100" s="5">
        <f t="shared" si="5"/>
        <v>0</v>
      </c>
      <c r="W100" s="5">
        <f t="shared" si="6"/>
        <v>1</v>
      </c>
    </row>
    <row r="101" spans="1:23" s="36" customFormat="1" x14ac:dyDescent="0.3">
      <c r="A101" s="6"/>
      <c r="B101" s="17">
        <v>35</v>
      </c>
      <c r="C101" s="18">
        <v>44712</v>
      </c>
      <c r="D101" s="19" t="s">
        <v>18</v>
      </c>
      <c r="E101" s="19" t="s">
        <v>75</v>
      </c>
      <c r="F101" s="35">
        <v>750</v>
      </c>
      <c r="G101" s="97">
        <v>755</v>
      </c>
      <c r="H101" s="35">
        <v>5</v>
      </c>
      <c r="I101" s="20">
        <v>1375</v>
      </c>
      <c r="J101" s="21">
        <f t="shared" si="8"/>
        <v>6875</v>
      </c>
      <c r="K101" s="7"/>
      <c r="V101" s="5">
        <f t="shared" si="5"/>
        <v>1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ht="15" thickBot="1" x14ac:dyDescent="0.35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ht="15" hidden="1" thickBot="1" x14ac:dyDescent="0.35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t="15" hidden="1" thickBot="1" x14ac:dyDescent="0.35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t="15" hidden="1" thickBot="1" x14ac:dyDescent="0.35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t="15" hidden="1" thickBot="1" x14ac:dyDescent="0.35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t="15" hidden="1" thickBot="1" x14ac:dyDescent="0.35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t="15" hidden="1" thickBot="1" x14ac:dyDescent="0.35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t="15" hidden="1" thickBot="1" x14ac:dyDescent="0.35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t="15" hidden="1" thickBot="1" x14ac:dyDescent="0.35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t="15" hidden="1" thickBot="1" x14ac:dyDescent="0.35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t="15" hidden="1" thickBot="1" x14ac:dyDescent="0.35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hidden="1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15" hidden="1" thickBot="1" x14ac:dyDescent="0.35">
      <c r="A121" s="6"/>
      <c r="B121" s="17">
        <f t="shared" si="7"/>
        <v>51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52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15" hidden="1" thickBot="1" x14ac:dyDescent="0.35">
      <c r="A123" s="6"/>
      <c r="B123" s="17">
        <f t="shared" si="7"/>
        <v>53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hidden="1" thickBot="1" x14ac:dyDescent="0.35">
      <c r="A124" s="6"/>
      <c r="B124" s="17">
        <f t="shared" si="7"/>
        <v>54</v>
      </c>
      <c r="C124" s="18"/>
      <c r="D124" s="19"/>
      <c r="E124" s="19"/>
      <c r="F124" s="35"/>
      <c r="G124" s="35"/>
      <c r="H124" s="35"/>
      <c r="I124" s="20"/>
      <c r="J124" s="21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15" hidden="1" thickBot="1" x14ac:dyDescent="0.35">
      <c r="A125" s="6"/>
      <c r="B125" s="17">
        <f t="shared" si="7"/>
        <v>55</v>
      </c>
      <c r="C125" s="18"/>
      <c r="D125" s="19"/>
      <c r="E125" s="19"/>
      <c r="F125" s="35"/>
      <c r="G125" s="35"/>
      <c r="H125" s="35"/>
      <c r="I125" s="20"/>
      <c r="J125" s="21">
        <f t="shared" si="8"/>
        <v>0</v>
      </c>
      <c r="K125" s="7"/>
      <c r="V125" s="5">
        <f t="shared" si="5"/>
        <v>0</v>
      </c>
      <c r="W125" s="5">
        <f t="shared" si="6"/>
        <v>0</v>
      </c>
    </row>
    <row r="126" spans="1:23" s="36" customFormat="1" ht="15" hidden="1" thickBot="1" x14ac:dyDescent="0.35">
      <c r="A126" s="6"/>
      <c r="B126" s="17">
        <f t="shared" si="7"/>
        <v>56</v>
      </c>
      <c r="C126" s="18"/>
      <c r="D126" s="19"/>
      <c r="E126" s="19"/>
      <c r="F126" s="35"/>
      <c r="G126" s="35"/>
      <c r="H126" s="35"/>
      <c r="I126" s="20"/>
      <c r="J126" s="21">
        <f t="shared" si="8"/>
        <v>0</v>
      </c>
      <c r="K126" s="7"/>
      <c r="V126" s="5">
        <f t="shared" si="5"/>
        <v>0</v>
      </c>
      <c r="W126" s="5">
        <f t="shared" si="6"/>
        <v>0</v>
      </c>
    </row>
    <row r="127" spans="1:23" s="36" customFormat="1" ht="15" hidden="1" thickBot="1" x14ac:dyDescent="0.35">
      <c r="A127" s="6"/>
      <c r="B127" s="17">
        <f t="shared" si="7"/>
        <v>57</v>
      </c>
      <c r="C127" s="18"/>
      <c r="D127" s="19"/>
      <c r="E127" s="19"/>
      <c r="F127" s="35"/>
      <c r="G127" s="35"/>
      <c r="H127" s="35"/>
      <c r="I127" s="20"/>
      <c r="J127" s="21">
        <f t="shared" si="8"/>
        <v>0</v>
      </c>
      <c r="K127" s="7"/>
      <c r="V127" s="5">
        <f t="shared" si="5"/>
        <v>0</v>
      </c>
      <c r="W127" s="5">
        <f t="shared" si="6"/>
        <v>0</v>
      </c>
    </row>
    <row r="128" spans="1:23" s="36" customFormat="1" ht="15" hidden="1" thickBot="1" x14ac:dyDescent="0.35">
      <c r="A128" s="6"/>
      <c r="B128" s="17">
        <f t="shared" si="7"/>
        <v>58</v>
      </c>
      <c r="C128" s="79"/>
      <c r="D128" s="80"/>
      <c r="E128" s="80"/>
      <c r="F128" s="81"/>
      <c r="G128" s="81"/>
      <c r="H128" s="80"/>
      <c r="I128" s="81"/>
      <c r="J128" s="82">
        <f t="shared" si="8"/>
        <v>0</v>
      </c>
      <c r="K128" s="7"/>
      <c r="V128" s="5">
        <f t="shared" si="5"/>
        <v>0</v>
      </c>
      <c r="W128" s="5">
        <f t="shared" si="6"/>
        <v>0</v>
      </c>
    </row>
    <row r="129" spans="1:23" s="36" customFormat="1" ht="24" thickBot="1" x14ac:dyDescent="0.5">
      <c r="A129" s="6"/>
      <c r="B129" s="144" t="s">
        <v>22</v>
      </c>
      <c r="C129" s="145"/>
      <c r="D129" s="145"/>
      <c r="E129" s="145"/>
      <c r="F129" s="145"/>
      <c r="G129" s="145"/>
      <c r="H129" s="146"/>
      <c r="I129" s="83" t="s">
        <v>23</v>
      </c>
      <c r="J129" s="84">
        <f>SUM(J67:J128)</f>
        <v>174825</v>
      </c>
      <c r="K129" s="7"/>
      <c r="L129" s="5"/>
      <c r="M129" s="5"/>
      <c r="N129" s="5"/>
      <c r="O129" s="5"/>
      <c r="P129" s="5"/>
      <c r="Q129" s="5"/>
      <c r="R129" s="5"/>
      <c r="V129" s="36">
        <f>SUM(V67:V128)</f>
        <v>33</v>
      </c>
      <c r="W129" s="36">
        <f>SUM(W67:W128)</f>
        <v>2</v>
      </c>
    </row>
    <row r="130" spans="1:23" s="36" customFormat="1" ht="30" customHeight="1" thickBot="1" x14ac:dyDescent="0.35">
      <c r="A130" s="30"/>
      <c r="B130" s="31"/>
      <c r="C130" s="31"/>
      <c r="D130" s="31"/>
      <c r="E130" s="31"/>
      <c r="F130" s="31"/>
      <c r="G130" s="31"/>
      <c r="H130" s="32"/>
      <c r="I130" s="31"/>
      <c r="J130" s="32"/>
      <c r="K130" s="33"/>
      <c r="L130" s="5"/>
      <c r="M130" s="5"/>
      <c r="N130" s="5"/>
      <c r="O130" s="5"/>
      <c r="P130" s="5"/>
      <c r="Q130" s="5"/>
      <c r="R130" s="5"/>
    </row>
    <row r="131" spans="1:23" ht="15" thickBot="1" x14ac:dyDescent="0.35"/>
    <row r="132" spans="1:23" s="36" customFormat="1" ht="30" customHeight="1" thickBot="1" x14ac:dyDescent="0.35">
      <c r="A132" s="1"/>
      <c r="B132" s="2"/>
      <c r="C132" s="2"/>
      <c r="D132" s="2"/>
      <c r="E132" s="2"/>
      <c r="F132" s="2"/>
      <c r="G132" s="2"/>
      <c r="H132" s="3"/>
      <c r="I132" s="2"/>
      <c r="J132" s="3"/>
      <c r="K132" s="4"/>
    </row>
    <row r="133" spans="1:23" s="36" customFormat="1" ht="25.2" thickBot="1" x14ac:dyDescent="0.35">
      <c r="A133" s="6" t="s">
        <v>1</v>
      </c>
      <c r="B133" s="119" t="s">
        <v>2</v>
      </c>
      <c r="C133" s="120"/>
      <c r="D133" s="120"/>
      <c r="E133" s="120"/>
      <c r="F133" s="120"/>
      <c r="G133" s="120"/>
      <c r="H133" s="120"/>
      <c r="I133" s="120"/>
      <c r="J133" s="121"/>
      <c r="K133" s="7"/>
    </row>
    <row r="134" spans="1:23" s="36" customFormat="1" ht="16.2" thickBot="1" x14ac:dyDescent="0.35">
      <c r="A134" s="6"/>
      <c r="B134" s="168" t="s">
        <v>674</v>
      </c>
      <c r="C134" s="169"/>
      <c r="D134" s="169"/>
      <c r="E134" s="169"/>
      <c r="F134" s="169"/>
      <c r="G134" s="169"/>
      <c r="H134" s="169"/>
      <c r="I134" s="169"/>
      <c r="J134" s="170"/>
      <c r="K134" s="7"/>
      <c r="L134" s="22"/>
    </row>
    <row r="135" spans="1:23" s="36" customFormat="1" ht="16.2" thickBot="1" x14ac:dyDescent="0.35">
      <c r="A135" s="6"/>
      <c r="B135" s="106" t="s">
        <v>215</v>
      </c>
      <c r="C135" s="107"/>
      <c r="D135" s="107"/>
      <c r="E135" s="107"/>
      <c r="F135" s="107"/>
      <c r="G135" s="107"/>
      <c r="H135" s="107"/>
      <c r="I135" s="107"/>
      <c r="J135" s="108"/>
      <c r="K135" s="7"/>
    </row>
    <row r="136" spans="1:23" s="22" customFormat="1" ht="15" thickBot="1" x14ac:dyDescent="0.35">
      <c r="A136" s="69"/>
      <c r="B136" s="70" t="s">
        <v>9</v>
      </c>
      <c r="C136" s="71" t="s">
        <v>10</v>
      </c>
      <c r="D136" s="72" t="s">
        <v>11</v>
      </c>
      <c r="E136" s="72" t="s">
        <v>12</v>
      </c>
      <c r="F136" s="73" t="s">
        <v>65</v>
      </c>
      <c r="G136" s="73" t="s">
        <v>66</v>
      </c>
      <c r="H136" s="74" t="s">
        <v>67</v>
      </c>
      <c r="I136" s="73" t="s">
        <v>68</v>
      </c>
      <c r="J136" s="75" t="s">
        <v>17</v>
      </c>
      <c r="K136" s="76"/>
      <c r="L136" s="36"/>
      <c r="M136" s="36"/>
      <c r="N136" s="36"/>
      <c r="O136" s="36" t="s">
        <v>21</v>
      </c>
      <c r="P136" s="36"/>
      <c r="Q136" s="36"/>
      <c r="R136" s="36"/>
      <c r="V136" s="5" t="s">
        <v>5</v>
      </c>
      <c r="W136" s="5" t="s">
        <v>6</v>
      </c>
    </row>
    <row r="137" spans="1:23" s="36" customFormat="1" x14ac:dyDescent="0.3">
      <c r="A137" s="6"/>
      <c r="B137" s="14">
        <v>1</v>
      </c>
      <c r="C137" s="93">
        <v>44683</v>
      </c>
      <c r="D137" s="94" t="s">
        <v>18</v>
      </c>
      <c r="E137" s="94" t="s">
        <v>591</v>
      </c>
      <c r="F137" s="60">
        <v>105</v>
      </c>
      <c r="G137" s="60">
        <v>117</v>
      </c>
      <c r="H137" s="60">
        <f>117-105</f>
        <v>12</v>
      </c>
      <c r="I137" s="15">
        <v>300</v>
      </c>
      <c r="J137" s="16">
        <f t="shared" ref="J137:J182" si="9">I137*H137</f>
        <v>3600</v>
      </c>
      <c r="K137" s="7"/>
      <c r="V137" s="5">
        <f t="shared" ref="V137:V182" si="10">IF($J137&gt;0,1,0)</f>
        <v>1</v>
      </c>
      <c r="W137" s="5">
        <f t="shared" ref="W137:W182" si="11">IF($J137&lt;0,1,0)</f>
        <v>0</v>
      </c>
    </row>
    <row r="138" spans="1:23" s="36" customFormat="1" x14ac:dyDescent="0.3">
      <c r="A138" s="6"/>
      <c r="B138" s="17">
        <f>B137+1</f>
        <v>2</v>
      </c>
      <c r="C138" s="18">
        <v>44683</v>
      </c>
      <c r="D138" s="19" t="s">
        <v>18</v>
      </c>
      <c r="E138" s="19" t="s">
        <v>591</v>
      </c>
      <c r="F138" s="35">
        <v>100</v>
      </c>
      <c r="G138" s="35">
        <v>108</v>
      </c>
      <c r="H138" s="35">
        <v>8</v>
      </c>
      <c r="I138" s="20">
        <v>300</v>
      </c>
      <c r="J138" s="21">
        <f t="shared" si="9"/>
        <v>2400</v>
      </c>
      <c r="K138" s="7"/>
      <c r="L138" s="36" t="s">
        <v>21</v>
      </c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ref="B139:B159" si="12">B138+1</f>
        <v>3</v>
      </c>
      <c r="C139" s="18">
        <v>44685</v>
      </c>
      <c r="D139" s="19" t="s">
        <v>18</v>
      </c>
      <c r="E139" s="19" t="s">
        <v>576</v>
      </c>
      <c r="F139" s="35">
        <v>80</v>
      </c>
      <c r="G139" s="35">
        <v>110</v>
      </c>
      <c r="H139" s="35">
        <v>30</v>
      </c>
      <c r="I139" s="20">
        <v>300</v>
      </c>
      <c r="J139" s="21">
        <f t="shared" si="9"/>
        <v>9000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4</v>
      </c>
      <c r="C140" s="18">
        <v>44685</v>
      </c>
      <c r="D140" s="19" t="s">
        <v>18</v>
      </c>
      <c r="E140" s="19" t="s">
        <v>591</v>
      </c>
      <c r="F140" s="35">
        <v>95</v>
      </c>
      <c r="G140" s="35">
        <v>125</v>
      </c>
      <c r="H140" s="35">
        <v>30</v>
      </c>
      <c r="I140" s="20">
        <v>300</v>
      </c>
      <c r="J140" s="21">
        <f t="shared" si="9"/>
        <v>9000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5</v>
      </c>
      <c r="C141" s="18">
        <v>44686</v>
      </c>
      <c r="D141" s="19" t="s">
        <v>18</v>
      </c>
      <c r="E141" s="19" t="s">
        <v>442</v>
      </c>
      <c r="F141" s="35">
        <v>50</v>
      </c>
      <c r="G141" s="35">
        <v>80</v>
      </c>
      <c r="H141" s="35">
        <v>30</v>
      </c>
      <c r="I141" s="20">
        <v>300</v>
      </c>
      <c r="J141" s="21">
        <f t="shared" si="9"/>
        <v>9000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6</v>
      </c>
      <c r="C142" s="18">
        <v>44686</v>
      </c>
      <c r="D142" s="19" t="s">
        <v>18</v>
      </c>
      <c r="E142" s="19" t="s">
        <v>591</v>
      </c>
      <c r="F142" s="20">
        <v>70</v>
      </c>
      <c r="G142" s="35">
        <v>85</v>
      </c>
      <c r="H142" s="35">
        <v>15</v>
      </c>
      <c r="I142" s="20">
        <v>300</v>
      </c>
      <c r="J142" s="21">
        <f t="shared" si="9"/>
        <v>4500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7</v>
      </c>
      <c r="C143" s="18">
        <v>44687</v>
      </c>
      <c r="D143" s="19" t="s">
        <v>18</v>
      </c>
      <c r="E143" s="19" t="s">
        <v>440</v>
      </c>
      <c r="F143" s="35">
        <v>105</v>
      </c>
      <c r="G143" s="35">
        <v>117</v>
      </c>
      <c r="H143" s="35">
        <f>117-105</f>
        <v>12</v>
      </c>
      <c r="I143" s="20">
        <v>300</v>
      </c>
      <c r="J143" s="21">
        <f t="shared" si="9"/>
        <v>3600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8</v>
      </c>
      <c r="C144" s="18">
        <v>44687</v>
      </c>
      <c r="D144" s="19" t="s">
        <v>18</v>
      </c>
      <c r="E144" s="19" t="s">
        <v>675</v>
      </c>
      <c r="F144" s="35">
        <v>125</v>
      </c>
      <c r="G144" s="35">
        <v>132</v>
      </c>
      <c r="H144" s="35">
        <f>132-125</f>
        <v>7</v>
      </c>
      <c r="I144" s="20">
        <v>300</v>
      </c>
      <c r="J144" s="21">
        <f t="shared" si="9"/>
        <v>2100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9</v>
      </c>
      <c r="C145" s="18">
        <v>44690</v>
      </c>
      <c r="D145" s="19" t="s">
        <v>18</v>
      </c>
      <c r="E145" s="19" t="s">
        <v>432</v>
      </c>
      <c r="F145" s="35">
        <v>115</v>
      </c>
      <c r="G145" s="35">
        <v>121</v>
      </c>
      <c r="H145" s="35">
        <f>121-115</f>
        <v>6</v>
      </c>
      <c r="I145" s="20">
        <v>300</v>
      </c>
      <c r="J145" s="21">
        <f t="shared" si="9"/>
        <v>1800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10</v>
      </c>
      <c r="C146" s="18">
        <v>44690</v>
      </c>
      <c r="D146" s="19" t="s">
        <v>18</v>
      </c>
      <c r="E146" s="19" t="s">
        <v>676</v>
      </c>
      <c r="F146" s="35">
        <v>105</v>
      </c>
      <c r="G146" s="35">
        <v>135</v>
      </c>
      <c r="H146" s="35">
        <v>30</v>
      </c>
      <c r="I146" s="20">
        <v>300</v>
      </c>
      <c r="J146" s="21">
        <f t="shared" si="9"/>
        <v>9000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11</v>
      </c>
      <c r="C147" s="18">
        <v>44691</v>
      </c>
      <c r="D147" s="19" t="s">
        <v>18</v>
      </c>
      <c r="E147" s="19" t="s">
        <v>677</v>
      </c>
      <c r="F147" s="19">
        <v>95</v>
      </c>
      <c r="G147" s="35">
        <v>125</v>
      </c>
      <c r="H147" s="35">
        <v>30</v>
      </c>
      <c r="I147" s="20">
        <v>300</v>
      </c>
      <c r="J147" s="21">
        <f t="shared" si="9"/>
        <v>9000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12</v>
      </c>
      <c r="C148" s="18">
        <v>44691</v>
      </c>
      <c r="D148" s="19" t="s">
        <v>18</v>
      </c>
      <c r="E148" s="19" t="s">
        <v>432</v>
      </c>
      <c r="F148" s="35">
        <v>95</v>
      </c>
      <c r="G148" s="35">
        <v>100</v>
      </c>
      <c r="H148" s="35">
        <v>5</v>
      </c>
      <c r="I148" s="20">
        <v>300</v>
      </c>
      <c r="J148" s="21">
        <f t="shared" si="9"/>
        <v>1500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13</v>
      </c>
      <c r="C149" s="18">
        <v>44692</v>
      </c>
      <c r="D149" s="19" t="s">
        <v>18</v>
      </c>
      <c r="E149" s="19" t="s">
        <v>644</v>
      </c>
      <c r="F149" s="35">
        <v>80</v>
      </c>
      <c r="G149" s="35">
        <v>110</v>
      </c>
      <c r="H149" s="35">
        <v>30</v>
      </c>
      <c r="I149" s="20">
        <v>300</v>
      </c>
      <c r="J149" s="21">
        <f t="shared" si="9"/>
        <v>9000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14</v>
      </c>
      <c r="C150" s="18">
        <v>44692</v>
      </c>
      <c r="D150" s="19" t="s">
        <v>18</v>
      </c>
      <c r="E150" s="19" t="s">
        <v>644</v>
      </c>
      <c r="F150" s="77">
        <v>95</v>
      </c>
      <c r="G150" s="35">
        <v>125</v>
      </c>
      <c r="H150" s="78">
        <v>30</v>
      </c>
      <c r="I150" s="20">
        <v>300</v>
      </c>
      <c r="J150" s="21">
        <f t="shared" si="9"/>
        <v>9000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15</v>
      </c>
      <c r="C151" s="18">
        <v>44693</v>
      </c>
      <c r="D151" s="19" t="s">
        <v>18</v>
      </c>
      <c r="E151" s="19" t="s">
        <v>415</v>
      </c>
      <c r="F151" s="35">
        <v>80</v>
      </c>
      <c r="G151" s="35">
        <v>65</v>
      </c>
      <c r="H151" s="78">
        <v>-15</v>
      </c>
      <c r="I151" s="20">
        <v>300</v>
      </c>
      <c r="J151" s="21">
        <f t="shared" si="9"/>
        <v>-4500</v>
      </c>
      <c r="K151" s="7"/>
      <c r="V151" s="5">
        <f t="shared" si="10"/>
        <v>0</v>
      </c>
      <c r="W151" s="5">
        <f t="shared" si="11"/>
        <v>1</v>
      </c>
    </row>
    <row r="152" spans="1:23" s="36" customFormat="1" x14ac:dyDescent="0.3">
      <c r="A152" s="6"/>
      <c r="B152" s="17">
        <f t="shared" si="12"/>
        <v>16</v>
      </c>
      <c r="C152" s="18">
        <v>44693</v>
      </c>
      <c r="D152" s="19" t="s">
        <v>18</v>
      </c>
      <c r="E152" s="19" t="s">
        <v>415</v>
      </c>
      <c r="F152" s="35">
        <v>90</v>
      </c>
      <c r="G152" s="35">
        <v>120</v>
      </c>
      <c r="H152" s="78">
        <v>30</v>
      </c>
      <c r="I152" s="20">
        <v>300</v>
      </c>
      <c r="J152" s="21">
        <f t="shared" si="9"/>
        <v>9000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17</v>
      </c>
      <c r="C153" s="18">
        <v>44694</v>
      </c>
      <c r="D153" s="19" t="s">
        <v>18</v>
      </c>
      <c r="E153" s="19" t="s">
        <v>408</v>
      </c>
      <c r="F153" s="35">
        <v>140</v>
      </c>
      <c r="G153" s="35">
        <v>154</v>
      </c>
      <c r="H153" s="78">
        <v>14</v>
      </c>
      <c r="I153" s="20">
        <v>300</v>
      </c>
      <c r="J153" s="21">
        <f t="shared" si="9"/>
        <v>4200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2"/>
        <v>18</v>
      </c>
      <c r="C154" s="18">
        <v>44694</v>
      </c>
      <c r="D154" s="19" t="s">
        <v>18</v>
      </c>
      <c r="E154" s="19" t="s">
        <v>679</v>
      </c>
      <c r="F154" s="35">
        <v>130</v>
      </c>
      <c r="G154" s="35">
        <v>150</v>
      </c>
      <c r="H154" s="78">
        <v>20</v>
      </c>
      <c r="I154" s="20">
        <v>300</v>
      </c>
      <c r="J154" s="21">
        <f t="shared" si="9"/>
        <v>6000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2"/>
        <v>19</v>
      </c>
      <c r="C155" s="18">
        <v>44697</v>
      </c>
      <c r="D155" s="19" t="s">
        <v>18</v>
      </c>
      <c r="E155" s="19" t="s">
        <v>403</v>
      </c>
      <c r="F155" s="35">
        <v>120</v>
      </c>
      <c r="G155" s="35">
        <v>150</v>
      </c>
      <c r="H155" s="78">
        <v>30</v>
      </c>
      <c r="I155" s="20">
        <v>300</v>
      </c>
      <c r="J155" s="21">
        <f t="shared" si="9"/>
        <v>9000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2"/>
        <v>20</v>
      </c>
      <c r="C156" s="18">
        <v>44697</v>
      </c>
      <c r="D156" s="19" t="s">
        <v>18</v>
      </c>
      <c r="E156" s="19" t="s">
        <v>664</v>
      </c>
      <c r="F156" s="35">
        <v>115</v>
      </c>
      <c r="G156" s="35">
        <v>142</v>
      </c>
      <c r="H156" s="35">
        <f>142-115</f>
        <v>27</v>
      </c>
      <c r="I156" s="20">
        <v>300</v>
      </c>
      <c r="J156" s="21">
        <f t="shared" si="9"/>
        <v>8100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2"/>
        <v>21</v>
      </c>
      <c r="C157" s="18">
        <v>44698</v>
      </c>
      <c r="D157" s="19" t="s">
        <v>18</v>
      </c>
      <c r="E157" s="19" t="s">
        <v>664</v>
      </c>
      <c r="F157" s="35">
        <v>110</v>
      </c>
      <c r="G157" s="35">
        <v>95</v>
      </c>
      <c r="H157" s="35">
        <v>-15</v>
      </c>
      <c r="I157" s="20">
        <v>300</v>
      </c>
      <c r="J157" s="21">
        <f t="shared" si="9"/>
        <v>-4500</v>
      </c>
      <c r="K157" s="7"/>
      <c r="V157" s="5">
        <f t="shared" si="10"/>
        <v>0</v>
      </c>
      <c r="W157" s="5">
        <f t="shared" si="11"/>
        <v>1</v>
      </c>
    </row>
    <row r="158" spans="1:23" s="36" customFormat="1" x14ac:dyDescent="0.3">
      <c r="A158" s="6"/>
      <c r="B158" s="17">
        <f t="shared" si="12"/>
        <v>22</v>
      </c>
      <c r="C158" s="18">
        <v>44698</v>
      </c>
      <c r="D158" s="19" t="s">
        <v>18</v>
      </c>
      <c r="E158" s="19" t="s">
        <v>426</v>
      </c>
      <c r="F158" s="35">
        <v>105</v>
      </c>
      <c r="G158" s="35">
        <v>120</v>
      </c>
      <c r="H158" s="35">
        <f>120-105</f>
        <v>15</v>
      </c>
      <c r="I158" s="20">
        <v>300</v>
      </c>
      <c r="J158" s="21">
        <f t="shared" si="9"/>
        <v>4500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2"/>
        <v>23</v>
      </c>
      <c r="C159" s="18">
        <v>44699</v>
      </c>
      <c r="D159" s="19" t="s">
        <v>18</v>
      </c>
      <c r="E159" s="19" t="s">
        <v>428</v>
      </c>
      <c r="F159" s="35">
        <v>100</v>
      </c>
      <c r="G159" s="35">
        <v>111</v>
      </c>
      <c r="H159" s="35">
        <v>11</v>
      </c>
      <c r="I159" s="20">
        <v>300</v>
      </c>
      <c r="J159" s="21">
        <f t="shared" si="9"/>
        <v>3300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>B159+1</f>
        <v>24</v>
      </c>
      <c r="C160" s="18">
        <v>44699</v>
      </c>
      <c r="D160" s="19" t="s">
        <v>18</v>
      </c>
      <c r="E160" s="19" t="s">
        <v>427</v>
      </c>
      <c r="F160" s="35">
        <v>75</v>
      </c>
      <c r="G160" s="35">
        <v>105</v>
      </c>
      <c r="H160" s="35">
        <v>30</v>
      </c>
      <c r="I160" s="20">
        <v>300</v>
      </c>
      <c r="J160" s="21">
        <f t="shared" si="9"/>
        <v>9000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ref="B161:B182" si="13">B160+1</f>
        <v>25</v>
      </c>
      <c r="C161" s="18">
        <v>44700</v>
      </c>
      <c r="D161" s="19" t="s">
        <v>18</v>
      </c>
      <c r="E161" s="19" t="s">
        <v>415</v>
      </c>
      <c r="F161" s="35">
        <v>80</v>
      </c>
      <c r="G161" s="35">
        <v>110</v>
      </c>
      <c r="H161" s="35">
        <v>30</v>
      </c>
      <c r="I161" s="20">
        <v>300</v>
      </c>
      <c r="J161" s="21">
        <f t="shared" si="9"/>
        <v>9000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26</v>
      </c>
      <c r="C162" s="18">
        <v>44700</v>
      </c>
      <c r="D162" s="19" t="s">
        <v>18</v>
      </c>
      <c r="E162" s="19" t="s">
        <v>417</v>
      </c>
      <c r="F162" s="35">
        <v>80</v>
      </c>
      <c r="G162" s="35">
        <v>91</v>
      </c>
      <c r="H162" s="35">
        <v>11</v>
      </c>
      <c r="I162" s="20">
        <v>300</v>
      </c>
      <c r="J162" s="21">
        <f t="shared" si="9"/>
        <v>3300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27</v>
      </c>
      <c r="C163" s="18">
        <v>44704</v>
      </c>
      <c r="D163" s="19" t="s">
        <v>18</v>
      </c>
      <c r="E163" s="19" t="s">
        <v>677</v>
      </c>
      <c r="F163" s="35">
        <v>100</v>
      </c>
      <c r="G163" s="35">
        <v>130</v>
      </c>
      <c r="H163" s="35">
        <v>30</v>
      </c>
      <c r="I163" s="20">
        <v>300</v>
      </c>
      <c r="J163" s="21">
        <f t="shared" si="9"/>
        <v>9000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28</v>
      </c>
      <c r="C164" s="18">
        <v>44704</v>
      </c>
      <c r="D164" s="19" t="s">
        <v>18</v>
      </c>
      <c r="E164" s="19" t="s">
        <v>432</v>
      </c>
      <c r="F164" s="35">
        <v>100</v>
      </c>
      <c r="G164" s="35">
        <v>105</v>
      </c>
      <c r="H164" s="35">
        <v>5</v>
      </c>
      <c r="I164" s="20">
        <v>300</v>
      </c>
      <c r="J164" s="21">
        <f t="shared" si="9"/>
        <v>1500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3"/>
        <v>29</v>
      </c>
      <c r="C165" s="18">
        <v>44705</v>
      </c>
      <c r="D165" s="19" t="s">
        <v>18</v>
      </c>
      <c r="E165" s="19" t="s">
        <v>665</v>
      </c>
      <c r="F165" s="35">
        <v>105</v>
      </c>
      <c r="G165" s="35">
        <v>125</v>
      </c>
      <c r="H165" s="35">
        <v>120</v>
      </c>
      <c r="I165" s="20">
        <v>300</v>
      </c>
      <c r="J165" s="21">
        <f t="shared" si="9"/>
        <v>36000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3"/>
        <v>30</v>
      </c>
      <c r="C166" s="18">
        <v>44705</v>
      </c>
      <c r="D166" s="19" t="s">
        <v>18</v>
      </c>
      <c r="E166" s="19" t="s">
        <v>663</v>
      </c>
      <c r="F166" s="35">
        <v>100</v>
      </c>
      <c r="G166" s="35">
        <v>112</v>
      </c>
      <c r="H166" s="35">
        <v>12</v>
      </c>
      <c r="I166" s="20">
        <v>300</v>
      </c>
      <c r="J166" s="21">
        <f t="shared" si="9"/>
        <v>3600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3"/>
        <v>31</v>
      </c>
      <c r="C167" s="18">
        <v>44706</v>
      </c>
      <c r="D167" s="19" t="s">
        <v>18</v>
      </c>
      <c r="E167" s="19" t="s">
        <v>683</v>
      </c>
      <c r="F167" s="35">
        <v>110</v>
      </c>
      <c r="G167" s="35">
        <v>125</v>
      </c>
      <c r="H167" s="35">
        <v>25</v>
      </c>
      <c r="I167" s="20">
        <v>300</v>
      </c>
      <c r="J167" s="21">
        <f t="shared" si="9"/>
        <v>7500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3"/>
        <v>32</v>
      </c>
      <c r="C168" s="18">
        <v>44706</v>
      </c>
      <c r="D168" s="19" t="s">
        <v>18</v>
      </c>
      <c r="E168" s="19" t="s">
        <v>665</v>
      </c>
      <c r="F168" s="35">
        <v>95</v>
      </c>
      <c r="G168" s="35">
        <v>125</v>
      </c>
      <c r="H168" s="35">
        <v>30</v>
      </c>
      <c r="I168" s="20">
        <v>300</v>
      </c>
      <c r="J168" s="21">
        <f t="shared" si="9"/>
        <v>9000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3"/>
        <v>33</v>
      </c>
      <c r="C169" s="18">
        <v>44707</v>
      </c>
      <c r="D169" s="19" t="s">
        <v>18</v>
      </c>
      <c r="E169" s="19" t="s">
        <v>681</v>
      </c>
      <c r="F169" s="35">
        <v>50</v>
      </c>
      <c r="G169" s="35">
        <v>80</v>
      </c>
      <c r="H169" s="35">
        <v>30</v>
      </c>
      <c r="I169" s="20">
        <v>300</v>
      </c>
      <c r="J169" s="21">
        <f t="shared" si="9"/>
        <v>9000</v>
      </c>
      <c r="K169" s="7"/>
      <c r="V169" s="5">
        <f t="shared" si="10"/>
        <v>1</v>
      </c>
      <c r="W169" s="5">
        <f t="shared" si="11"/>
        <v>0</v>
      </c>
    </row>
    <row r="170" spans="1:23" s="36" customFormat="1" x14ac:dyDescent="0.3">
      <c r="A170" s="6"/>
      <c r="B170" s="17">
        <f t="shared" si="13"/>
        <v>34</v>
      </c>
      <c r="C170" s="18">
        <v>44707</v>
      </c>
      <c r="D170" s="19" t="s">
        <v>18</v>
      </c>
      <c r="E170" s="19" t="s">
        <v>682</v>
      </c>
      <c r="F170" s="35">
        <v>60</v>
      </c>
      <c r="G170" s="35">
        <v>45</v>
      </c>
      <c r="H170" s="35">
        <v>-15</v>
      </c>
      <c r="I170" s="20">
        <v>300</v>
      </c>
      <c r="J170" s="21">
        <f t="shared" si="9"/>
        <v>-4500</v>
      </c>
      <c r="K170" s="7"/>
      <c r="V170" s="5">
        <f t="shared" si="10"/>
        <v>0</v>
      </c>
      <c r="W170" s="5">
        <f t="shared" si="11"/>
        <v>1</v>
      </c>
    </row>
    <row r="171" spans="1:23" s="36" customFormat="1" x14ac:dyDescent="0.3">
      <c r="A171" s="6"/>
      <c r="B171" s="17">
        <f t="shared" si="13"/>
        <v>35</v>
      </c>
      <c r="C171" s="18">
        <v>44708</v>
      </c>
      <c r="D171" s="19" t="s">
        <v>18</v>
      </c>
      <c r="E171" s="19" t="s">
        <v>677</v>
      </c>
      <c r="F171" s="35">
        <v>135</v>
      </c>
      <c r="G171" s="35">
        <v>140</v>
      </c>
      <c r="H171" s="35">
        <v>5</v>
      </c>
      <c r="I171" s="20">
        <v>300</v>
      </c>
      <c r="J171" s="21">
        <f t="shared" si="9"/>
        <v>1500</v>
      </c>
      <c r="K171" s="7"/>
      <c r="V171" s="5">
        <f t="shared" si="10"/>
        <v>1</v>
      </c>
      <c r="W171" s="5">
        <f t="shared" si="11"/>
        <v>0</v>
      </c>
    </row>
    <row r="172" spans="1:23" s="36" customFormat="1" x14ac:dyDescent="0.3">
      <c r="A172" s="6"/>
      <c r="B172" s="17">
        <f t="shared" si="13"/>
        <v>36</v>
      </c>
      <c r="C172" s="18">
        <v>44708</v>
      </c>
      <c r="D172" s="19" t="s">
        <v>18</v>
      </c>
      <c r="E172" s="19" t="s">
        <v>432</v>
      </c>
      <c r="F172" s="35">
        <v>115</v>
      </c>
      <c r="G172" s="35">
        <v>120</v>
      </c>
      <c r="H172" s="35">
        <v>5</v>
      </c>
      <c r="I172" s="20">
        <v>300</v>
      </c>
      <c r="J172" s="21">
        <f t="shared" si="9"/>
        <v>1500</v>
      </c>
      <c r="K172" s="7"/>
      <c r="V172" s="5">
        <f t="shared" si="10"/>
        <v>1</v>
      </c>
      <c r="W172" s="5">
        <f t="shared" si="11"/>
        <v>0</v>
      </c>
    </row>
    <row r="173" spans="1:23" s="36" customFormat="1" x14ac:dyDescent="0.3">
      <c r="A173" s="6"/>
      <c r="B173" s="17">
        <f t="shared" si="13"/>
        <v>37</v>
      </c>
      <c r="C173" s="18">
        <v>44711</v>
      </c>
      <c r="D173" s="19" t="s">
        <v>18</v>
      </c>
      <c r="E173" s="19" t="s">
        <v>439</v>
      </c>
      <c r="F173" s="35">
        <v>110</v>
      </c>
      <c r="G173" s="35">
        <v>140</v>
      </c>
      <c r="H173" s="35">
        <v>30</v>
      </c>
      <c r="I173" s="20">
        <v>300</v>
      </c>
      <c r="J173" s="21">
        <f t="shared" si="9"/>
        <v>9000</v>
      </c>
      <c r="K173" s="7"/>
      <c r="V173" s="5">
        <f t="shared" si="10"/>
        <v>1</v>
      </c>
      <c r="W173" s="5">
        <f t="shared" si="11"/>
        <v>0</v>
      </c>
    </row>
    <row r="174" spans="1:23" s="36" customFormat="1" x14ac:dyDescent="0.3">
      <c r="A174" s="6"/>
      <c r="B174" s="17">
        <f t="shared" si="13"/>
        <v>38</v>
      </c>
      <c r="C174" s="18">
        <v>44711</v>
      </c>
      <c r="D174" s="19" t="s">
        <v>18</v>
      </c>
      <c r="E174" s="19" t="s">
        <v>441</v>
      </c>
      <c r="F174" s="35">
        <v>105</v>
      </c>
      <c r="G174" s="35">
        <v>115</v>
      </c>
      <c r="H174" s="35">
        <v>10</v>
      </c>
      <c r="I174" s="20">
        <v>300</v>
      </c>
      <c r="J174" s="21">
        <f t="shared" si="9"/>
        <v>3000</v>
      </c>
      <c r="K174" s="7"/>
      <c r="V174" s="5">
        <f t="shared" si="10"/>
        <v>1</v>
      </c>
      <c r="W174" s="5">
        <f t="shared" si="11"/>
        <v>0</v>
      </c>
    </row>
    <row r="175" spans="1:23" s="36" customFormat="1" x14ac:dyDescent="0.3">
      <c r="A175" s="6"/>
      <c r="B175" s="17">
        <f t="shared" si="13"/>
        <v>39</v>
      </c>
      <c r="C175" s="18">
        <v>44712</v>
      </c>
      <c r="D175" s="19" t="s">
        <v>18</v>
      </c>
      <c r="E175" s="19" t="s">
        <v>440</v>
      </c>
      <c r="F175" s="35">
        <v>115</v>
      </c>
      <c r="G175" s="35">
        <v>145</v>
      </c>
      <c r="H175" s="35">
        <f>145-115</f>
        <v>30</v>
      </c>
      <c r="I175" s="20">
        <v>300</v>
      </c>
      <c r="J175" s="21">
        <f t="shared" si="9"/>
        <v>9000</v>
      </c>
      <c r="K175" s="7"/>
      <c r="V175" s="5">
        <f t="shared" si="10"/>
        <v>1</v>
      </c>
      <c r="W175" s="5">
        <f t="shared" si="11"/>
        <v>0</v>
      </c>
    </row>
    <row r="176" spans="1:23" s="36" customFormat="1" x14ac:dyDescent="0.3">
      <c r="A176" s="6"/>
      <c r="B176" s="17">
        <f t="shared" si="13"/>
        <v>40</v>
      </c>
      <c r="C176" s="18">
        <v>44712</v>
      </c>
      <c r="D176" s="19" t="s">
        <v>18</v>
      </c>
      <c r="E176" s="19" t="s">
        <v>662</v>
      </c>
      <c r="F176" s="35">
        <v>105</v>
      </c>
      <c r="G176" s="35">
        <v>125</v>
      </c>
      <c r="H176" s="35">
        <f>125-105</f>
        <v>20</v>
      </c>
      <c r="I176" s="20">
        <v>300</v>
      </c>
      <c r="J176" s="21">
        <f t="shared" si="9"/>
        <v>6000</v>
      </c>
      <c r="K176" s="7"/>
      <c r="V176" s="5">
        <f t="shared" si="10"/>
        <v>1</v>
      </c>
      <c r="W176" s="5">
        <f t="shared" si="11"/>
        <v>0</v>
      </c>
    </row>
    <row r="177" spans="1:23" s="36" customFormat="1" x14ac:dyDescent="0.3">
      <c r="A177" s="6"/>
      <c r="B177" s="17">
        <f t="shared" si="13"/>
        <v>41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x14ac:dyDescent="0.3">
      <c r="A178" s="6"/>
      <c r="B178" s="17">
        <f t="shared" si="13"/>
        <v>42</v>
      </c>
      <c r="C178" s="18"/>
      <c r="D178" s="19"/>
      <c r="E178" s="19"/>
      <c r="F178" s="35"/>
      <c r="G178" s="35"/>
      <c r="H178" s="35"/>
      <c r="I178" s="20"/>
      <c r="J178" s="21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x14ac:dyDescent="0.3">
      <c r="A179" s="6"/>
      <c r="B179" s="17">
        <f t="shared" si="13"/>
        <v>43</v>
      </c>
      <c r="C179" s="18"/>
      <c r="D179" s="19"/>
      <c r="E179" s="19"/>
      <c r="F179" s="35"/>
      <c r="G179" s="35"/>
      <c r="H179" s="35"/>
      <c r="I179" s="20"/>
      <c r="J179" s="21">
        <f t="shared" si="9"/>
        <v>0</v>
      </c>
      <c r="K179" s="7"/>
      <c r="V179" s="5">
        <f t="shared" si="10"/>
        <v>0</v>
      </c>
      <c r="W179" s="5">
        <f t="shared" si="11"/>
        <v>0</v>
      </c>
    </row>
    <row r="180" spans="1:23" s="36" customFormat="1" x14ac:dyDescent="0.3">
      <c r="A180" s="6"/>
      <c r="B180" s="17">
        <f t="shared" si="13"/>
        <v>44</v>
      </c>
      <c r="C180" s="18"/>
      <c r="D180" s="19"/>
      <c r="E180" s="19"/>
      <c r="F180" s="35"/>
      <c r="G180" s="35"/>
      <c r="H180" s="35"/>
      <c r="I180" s="20"/>
      <c r="J180" s="21">
        <f t="shared" si="9"/>
        <v>0</v>
      </c>
      <c r="K180" s="7"/>
      <c r="V180" s="5">
        <f t="shared" si="10"/>
        <v>0</v>
      </c>
      <c r="W180" s="5">
        <f t="shared" si="11"/>
        <v>0</v>
      </c>
    </row>
    <row r="181" spans="1:23" s="36" customFormat="1" x14ac:dyDescent="0.3">
      <c r="A181" s="6"/>
      <c r="B181" s="17">
        <f t="shared" si="13"/>
        <v>45</v>
      </c>
      <c r="C181" s="18"/>
      <c r="D181" s="19"/>
      <c r="E181" s="19"/>
      <c r="F181" s="35"/>
      <c r="G181" s="35"/>
      <c r="H181" s="35"/>
      <c r="I181" s="20"/>
      <c r="J181" s="21">
        <f t="shared" si="9"/>
        <v>0</v>
      </c>
      <c r="K181" s="7"/>
      <c r="V181" s="5">
        <f t="shared" si="10"/>
        <v>0</v>
      </c>
      <c r="W181" s="5">
        <f t="shared" si="11"/>
        <v>0</v>
      </c>
    </row>
    <row r="182" spans="1:23" s="36" customFormat="1" ht="15" thickBot="1" x14ac:dyDescent="0.35">
      <c r="A182" s="6"/>
      <c r="B182" s="95">
        <f t="shared" si="13"/>
        <v>46</v>
      </c>
      <c r="C182" s="79"/>
      <c r="D182" s="80"/>
      <c r="E182" s="80"/>
      <c r="F182" s="96"/>
      <c r="G182" s="96"/>
      <c r="H182" s="96"/>
      <c r="I182" s="81"/>
      <c r="J182" s="82">
        <f t="shared" si="9"/>
        <v>0</v>
      </c>
      <c r="K182" s="7"/>
      <c r="V182" s="5">
        <f t="shared" si="10"/>
        <v>0</v>
      </c>
      <c r="W182" s="5">
        <f t="shared" si="11"/>
        <v>0</v>
      </c>
    </row>
    <row r="183" spans="1:23" s="36" customFormat="1" ht="24" thickBot="1" x14ac:dyDescent="0.5">
      <c r="A183" s="6"/>
      <c r="B183" s="165" t="s">
        <v>22</v>
      </c>
      <c r="C183" s="166"/>
      <c r="D183" s="166"/>
      <c r="E183" s="166"/>
      <c r="F183" s="166"/>
      <c r="G183" s="166"/>
      <c r="H183" s="167"/>
      <c r="I183" s="83" t="s">
        <v>23</v>
      </c>
      <c r="J183" s="84">
        <f>SUM(J137:J182)</f>
        <v>240000</v>
      </c>
      <c r="K183" s="7"/>
      <c r="L183" s="5"/>
      <c r="M183" s="5"/>
      <c r="N183" s="5"/>
      <c r="O183" s="5"/>
      <c r="P183" s="5"/>
      <c r="Q183" s="5"/>
      <c r="R183" s="5"/>
      <c r="V183" s="36">
        <f>SUM(V137:V182)</f>
        <v>37</v>
      </c>
      <c r="W183" s="36">
        <f>SUM(W137:W182)</f>
        <v>3</v>
      </c>
    </row>
    <row r="184" spans="1:23" s="36" customFormat="1" ht="30" customHeight="1" thickBot="1" x14ac:dyDescent="0.35">
      <c r="A184" s="30"/>
      <c r="B184" s="31"/>
      <c r="C184" s="31"/>
      <c r="D184" s="31"/>
      <c r="E184" s="31"/>
      <c r="F184" s="31"/>
      <c r="G184" s="31"/>
      <c r="H184" s="32"/>
      <c r="I184" s="31"/>
      <c r="J184" s="32"/>
      <c r="K184" s="33"/>
      <c r="L184" s="5"/>
      <c r="M184" s="5"/>
      <c r="N184" s="5"/>
      <c r="O184" s="5"/>
      <c r="P184" s="5"/>
      <c r="Q184" s="5"/>
      <c r="R184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B129:H129"/>
    <mergeCell ref="B133:J133"/>
    <mergeCell ref="B134:J134"/>
    <mergeCell ref="B135:J135"/>
    <mergeCell ref="B183:H183"/>
  </mergeCells>
  <hyperlinks>
    <hyperlink ref="B59" r:id="rId1" xr:uid="{00000000-0004-0000-1600-000000000000}"/>
    <hyperlink ref="B129" r:id="rId2" xr:uid="{00000000-0004-0000-1600-000001000000}"/>
    <hyperlink ref="B183" r:id="rId3" xr:uid="{00000000-0004-0000-1600-000002000000}"/>
    <hyperlink ref="M1" location="MASTER!A1" display="Back" xr:uid="{00000000-0004-0000-1600-000003000000}"/>
    <hyperlink ref="M6:M7" location="'MAR 2022'!A70" display="EXTRA STOCK FUTURE" xr:uid="{00000000-0004-0000-1600-000004000000}"/>
    <hyperlink ref="M8:M9" location="'MAR 2022'!A140" display="EXTRA NIFTY OPTION" xr:uid="{00000000-0004-0000-1600-000005000000}"/>
  </hyperlinks>
  <pageMargins left="0" right="0" top="0" bottom="0" header="0" footer="0"/>
  <pageSetup paperSize="9" orientation="portrait" r:id="rId4"/>
  <ignoredErrors>
    <ignoredError sqref="O10:Q10" evalError="1"/>
  </ignoredErrors>
  <drawing r:id="rId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184"/>
  <sheetViews>
    <sheetView zoomScaleNormal="100" workbookViewId="0">
      <selection activeCell="M147" sqref="M147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44713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95" t="s">
        <v>107</v>
      </c>
      <c r="N4" s="111">
        <f>COUNT(C6:C58)</f>
        <v>44</v>
      </c>
      <c r="O4" s="113">
        <f>V59</f>
        <v>34</v>
      </c>
      <c r="P4" s="113">
        <f>W59</f>
        <v>10</v>
      </c>
      <c r="Q4" s="197">
        <f>N4-O4-P4</f>
        <v>0</v>
      </c>
      <c r="R4" s="199">
        <f>O4/N4</f>
        <v>0.77272727272727271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96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44713</v>
      </c>
      <c r="D6" s="90" t="s">
        <v>18</v>
      </c>
      <c r="E6" s="90" t="s">
        <v>388</v>
      </c>
      <c r="F6" s="90">
        <v>130</v>
      </c>
      <c r="G6" s="90">
        <v>110</v>
      </c>
      <c r="H6" s="91">
        <v>-20</v>
      </c>
      <c r="I6" s="90">
        <v>100</v>
      </c>
      <c r="J6" s="92">
        <f t="shared" ref="J6:J58" si="0">H6*I6</f>
        <v>-2000</v>
      </c>
      <c r="K6" s="7"/>
      <c r="M6" s="213" t="s">
        <v>108</v>
      </c>
      <c r="N6" s="112">
        <f>COUNT(C67:C128)</f>
        <v>37</v>
      </c>
      <c r="O6" s="113">
        <v>30</v>
      </c>
      <c r="P6" s="113">
        <f>W129</f>
        <v>3</v>
      </c>
      <c r="Q6" s="198">
        <v>0</v>
      </c>
      <c r="R6" s="203">
        <f t="shared" ref="R6" si="1">O6/N6</f>
        <v>0.81081081081081086</v>
      </c>
      <c r="V6" s="5">
        <f t="shared" ref="V6:V58" si="2">IF($J6&gt;0,1,0)</f>
        <v>0</v>
      </c>
      <c r="W6" s="5">
        <f t="shared" ref="W6:W58" si="3">IF($J6&lt;0,1,0)</f>
        <v>1</v>
      </c>
    </row>
    <row r="7" spans="1:23" ht="15" thickBot="1" x14ac:dyDescent="0.35">
      <c r="A7" s="6"/>
      <c r="B7" s="17">
        <v>2</v>
      </c>
      <c r="C7" s="85">
        <v>44713</v>
      </c>
      <c r="D7" s="86" t="s">
        <v>18</v>
      </c>
      <c r="E7" s="86" t="s">
        <v>423</v>
      </c>
      <c r="F7" s="86">
        <v>150</v>
      </c>
      <c r="G7" s="86">
        <v>100</v>
      </c>
      <c r="H7" s="87">
        <v>-50</v>
      </c>
      <c r="I7" s="86">
        <v>100</v>
      </c>
      <c r="J7" s="21">
        <f t="shared" si="0"/>
        <v>-5000</v>
      </c>
      <c r="K7" s="7"/>
      <c r="M7" s="213"/>
      <c r="N7" s="112"/>
      <c r="O7" s="114"/>
      <c r="P7" s="114"/>
      <c r="Q7" s="198"/>
      <c r="R7" s="200"/>
      <c r="V7" s="5">
        <f t="shared" si="2"/>
        <v>0</v>
      </c>
      <c r="W7" s="5">
        <f t="shared" si="3"/>
        <v>1</v>
      </c>
    </row>
    <row r="8" spans="1:23" x14ac:dyDescent="0.3">
      <c r="A8" s="6"/>
      <c r="B8" s="88">
        <v>3</v>
      </c>
      <c r="C8" s="85">
        <v>44713</v>
      </c>
      <c r="D8" s="86" t="s">
        <v>18</v>
      </c>
      <c r="E8" s="86" t="s">
        <v>423</v>
      </c>
      <c r="F8" s="86">
        <v>140</v>
      </c>
      <c r="G8" s="86">
        <v>236</v>
      </c>
      <c r="H8" s="87">
        <f>236-140</f>
        <v>96</v>
      </c>
      <c r="I8" s="86">
        <v>100</v>
      </c>
      <c r="J8" s="21">
        <f t="shared" si="0"/>
        <v>9600</v>
      </c>
      <c r="K8" s="7"/>
      <c r="M8" s="214" t="s">
        <v>194</v>
      </c>
      <c r="N8" s="112">
        <f>COUNT(C137:C182)</f>
        <v>42</v>
      </c>
      <c r="O8" s="114">
        <f>V183</f>
        <v>35</v>
      </c>
      <c r="P8" s="113">
        <v>6</v>
      </c>
      <c r="Q8" s="198">
        <v>0</v>
      </c>
      <c r="R8" s="203">
        <f t="shared" ref="R8:R10" si="4">O8/N8</f>
        <v>0.83333333333333337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44713</v>
      </c>
      <c r="D9" s="86" t="s">
        <v>18</v>
      </c>
      <c r="E9" s="86" t="s">
        <v>243</v>
      </c>
      <c r="F9" s="86">
        <v>130</v>
      </c>
      <c r="G9" s="86">
        <v>196</v>
      </c>
      <c r="H9" s="87">
        <f>196-130</f>
        <v>66</v>
      </c>
      <c r="I9" s="86">
        <v>100</v>
      </c>
      <c r="J9" s="21">
        <f t="shared" si="0"/>
        <v>6600</v>
      </c>
      <c r="K9" s="7"/>
      <c r="M9" s="215"/>
      <c r="N9" s="184"/>
      <c r="O9" s="172"/>
      <c r="P9" s="114"/>
      <c r="Q9" s="174"/>
      <c r="R9" s="204"/>
      <c r="V9" s="5">
        <f t="shared" si="2"/>
        <v>1</v>
      </c>
      <c r="W9" s="5">
        <f t="shared" si="3"/>
        <v>0</v>
      </c>
    </row>
    <row r="10" spans="1:23" ht="16.5" customHeight="1" x14ac:dyDescent="0.3">
      <c r="A10" s="6"/>
      <c r="B10" s="88">
        <v>5</v>
      </c>
      <c r="C10" s="85">
        <v>44714</v>
      </c>
      <c r="D10" s="86" t="s">
        <v>18</v>
      </c>
      <c r="E10" s="86" t="s">
        <v>300</v>
      </c>
      <c r="F10" s="86">
        <v>130</v>
      </c>
      <c r="G10" s="86">
        <v>155</v>
      </c>
      <c r="H10" s="87">
        <f>155-130</f>
        <v>25</v>
      </c>
      <c r="I10" s="86">
        <v>100</v>
      </c>
      <c r="J10" s="21">
        <f t="shared" si="0"/>
        <v>2500</v>
      </c>
      <c r="K10" s="7"/>
      <c r="M10" s="207" t="s">
        <v>19</v>
      </c>
      <c r="N10" s="149">
        <f>SUM(N4:N9)</f>
        <v>123</v>
      </c>
      <c r="O10" s="209">
        <f>SUM(O4:O9)</f>
        <v>99</v>
      </c>
      <c r="P10" s="209">
        <f>SUM(P4:P9)</f>
        <v>19</v>
      </c>
      <c r="Q10" s="211">
        <f>SUM(Q4:Q9)</f>
        <v>0</v>
      </c>
      <c r="R10" s="199">
        <f t="shared" si="4"/>
        <v>0.80487804878048785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44715</v>
      </c>
      <c r="D11" s="86" t="s">
        <v>18</v>
      </c>
      <c r="E11" s="86" t="s">
        <v>276</v>
      </c>
      <c r="F11" s="86">
        <v>150</v>
      </c>
      <c r="G11" s="86">
        <v>250</v>
      </c>
      <c r="H11" s="87">
        <v>100</v>
      </c>
      <c r="I11" s="86">
        <v>100</v>
      </c>
      <c r="J11" s="21">
        <f t="shared" si="0"/>
        <v>10000</v>
      </c>
      <c r="K11" s="7"/>
      <c r="M11" s="208"/>
      <c r="N11" s="150"/>
      <c r="O11" s="210"/>
      <c r="P11" s="210"/>
      <c r="Q11" s="212"/>
      <c r="R11" s="204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44715</v>
      </c>
      <c r="D12" s="86" t="s">
        <v>18</v>
      </c>
      <c r="E12" s="86" t="s">
        <v>383</v>
      </c>
      <c r="F12" s="86">
        <v>140</v>
      </c>
      <c r="G12" s="86">
        <v>240</v>
      </c>
      <c r="H12" s="87">
        <v>100</v>
      </c>
      <c r="I12" s="86">
        <v>100</v>
      </c>
      <c r="J12" s="21">
        <f t="shared" si="0"/>
        <v>10000</v>
      </c>
      <c r="K12" s="7"/>
      <c r="M12" s="126" t="s">
        <v>20</v>
      </c>
      <c r="N12" s="130"/>
      <c r="O12" s="131"/>
      <c r="P12" s="138">
        <f>R10</f>
        <v>0.80487804878048785</v>
      </c>
      <c r="Q12" s="139"/>
      <c r="R12" s="137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44718</v>
      </c>
      <c r="D13" s="86" t="s">
        <v>18</v>
      </c>
      <c r="E13" s="86" t="s">
        <v>273</v>
      </c>
      <c r="F13" s="86">
        <v>130</v>
      </c>
      <c r="G13" s="86">
        <v>155</v>
      </c>
      <c r="H13" s="87">
        <v>25</v>
      </c>
      <c r="I13" s="86">
        <v>100</v>
      </c>
      <c r="J13" s="21">
        <f t="shared" si="0"/>
        <v>2500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44718</v>
      </c>
      <c r="D14" s="86" t="s">
        <v>18</v>
      </c>
      <c r="E14" s="86" t="s">
        <v>307</v>
      </c>
      <c r="F14" s="86">
        <v>150</v>
      </c>
      <c r="G14" s="86">
        <v>170</v>
      </c>
      <c r="H14" s="87">
        <v>20</v>
      </c>
      <c r="I14" s="86">
        <v>100</v>
      </c>
      <c r="J14" s="21">
        <f t="shared" si="0"/>
        <v>2000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44719</v>
      </c>
      <c r="D15" s="86" t="s">
        <v>18</v>
      </c>
      <c r="E15" s="86" t="s">
        <v>308</v>
      </c>
      <c r="F15" s="86">
        <v>150</v>
      </c>
      <c r="G15" s="86">
        <v>120</v>
      </c>
      <c r="H15" s="87">
        <v>-30</v>
      </c>
      <c r="I15" s="86">
        <v>100</v>
      </c>
      <c r="J15" s="21">
        <f t="shared" si="0"/>
        <v>-3000</v>
      </c>
      <c r="K15" s="7"/>
      <c r="V15" s="5">
        <f t="shared" si="2"/>
        <v>0</v>
      </c>
      <c r="W15" s="5">
        <f t="shared" si="3"/>
        <v>1</v>
      </c>
    </row>
    <row r="16" spans="1:23" x14ac:dyDescent="0.3">
      <c r="A16" s="6"/>
      <c r="B16" s="88">
        <v>11</v>
      </c>
      <c r="C16" s="18">
        <v>44719</v>
      </c>
      <c r="D16" s="19" t="s">
        <v>18</v>
      </c>
      <c r="E16" s="19" t="s">
        <v>394</v>
      </c>
      <c r="F16" s="35">
        <v>120</v>
      </c>
      <c r="G16" s="35">
        <v>117</v>
      </c>
      <c r="H16" s="35">
        <v>-3</v>
      </c>
      <c r="I16" s="20">
        <v>100</v>
      </c>
      <c r="J16" s="21">
        <f t="shared" si="0"/>
        <v>-300</v>
      </c>
      <c r="K16" s="7"/>
      <c r="V16" s="5">
        <f t="shared" si="2"/>
        <v>0</v>
      </c>
      <c r="W16" s="5">
        <f t="shared" si="3"/>
        <v>1</v>
      </c>
    </row>
    <row r="17" spans="1:23" x14ac:dyDescent="0.3">
      <c r="A17" s="6"/>
      <c r="B17" s="17">
        <v>12</v>
      </c>
      <c r="C17" s="18">
        <v>44720</v>
      </c>
      <c r="D17" s="19" t="s">
        <v>18</v>
      </c>
      <c r="E17" s="19" t="s">
        <v>278</v>
      </c>
      <c r="F17" s="35">
        <v>110</v>
      </c>
      <c r="G17" s="35">
        <v>60</v>
      </c>
      <c r="H17" s="35">
        <v>-50</v>
      </c>
      <c r="I17" s="20">
        <v>100</v>
      </c>
      <c r="J17" s="21">
        <f t="shared" si="0"/>
        <v>-5000</v>
      </c>
      <c r="K17" s="7"/>
      <c r="V17" s="5">
        <f t="shared" si="2"/>
        <v>0</v>
      </c>
      <c r="W17" s="5">
        <f t="shared" si="3"/>
        <v>1</v>
      </c>
    </row>
    <row r="18" spans="1:23" x14ac:dyDescent="0.3">
      <c r="A18" s="6"/>
      <c r="B18" s="88">
        <v>13</v>
      </c>
      <c r="C18" s="18">
        <v>44720</v>
      </c>
      <c r="D18" s="19" t="s">
        <v>18</v>
      </c>
      <c r="E18" s="19" t="s">
        <v>387</v>
      </c>
      <c r="F18" s="35">
        <v>130</v>
      </c>
      <c r="G18" s="35">
        <v>150</v>
      </c>
      <c r="H18" s="35">
        <v>20</v>
      </c>
      <c r="I18" s="20">
        <v>100</v>
      </c>
      <c r="J18" s="21">
        <f t="shared" si="0"/>
        <v>2000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18">
        <v>44721</v>
      </c>
      <c r="D19" s="19" t="s">
        <v>18</v>
      </c>
      <c r="E19" s="19" t="s">
        <v>241</v>
      </c>
      <c r="F19" s="35">
        <v>130</v>
      </c>
      <c r="G19" s="35">
        <v>227</v>
      </c>
      <c r="H19" s="35">
        <f>227-130</f>
        <v>97</v>
      </c>
      <c r="I19" s="20">
        <v>100</v>
      </c>
      <c r="J19" s="21">
        <f t="shared" si="0"/>
        <v>9700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18">
        <v>44721</v>
      </c>
      <c r="D20" s="19" t="s">
        <v>18</v>
      </c>
      <c r="E20" s="19" t="s">
        <v>395</v>
      </c>
      <c r="F20" s="35">
        <v>100</v>
      </c>
      <c r="G20" s="35">
        <v>200</v>
      </c>
      <c r="H20" s="78">
        <v>100</v>
      </c>
      <c r="I20" s="20">
        <v>100</v>
      </c>
      <c r="J20" s="21">
        <f t="shared" si="0"/>
        <v>10000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18">
        <v>44722</v>
      </c>
      <c r="D21" s="19" t="s">
        <v>18</v>
      </c>
      <c r="E21" s="19" t="s">
        <v>585</v>
      </c>
      <c r="F21" s="35">
        <v>140</v>
      </c>
      <c r="G21" s="35">
        <v>210</v>
      </c>
      <c r="H21" s="35">
        <f>210-140</f>
        <v>70</v>
      </c>
      <c r="I21" s="20">
        <v>100</v>
      </c>
      <c r="J21" s="21">
        <f t="shared" si="0"/>
        <v>7000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44722</v>
      </c>
      <c r="D22" s="19" t="s">
        <v>18</v>
      </c>
      <c r="E22" s="19" t="s">
        <v>367</v>
      </c>
      <c r="F22" s="35">
        <v>120</v>
      </c>
      <c r="G22" s="35">
        <v>146</v>
      </c>
      <c r="H22" s="35">
        <v>26</v>
      </c>
      <c r="I22" s="20">
        <v>100</v>
      </c>
      <c r="J22" s="21">
        <f t="shared" si="0"/>
        <v>2600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44725</v>
      </c>
      <c r="D23" s="19" t="s">
        <v>18</v>
      </c>
      <c r="E23" s="19" t="s">
        <v>208</v>
      </c>
      <c r="F23" s="35">
        <v>130</v>
      </c>
      <c r="G23" s="35">
        <v>120</v>
      </c>
      <c r="H23" s="35">
        <v>-10</v>
      </c>
      <c r="I23" s="20">
        <v>100</v>
      </c>
      <c r="J23" s="21">
        <f t="shared" si="0"/>
        <v>-1000</v>
      </c>
      <c r="K23" s="7"/>
      <c r="V23" s="5">
        <f t="shared" si="2"/>
        <v>0</v>
      </c>
      <c r="W23" s="5">
        <f t="shared" si="3"/>
        <v>1</v>
      </c>
    </row>
    <row r="24" spans="1:23" x14ac:dyDescent="0.3">
      <c r="A24" s="6"/>
      <c r="B24" s="88">
        <v>19</v>
      </c>
      <c r="C24" s="18">
        <v>44725</v>
      </c>
      <c r="D24" s="19" t="s">
        <v>18</v>
      </c>
      <c r="E24" s="19" t="s">
        <v>316</v>
      </c>
      <c r="F24" s="35">
        <v>130</v>
      </c>
      <c r="G24" s="35">
        <v>110</v>
      </c>
      <c r="H24" s="35">
        <v>-20</v>
      </c>
      <c r="I24" s="20">
        <v>100</v>
      </c>
      <c r="J24" s="21">
        <f t="shared" si="0"/>
        <v>-2000</v>
      </c>
      <c r="K24" s="7"/>
      <c r="V24" s="5">
        <f t="shared" si="2"/>
        <v>0</v>
      </c>
      <c r="W24" s="5">
        <f t="shared" si="3"/>
        <v>1</v>
      </c>
    </row>
    <row r="25" spans="1:23" x14ac:dyDescent="0.3">
      <c r="A25" s="6"/>
      <c r="B25" s="17">
        <v>20</v>
      </c>
      <c r="C25" s="18">
        <v>44726</v>
      </c>
      <c r="D25" s="19" t="s">
        <v>18</v>
      </c>
      <c r="E25" s="19" t="s">
        <v>283</v>
      </c>
      <c r="F25" s="35">
        <v>150</v>
      </c>
      <c r="G25" s="35">
        <v>115</v>
      </c>
      <c r="H25" s="35">
        <v>-35</v>
      </c>
      <c r="I25" s="20">
        <v>100</v>
      </c>
      <c r="J25" s="21">
        <f t="shared" si="0"/>
        <v>-3500</v>
      </c>
      <c r="K25" s="7"/>
      <c r="V25" s="5">
        <f t="shared" si="2"/>
        <v>0</v>
      </c>
      <c r="W25" s="5">
        <f t="shared" si="3"/>
        <v>1</v>
      </c>
    </row>
    <row r="26" spans="1:23" x14ac:dyDescent="0.3">
      <c r="A26" s="6"/>
      <c r="B26" s="88">
        <v>21</v>
      </c>
      <c r="C26" s="18">
        <v>44726</v>
      </c>
      <c r="D26" s="19" t="s">
        <v>18</v>
      </c>
      <c r="E26" s="19" t="s">
        <v>336</v>
      </c>
      <c r="F26" s="35">
        <v>130</v>
      </c>
      <c r="G26" s="35">
        <v>206</v>
      </c>
      <c r="H26" s="35">
        <f>206-130</f>
        <v>76</v>
      </c>
      <c r="I26" s="20">
        <v>100</v>
      </c>
      <c r="J26" s="21">
        <f t="shared" si="0"/>
        <v>7600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44726</v>
      </c>
      <c r="D27" s="19" t="s">
        <v>18</v>
      </c>
      <c r="E27" s="19" t="s">
        <v>322</v>
      </c>
      <c r="F27" s="35">
        <v>130</v>
      </c>
      <c r="G27" s="35">
        <v>191</v>
      </c>
      <c r="H27" s="19">
        <f>191-130</f>
        <v>61</v>
      </c>
      <c r="I27" s="20">
        <v>100</v>
      </c>
      <c r="J27" s="21">
        <f t="shared" si="0"/>
        <v>6100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44727</v>
      </c>
      <c r="D28" s="19" t="s">
        <v>18</v>
      </c>
      <c r="E28" s="19" t="s">
        <v>334</v>
      </c>
      <c r="F28" s="35">
        <v>150</v>
      </c>
      <c r="G28" s="35">
        <v>225</v>
      </c>
      <c r="H28" s="19">
        <f>225-150</f>
        <v>75</v>
      </c>
      <c r="I28" s="20">
        <v>100</v>
      </c>
      <c r="J28" s="21">
        <f t="shared" si="0"/>
        <v>7500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44727</v>
      </c>
      <c r="D29" s="19" t="s">
        <v>18</v>
      </c>
      <c r="E29" s="19" t="s">
        <v>335</v>
      </c>
      <c r="F29" s="20">
        <v>120</v>
      </c>
      <c r="G29" s="20">
        <v>170</v>
      </c>
      <c r="H29" s="19">
        <v>50</v>
      </c>
      <c r="I29" s="20">
        <v>100</v>
      </c>
      <c r="J29" s="21">
        <f t="shared" si="0"/>
        <v>5000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44728</v>
      </c>
      <c r="D30" s="25" t="s">
        <v>18</v>
      </c>
      <c r="E30" s="25" t="s">
        <v>368</v>
      </c>
      <c r="F30" s="26">
        <v>120</v>
      </c>
      <c r="G30" s="61">
        <v>220</v>
      </c>
      <c r="H30" s="61">
        <v>100</v>
      </c>
      <c r="I30" s="26">
        <v>100</v>
      </c>
      <c r="J30" s="21">
        <f t="shared" si="0"/>
        <v>10000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44728</v>
      </c>
      <c r="D31" s="25" t="s">
        <v>18</v>
      </c>
      <c r="E31" s="25" t="s">
        <v>332</v>
      </c>
      <c r="F31" s="26">
        <v>80</v>
      </c>
      <c r="G31" s="61">
        <v>171</v>
      </c>
      <c r="H31" s="61">
        <f>171-80</f>
        <v>91</v>
      </c>
      <c r="I31" s="26">
        <v>100</v>
      </c>
      <c r="J31" s="21">
        <f t="shared" si="0"/>
        <v>9100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44729</v>
      </c>
      <c r="D32" s="25" t="s">
        <v>18</v>
      </c>
      <c r="E32" s="25" t="s">
        <v>202</v>
      </c>
      <c r="F32" s="26">
        <v>130</v>
      </c>
      <c r="G32" s="61">
        <v>125</v>
      </c>
      <c r="H32" s="61">
        <v>-5</v>
      </c>
      <c r="I32" s="26">
        <v>100</v>
      </c>
      <c r="J32" s="21">
        <f t="shared" si="0"/>
        <v>-500</v>
      </c>
      <c r="K32" s="7"/>
      <c r="V32" s="5">
        <f t="shared" si="2"/>
        <v>0</v>
      </c>
      <c r="W32" s="5">
        <f t="shared" si="3"/>
        <v>1</v>
      </c>
    </row>
    <row r="33" spans="1:23" x14ac:dyDescent="0.3">
      <c r="A33" s="6"/>
      <c r="B33" s="17">
        <v>28</v>
      </c>
      <c r="C33" s="24">
        <v>44729</v>
      </c>
      <c r="D33" s="25" t="s">
        <v>18</v>
      </c>
      <c r="E33" s="25" t="s">
        <v>364</v>
      </c>
      <c r="F33" s="26">
        <v>130</v>
      </c>
      <c r="G33" s="61">
        <v>176</v>
      </c>
      <c r="H33" s="61">
        <f>176-130</f>
        <v>46</v>
      </c>
      <c r="I33" s="26">
        <v>100</v>
      </c>
      <c r="J33" s="21">
        <f t="shared" si="0"/>
        <v>4600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44732</v>
      </c>
      <c r="D34" s="25" t="s">
        <v>18</v>
      </c>
      <c r="E34" s="25" t="s">
        <v>363</v>
      </c>
      <c r="F34" s="26">
        <v>150</v>
      </c>
      <c r="G34" s="61">
        <v>172</v>
      </c>
      <c r="H34" s="61">
        <v>22</v>
      </c>
      <c r="I34" s="26">
        <v>100</v>
      </c>
      <c r="J34" s="21">
        <f t="shared" si="0"/>
        <v>2200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44732</v>
      </c>
      <c r="D35" s="25" t="s">
        <v>18</v>
      </c>
      <c r="E35" s="25" t="s">
        <v>362</v>
      </c>
      <c r="F35" s="26">
        <v>150</v>
      </c>
      <c r="G35" s="61">
        <v>200</v>
      </c>
      <c r="H35" s="61">
        <v>50</v>
      </c>
      <c r="I35" s="26">
        <v>100</v>
      </c>
      <c r="J35" s="21">
        <f t="shared" si="0"/>
        <v>5000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44733</v>
      </c>
      <c r="D36" s="25" t="s">
        <v>18</v>
      </c>
      <c r="E36" s="25" t="s">
        <v>341</v>
      </c>
      <c r="F36" s="26">
        <v>130</v>
      </c>
      <c r="G36" s="61">
        <v>230</v>
      </c>
      <c r="H36" s="61">
        <v>100</v>
      </c>
      <c r="I36" s="26">
        <v>100</v>
      </c>
      <c r="J36" s="21">
        <f t="shared" si="0"/>
        <v>10000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44733</v>
      </c>
      <c r="D37" s="25" t="s">
        <v>18</v>
      </c>
      <c r="E37" s="25" t="s">
        <v>364</v>
      </c>
      <c r="F37" s="26">
        <v>140</v>
      </c>
      <c r="G37" s="61">
        <v>240</v>
      </c>
      <c r="H37" s="61">
        <v>100</v>
      </c>
      <c r="I37" s="26">
        <v>100</v>
      </c>
      <c r="J37" s="21">
        <f t="shared" si="0"/>
        <v>10000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44734</v>
      </c>
      <c r="D38" s="25" t="s">
        <v>18</v>
      </c>
      <c r="E38" s="25" t="s">
        <v>199</v>
      </c>
      <c r="F38" s="26">
        <v>140</v>
      </c>
      <c r="G38" s="61">
        <v>190</v>
      </c>
      <c r="H38" s="61">
        <v>50</v>
      </c>
      <c r="I38" s="26">
        <v>100</v>
      </c>
      <c r="J38" s="21">
        <f t="shared" si="0"/>
        <v>5000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44735</v>
      </c>
      <c r="D39" s="25" t="s">
        <v>18</v>
      </c>
      <c r="E39" s="25" t="s">
        <v>354</v>
      </c>
      <c r="F39" s="26">
        <v>130</v>
      </c>
      <c r="G39" s="61">
        <v>158</v>
      </c>
      <c r="H39" s="61">
        <v>28</v>
      </c>
      <c r="I39" s="26">
        <v>100</v>
      </c>
      <c r="J39" s="21">
        <f t="shared" si="0"/>
        <v>2800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44735</v>
      </c>
      <c r="D40" s="25" t="s">
        <v>18</v>
      </c>
      <c r="E40" s="25" t="s">
        <v>364</v>
      </c>
      <c r="F40" s="26">
        <v>70</v>
      </c>
      <c r="G40" s="61">
        <v>20</v>
      </c>
      <c r="H40" s="61">
        <v>-50</v>
      </c>
      <c r="I40" s="26">
        <v>100</v>
      </c>
      <c r="J40" s="21">
        <f t="shared" si="0"/>
        <v>-5000</v>
      </c>
      <c r="K40" s="7"/>
      <c r="V40" s="5">
        <f t="shared" si="2"/>
        <v>0</v>
      </c>
      <c r="W40" s="5">
        <f t="shared" si="3"/>
        <v>1</v>
      </c>
    </row>
    <row r="41" spans="1:23" x14ac:dyDescent="0.3">
      <c r="A41" s="6"/>
      <c r="B41" s="17">
        <v>36</v>
      </c>
      <c r="C41" s="24">
        <v>44736</v>
      </c>
      <c r="D41" s="25" t="s">
        <v>18</v>
      </c>
      <c r="E41" s="25" t="s">
        <v>238</v>
      </c>
      <c r="F41" s="26">
        <v>130</v>
      </c>
      <c r="G41" s="61">
        <v>164</v>
      </c>
      <c r="H41" s="61">
        <v>34</v>
      </c>
      <c r="I41" s="26">
        <v>100</v>
      </c>
      <c r="J41" s="21">
        <f t="shared" si="0"/>
        <v>3400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24">
        <v>44736</v>
      </c>
      <c r="D42" s="25" t="s">
        <v>18</v>
      </c>
      <c r="E42" s="25" t="s">
        <v>238</v>
      </c>
      <c r="F42" s="26">
        <v>130</v>
      </c>
      <c r="G42" s="61">
        <v>166</v>
      </c>
      <c r="H42" s="61">
        <v>36</v>
      </c>
      <c r="I42" s="26">
        <v>100</v>
      </c>
      <c r="J42" s="21">
        <f t="shared" si="0"/>
        <v>3600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17">
        <v>38</v>
      </c>
      <c r="C43" s="24">
        <v>44739</v>
      </c>
      <c r="D43" s="25" t="s">
        <v>18</v>
      </c>
      <c r="E43" s="25" t="s">
        <v>332</v>
      </c>
      <c r="F43" s="26">
        <v>140</v>
      </c>
      <c r="G43" s="61">
        <v>173</v>
      </c>
      <c r="H43" s="61">
        <f>173-140</f>
        <v>33</v>
      </c>
      <c r="I43" s="26">
        <v>100</v>
      </c>
      <c r="J43" s="21">
        <f t="shared" si="0"/>
        <v>3300</v>
      </c>
      <c r="K43" s="7"/>
      <c r="V43" s="5">
        <f t="shared" si="2"/>
        <v>1</v>
      </c>
      <c r="W43" s="5">
        <f t="shared" si="3"/>
        <v>0</v>
      </c>
    </row>
    <row r="44" spans="1:23" x14ac:dyDescent="0.3">
      <c r="A44" s="6"/>
      <c r="B44" s="17">
        <v>39</v>
      </c>
      <c r="C44" s="24">
        <v>44739</v>
      </c>
      <c r="D44" s="25" t="s">
        <v>18</v>
      </c>
      <c r="E44" s="25" t="s">
        <v>365</v>
      </c>
      <c r="F44" s="26">
        <v>150</v>
      </c>
      <c r="G44" s="61">
        <v>172</v>
      </c>
      <c r="H44" s="61">
        <v>22</v>
      </c>
      <c r="I44" s="26">
        <v>100</v>
      </c>
      <c r="J44" s="21">
        <f t="shared" si="0"/>
        <v>2200</v>
      </c>
      <c r="K44" s="7"/>
      <c r="V44" s="5">
        <f t="shared" si="2"/>
        <v>1</v>
      </c>
      <c r="W44" s="5">
        <f t="shared" si="3"/>
        <v>0</v>
      </c>
    </row>
    <row r="45" spans="1:23" x14ac:dyDescent="0.3">
      <c r="A45" s="6"/>
      <c r="B45" s="17">
        <v>40</v>
      </c>
      <c r="C45" s="24">
        <v>44740</v>
      </c>
      <c r="D45" s="25" t="s">
        <v>18</v>
      </c>
      <c r="E45" s="25" t="s">
        <v>321</v>
      </c>
      <c r="F45" s="26">
        <v>140</v>
      </c>
      <c r="G45" s="61">
        <v>158</v>
      </c>
      <c r="H45" s="61">
        <v>18</v>
      </c>
      <c r="I45" s="26">
        <v>100</v>
      </c>
      <c r="J45" s="21">
        <f t="shared" si="0"/>
        <v>1800</v>
      </c>
      <c r="K45" s="7"/>
      <c r="V45" s="5">
        <f t="shared" si="2"/>
        <v>1</v>
      </c>
      <c r="W45" s="5">
        <f t="shared" si="3"/>
        <v>0</v>
      </c>
    </row>
    <row r="46" spans="1:23" x14ac:dyDescent="0.3">
      <c r="A46" s="6"/>
      <c r="B46" s="17">
        <v>41</v>
      </c>
      <c r="C46" s="24">
        <v>44740</v>
      </c>
      <c r="D46" s="25" t="s">
        <v>18</v>
      </c>
      <c r="E46" s="25" t="s">
        <v>419</v>
      </c>
      <c r="F46" s="26">
        <v>140</v>
      </c>
      <c r="G46" s="61">
        <v>176</v>
      </c>
      <c r="H46" s="61">
        <v>26</v>
      </c>
      <c r="I46" s="26">
        <v>100</v>
      </c>
      <c r="J46" s="21">
        <f t="shared" si="0"/>
        <v>2600</v>
      </c>
      <c r="K46" s="7"/>
      <c r="V46" s="5">
        <f t="shared" si="2"/>
        <v>1</v>
      </c>
      <c r="W46" s="5">
        <f t="shared" si="3"/>
        <v>0</v>
      </c>
    </row>
    <row r="47" spans="1:23" x14ac:dyDescent="0.3">
      <c r="A47" s="6"/>
      <c r="B47" s="88">
        <v>39</v>
      </c>
      <c r="C47" s="24">
        <v>44741</v>
      </c>
      <c r="D47" s="25" t="s">
        <v>18</v>
      </c>
      <c r="E47" s="25" t="s">
        <v>364</v>
      </c>
      <c r="F47" s="26">
        <v>120</v>
      </c>
      <c r="G47" s="61">
        <v>154</v>
      </c>
      <c r="H47" s="61">
        <v>34</v>
      </c>
      <c r="I47" s="26">
        <v>100</v>
      </c>
      <c r="J47" s="21">
        <f t="shared" si="0"/>
        <v>3400</v>
      </c>
      <c r="K47" s="7"/>
      <c r="V47" s="5">
        <f t="shared" si="2"/>
        <v>1</v>
      </c>
      <c r="W47" s="5">
        <f t="shared" si="3"/>
        <v>0</v>
      </c>
    </row>
    <row r="48" spans="1:23" x14ac:dyDescent="0.3">
      <c r="A48" s="6"/>
      <c r="B48" s="17">
        <v>40</v>
      </c>
      <c r="C48" s="24">
        <v>44741</v>
      </c>
      <c r="D48" s="25" t="s">
        <v>18</v>
      </c>
      <c r="E48" s="25" t="s">
        <v>334</v>
      </c>
      <c r="F48" s="26">
        <v>100</v>
      </c>
      <c r="G48" s="61">
        <v>187</v>
      </c>
      <c r="H48" s="61">
        <v>87</v>
      </c>
      <c r="I48" s="26">
        <v>100</v>
      </c>
      <c r="J48" s="21">
        <f t="shared" si="0"/>
        <v>8700</v>
      </c>
      <c r="K48" s="7"/>
      <c r="V48" s="5">
        <f t="shared" si="2"/>
        <v>1</v>
      </c>
      <c r="W48" s="5">
        <f t="shared" si="3"/>
        <v>0</v>
      </c>
    </row>
    <row r="49" spans="1:23" x14ac:dyDescent="0.3">
      <c r="A49" s="6"/>
      <c r="B49" s="88">
        <v>41</v>
      </c>
      <c r="C49" s="24">
        <v>44742</v>
      </c>
      <c r="D49" s="25" t="s">
        <v>18</v>
      </c>
      <c r="E49" s="25" t="s">
        <v>364</v>
      </c>
      <c r="F49" s="26">
        <v>130</v>
      </c>
      <c r="G49" s="61">
        <v>230</v>
      </c>
      <c r="H49" s="61">
        <v>100</v>
      </c>
      <c r="I49" s="26">
        <v>100</v>
      </c>
      <c r="J49" s="21">
        <f t="shared" si="0"/>
        <v>10000</v>
      </c>
      <c r="K49" s="7"/>
      <c r="V49" s="5">
        <f t="shared" si="2"/>
        <v>1</v>
      </c>
      <c r="W49" s="5">
        <f t="shared" si="3"/>
        <v>0</v>
      </c>
    </row>
    <row r="50" spans="1:23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171100</v>
      </c>
      <c r="K59" s="7"/>
      <c r="V59" s="5">
        <f>SUM(V6:V58)</f>
        <v>34</v>
      </c>
      <c r="W59" s="5">
        <f>SUM(W6:W58)</f>
        <v>10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686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44713</v>
      </c>
      <c r="D67" s="67" t="s">
        <v>18</v>
      </c>
      <c r="E67" s="67" t="s">
        <v>71</v>
      </c>
      <c r="F67" s="68">
        <v>2640</v>
      </c>
      <c r="G67" s="68">
        <v>2648</v>
      </c>
      <c r="H67" s="97">
        <v>8</v>
      </c>
      <c r="I67" s="68">
        <v>250</v>
      </c>
      <c r="J67" s="92">
        <f>H67*I67</f>
        <v>2000</v>
      </c>
      <c r="K67" s="7"/>
      <c r="V67" s="5">
        <f t="shared" ref="V67:V128" si="5">IF($J67&gt;0,1,0)</f>
        <v>1</v>
      </c>
      <c r="W67" s="5">
        <f t="shared" ref="W67:W128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44713</v>
      </c>
      <c r="D68" s="67" t="s">
        <v>18</v>
      </c>
      <c r="E68" s="67" t="s">
        <v>92</v>
      </c>
      <c r="F68" s="97">
        <v>698</v>
      </c>
      <c r="G68" s="97">
        <v>700</v>
      </c>
      <c r="H68" s="97">
        <v>2</v>
      </c>
      <c r="I68" s="20">
        <v>950</v>
      </c>
      <c r="J68" s="21">
        <f>H68*I68</f>
        <v>1900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8" si="7">B68+1</f>
        <v>3</v>
      </c>
      <c r="C69" s="18">
        <v>44714</v>
      </c>
      <c r="D69" s="19" t="s">
        <v>18</v>
      </c>
      <c r="E69" s="19" t="s">
        <v>87</v>
      </c>
      <c r="F69" s="35">
        <v>935</v>
      </c>
      <c r="G69" s="97">
        <v>945</v>
      </c>
      <c r="H69" s="35">
        <v>10</v>
      </c>
      <c r="I69" s="20">
        <v>900</v>
      </c>
      <c r="J69" s="21">
        <f>H69*I69</f>
        <v>9000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44714</v>
      </c>
      <c r="D70" s="19" t="s">
        <v>18</v>
      </c>
      <c r="E70" s="19" t="s">
        <v>490</v>
      </c>
      <c r="F70" s="35">
        <v>780</v>
      </c>
      <c r="G70" s="97">
        <v>784.4</v>
      </c>
      <c r="H70" s="35">
        <v>4.4000000000000004</v>
      </c>
      <c r="I70" s="20">
        <v>1300</v>
      </c>
      <c r="J70" s="21">
        <f>H70*I70</f>
        <v>5720.0000000000009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44715</v>
      </c>
      <c r="D71" s="19" t="s">
        <v>18</v>
      </c>
      <c r="E71" s="19" t="s">
        <v>71</v>
      </c>
      <c r="F71" s="35">
        <v>2805</v>
      </c>
      <c r="G71" s="97">
        <v>2785</v>
      </c>
      <c r="H71" s="35">
        <v>-20</v>
      </c>
      <c r="I71" s="20">
        <v>250</v>
      </c>
      <c r="J71" s="21">
        <f>H71*I71</f>
        <v>-5000</v>
      </c>
      <c r="K71" s="7"/>
      <c r="V71" s="5">
        <f t="shared" si="5"/>
        <v>0</v>
      </c>
      <c r="W71" s="5">
        <f t="shared" si="6"/>
        <v>1</v>
      </c>
    </row>
    <row r="72" spans="1:23" s="36" customFormat="1" x14ac:dyDescent="0.3">
      <c r="A72" s="6"/>
      <c r="B72" s="17">
        <f t="shared" si="7"/>
        <v>6</v>
      </c>
      <c r="C72" s="18">
        <v>44715</v>
      </c>
      <c r="D72" s="19" t="s">
        <v>18</v>
      </c>
      <c r="E72" s="19" t="s">
        <v>129</v>
      </c>
      <c r="F72" s="20">
        <v>565</v>
      </c>
      <c r="G72" s="97">
        <v>571</v>
      </c>
      <c r="H72" s="35">
        <f>571-565</f>
        <v>6</v>
      </c>
      <c r="I72" s="20">
        <v>625</v>
      </c>
      <c r="J72" s="21">
        <f t="shared" ref="J72:J128" si="8">I72*H72</f>
        <v>3750</v>
      </c>
      <c r="K72" s="7"/>
      <c r="V72" s="5">
        <f t="shared" si="5"/>
        <v>1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>
        <v>44718</v>
      </c>
      <c r="D73" s="19" t="s">
        <v>18</v>
      </c>
      <c r="E73" s="19" t="s">
        <v>561</v>
      </c>
      <c r="F73" s="35">
        <v>2205</v>
      </c>
      <c r="G73" s="97">
        <v>2228</v>
      </c>
      <c r="H73" s="35">
        <f>2228-2205</f>
        <v>23</v>
      </c>
      <c r="I73" s="20">
        <v>500</v>
      </c>
      <c r="J73" s="21">
        <f t="shared" si="8"/>
        <v>11500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44718</v>
      </c>
      <c r="D74" s="19" t="s">
        <v>18</v>
      </c>
      <c r="E74" s="19" t="s">
        <v>301</v>
      </c>
      <c r="F74" s="35">
        <v>613</v>
      </c>
      <c r="G74" s="97">
        <v>615</v>
      </c>
      <c r="H74" s="35">
        <v>2</v>
      </c>
      <c r="I74" s="20">
        <v>1100</v>
      </c>
      <c r="J74" s="21">
        <f t="shared" si="8"/>
        <v>2200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44719</v>
      </c>
      <c r="D75" s="19" t="s">
        <v>18</v>
      </c>
      <c r="E75" s="19" t="s">
        <v>689</v>
      </c>
      <c r="F75" s="35">
        <v>3580</v>
      </c>
      <c r="G75" s="97">
        <v>3610</v>
      </c>
      <c r="H75" s="35">
        <f>3610-3580</f>
        <v>30</v>
      </c>
      <c r="I75" s="20">
        <v>125</v>
      </c>
      <c r="J75" s="21">
        <f t="shared" si="8"/>
        <v>3750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44719</v>
      </c>
      <c r="D76" s="19" t="s">
        <v>18</v>
      </c>
      <c r="E76" s="19" t="s">
        <v>111</v>
      </c>
      <c r="F76" s="35">
        <v>466</v>
      </c>
      <c r="G76" s="97">
        <v>468</v>
      </c>
      <c r="H76" s="35">
        <v>2</v>
      </c>
      <c r="I76" s="20">
        <v>1500</v>
      </c>
      <c r="J76" s="21">
        <f t="shared" si="8"/>
        <v>3000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>
        <v>44720</v>
      </c>
      <c r="D77" s="19" t="s">
        <v>69</v>
      </c>
      <c r="E77" s="19" t="s">
        <v>71</v>
      </c>
      <c r="F77" s="19">
        <v>2740</v>
      </c>
      <c r="G77" s="97">
        <v>2734</v>
      </c>
      <c r="H77" s="35">
        <v>6</v>
      </c>
      <c r="I77" s="20">
        <v>250</v>
      </c>
      <c r="J77" s="21">
        <f t="shared" si="8"/>
        <v>1500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>
        <v>44720</v>
      </c>
      <c r="D78" s="19" t="s">
        <v>18</v>
      </c>
      <c r="E78" s="19" t="s">
        <v>605</v>
      </c>
      <c r="F78" s="35">
        <v>828</v>
      </c>
      <c r="G78" s="97">
        <v>830</v>
      </c>
      <c r="H78" s="35">
        <v>2</v>
      </c>
      <c r="I78" s="20">
        <v>650</v>
      </c>
      <c r="J78" s="21">
        <f t="shared" si="8"/>
        <v>1300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44721</v>
      </c>
      <c r="D79" s="19" t="s">
        <v>18</v>
      </c>
      <c r="E79" s="19" t="s">
        <v>71</v>
      </c>
      <c r="F79" s="35">
        <v>2760</v>
      </c>
      <c r="G79" s="97">
        <v>2766</v>
      </c>
      <c r="H79" s="35">
        <v>6</v>
      </c>
      <c r="I79" s="20">
        <v>250</v>
      </c>
      <c r="J79" s="21">
        <f t="shared" si="8"/>
        <v>1500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44721</v>
      </c>
      <c r="D80" s="19" t="s">
        <v>18</v>
      </c>
      <c r="E80" s="19" t="s">
        <v>376</v>
      </c>
      <c r="F80" s="77">
        <v>1845</v>
      </c>
      <c r="G80" s="97">
        <v>1856</v>
      </c>
      <c r="H80" s="78">
        <f>1856-1845</f>
        <v>11</v>
      </c>
      <c r="I80" s="20">
        <v>400</v>
      </c>
      <c r="J80" s="21">
        <f t="shared" si="8"/>
        <v>4400</v>
      </c>
      <c r="K80" s="7"/>
      <c r="V80" s="5">
        <f t="shared" si="5"/>
        <v>1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>
        <v>44725</v>
      </c>
      <c r="D81" s="19" t="s">
        <v>18</v>
      </c>
      <c r="E81" s="19" t="s">
        <v>71</v>
      </c>
      <c r="F81" s="35">
        <v>2645</v>
      </c>
      <c r="G81" s="97">
        <v>2665</v>
      </c>
      <c r="H81" s="78">
        <v>20</v>
      </c>
      <c r="I81" s="20">
        <v>250</v>
      </c>
      <c r="J81" s="21">
        <f t="shared" si="8"/>
        <v>5000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>
        <v>44725</v>
      </c>
      <c r="D82" s="19" t="s">
        <v>18</v>
      </c>
      <c r="E82" s="19" t="s">
        <v>561</v>
      </c>
      <c r="F82" s="35">
        <v>2132</v>
      </c>
      <c r="G82" s="97">
        <v>2139</v>
      </c>
      <c r="H82" s="78">
        <v>7</v>
      </c>
      <c r="I82" s="20">
        <v>500</v>
      </c>
      <c r="J82" s="21">
        <f t="shared" si="8"/>
        <v>3500</v>
      </c>
      <c r="K82" s="7"/>
      <c r="V82" s="5">
        <f t="shared" si="5"/>
        <v>1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>
        <v>44726</v>
      </c>
      <c r="D83" s="19" t="s">
        <v>18</v>
      </c>
      <c r="E83" s="19" t="s">
        <v>690</v>
      </c>
      <c r="F83" s="35">
        <v>1280</v>
      </c>
      <c r="G83" s="97">
        <v>1294</v>
      </c>
      <c r="H83" s="35">
        <v>14</v>
      </c>
      <c r="I83" s="20">
        <v>250</v>
      </c>
      <c r="J83" s="21">
        <f t="shared" si="8"/>
        <v>3500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>
        <v>44726</v>
      </c>
      <c r="D84" s="19" t="s">
        <v>18</v>
      </c>
      <c r="E84" s="19" t="s">
        <v>621</v>
      </c>
      <c r="F84" s="35">
        <v>938</v>
      </c>
      <c r="G84" s="97">
        <v>948</v>
      </c>
      <c r="H84" s="35">
        <v>10</v>
      </c>
      <c r="I84" s="20">
        <v>400</v>
      </c>
      <c r="J84" s="21">
        <f t="shared" si="8"/>
        <v>4000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>
        <v>44727</v>
      </c>
      <c r="D85" s="19" t="s">
        <v>18</v>
      </c>
      <c r="E85" s="19" t="s">
        <v>691</v>
      </c>
      <c r="F85" s="35">
        <v>3070</v>
      </c>
      <c r="G85" s="97">
        <v>3110</v>
      </c>
      <c r="H85" s="35">
        <v>40</v>
      </c>
      <c r="I85" s="20">
        <v>200</v>
      </c>
      <c r="J85" s="21">
        <f t="shared" si="8"/>
        <v>8000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>
        <v>44727</v>
      </c>
      <c r="D86" s="19" t="s">
        <v>18</v>
      </c>
      <c r="E86" s="19" t="s">
        <v>604</v>
      </c>
      <c r="F86" s="35">
        <v>203</v>
      </c>
      <c r="G86" s="97">
        <v>205.3</v>
      </c>
      <c r="H86" s="35">
        <v>2.2999999999999998</v>
      </c>
      <c r="I86" s="20">
        <v>2800</v>
      </c>
      <c r="J86" s="21">
        <f t="shared" si="8"/>
        <v>6439.9999999999991</v>
      </c>
      <c r="K86" s="7"/>
      <c r="V86" s="5">
        <f t="shared" si="5"/>
        <v>1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>
        <v>44728</v>
      </c>
      <c r="D87" s="19" t="s">
        <v>69</v>
      </c>
      <c r="E87" s="19" t="s">
        <v>692</v>
      </c>
      <c r="F87" s="35">
        <v>932</v>
      </c>
      <c r="G87" s="97">
        <v>912</v>
      </c>
      <c r="H87" s="35">
        <f>932-912</f>
        <v>20</v>
      </c>
      <c r="I87" s="20">
        <v>425</v>
      </c>
      <c r="J87" s="21">
        <f t="shared" si="8"/>
        <v>8500</v>
      </c>
      <c r="K87" s="7"/>
      <c r="V87" s="5">
        <f t="shared" si="5"/>
        <v>1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>
        <v>44728</v>
      </c>
      <c r="D88" s="19" t="s">
        <v>18</v>
      </c>
      <c r="E88" s="19" t="s">
        <v>71</v>
      </c>
      <c r="F88" s="35">
        <v>2620</v>
      </c>
      <c r="G88" s="97">
        <v>2626</v>
      </c>
      <c r="H88" s="35">
        <v>6</v>
      </c>
      <c r="I88" s="20">
        <v>250</v>
      </c>
      <c r="J88" s="21">
        <f t="shared" si="8"/>
        <v>1500</v>
      </c>
      <c r="K88" s="7"/>
      <c r="V88" s="5">
        <f t="shared" si="5"/>
        <v>1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>
        <v>44729</v>
      </c>
      <c r="D89" s="19" t="s">
        <v>18</v>
      </c>
      <c r="E89" s="19" t="s">
        <v>71</v>
      </c>
      <c r="F89" s="35">
        <v>2590</v>
      </c>
      <c r="G89" s="97">
        <v>2620</v>
      </c>
      <c r="H89" s="35">
        <f>2620-2590</f>
        <v>30</v>
      </c>
      <c r="I89" s="20">
        <v>250</v>
      </c>
      <c r="J89" s="21">
        <f t="shared" si="8"/>
        <v>7500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>
        <v>44729</v>
      </c>
      <c r="D90" s="19" t="s">
        <v>69</v>
      </c>
      <c r="E90" s="19" t="s">
        <v>693</v>
      </c>
      <c r="F90" s="35">
        <v>5375</v>
      </c>
      <c r="G90" s="97">
        <v>5358</v>
      </c>
      <c r="H90" s="35">
        <f>5375-5358</f>
        <v>17</v>
      </c>
      <c r="I90" s="20">
        <v>125</v>
      </c>
      <c r="J90" s="21">
        <f t="shared" si="8"/>
        <v>2125</v>
      </c>
      <c r="K90" s="7"/>
      <c r="V90" s="5">
        <f t="shared" si="5"/>
        <v>1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>
        <v>44732</v>
      </c>
      <c r="D91" s="19" t="s">
        <v>69</v>
      </c>
      <c r="E91" s="19" t="s">
        <v>71</v>
      </c>
      <c r="F91" s="35">
        <v>2540</v>
      </c>
      <c r="G91" s="97">
        <v>2520</v>
      </c>
      <c r="H91" s="35">
        <v>20</v>
      </c>
      <c r="I91" s="20">
        <v>250</v>
      </c>
      <c r="J91" s="21">
        <f t="shared" si="8"/>
        <v>5000</v>
      </c>
      <c r="K91" s="7"/>
      <c r="V91" s="5">
        <f t="shared" si="5"/>
        <v>1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>
        <v>44732</v>
      </c>
      <c r="D92" s="19" t="s">
        <v>69</v>
      </c>
      <c r="E92" s="19" t="s">
        <v>181</v>
      </c>
      <c r="F92" s="35">
        <v>1600</v>
      </c>
      <c r="G92" s="97">
        <v>1560</v>
      </c>
      <c r="H92" s="35">
        <f>1600-1560</f>
        <v>40</v>
      </c>
      <c r="I92" s="20">
        <v>250</v>
      </c>
      <c r="J92" s="21">
        <f t="shared" si="8"/>
        <v>10000</v>
      </c>
      <c r="K92" s="7"/>
      <c r="V92" s="5">
        <f t="shared" si="5"/>
        <v>1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>
        <v>44733</v>
      </c>
      <c r="D93" s="19" t="s">
        <v>69</v>
      </c>
      <c r="E93" s="19" t="s">
        <v>70</v>
      </c>
      <c r="F93" s="35">
        <v>632</v>
      </c>
      <c r="G93" s="97">
        <v>640</v>
      </c>
      <c r="H93" s="35">
        <v>-8</v>
      </c>
      <c r="I93" s="20">
        <v>1200</v>
      </c>
      <c r="J93" s="21">
        <f t="shared" si="8"/>
        <v>-9600</v>
      </c>
      <c r="K93" s="7"/>
      <c r="V93" s="5">
        <f t="shared" si="5"/>
        <v>0</v>
      </c>
      <c r="W93" s="5">
        <f t="shared" si="6"/>
        <v>1</v>
      </c>
    </row>
    <row r="94" spans="1:23" s="36" customFormat="1" x14ac:dyDescent="0.3">
      <c r="A94" s="6"/>
      <c r="B94" s="17">
        <f t="shared" si="7"/>
        <v>28</v>
      </c>
      <c r="C94" s="18">
        <v>44733</v>
      </c>
      <c r="D94" s="19" t="s">
        <v>18</v>
      </c>
      <c r="E94" s="19" t="s">
        <v>694</v>
      </c>
      <c r="F94" s="35">
        <v>983</v>
      </c>
      <c r="G94" s="97">
        <v>997.6</v>
      </c>
      <c r="H94" s="35">
        <f>997.6-983</f>
        <v>14.600000000000023</v>
      </c>
      <c r="I94" s="20">
        <v>700</v>
      </c>
      <c r="J94" s="21">
        <f t="shared" si="8"/>
        <v>10220.000000000016</v>
      </c>
      <c r="K94" s="7"/>
      <c r="V94" s="5">
        <f t="shared" si="5"/>
        <v>1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>
        <v>44734</v>
      </c>
      <c r="D95" s="19" t="s">
        <v>69</v>
      </c>
      <c r="E95" s="19" t="s">
        <v>75</v>
      </c>
      <c r="F95" s="35">
        <v>693</v>
      </c>
      <c r="G95" s="97">
        <v>687</v>
      </c>
      <c r="H95" s="35">
        <f>693-687</f>
        <v>6</v>
      </c>
      <c r="I95" s="20">
        <v>1375</v>
      </c>
      <c r="J95" s="21">
        <f t="shared" si="8"/>
        <v>8250</v>
      </c>
      <c r="K95" s="7"/>
      <c r="V95" s="5">
        <f t="shared" si="5"/>
        <v>1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>
        <v>44735</v>
      </c>
      <c r="D96" s="19" t="s">
        <v>18</v>
      </c>
      <c r="E96" s="19" t="s">
        <v>488</v>
      </c>
      <c r="F96" s="35">
        <v>1825</v>
      </c>
      <c r="G96" s="97">
        <v>1805</v>
      </c>
      <c r="H96" s="35">
        <v>-20</v>
      </c>
      <c r="I96" s="20">
        <v>407</v>
      </c>
      <c r="J96" s="21">
        <f t="shared" si="8"/>
        <v>-8140</v>
      </c>
      <c r="K96" s="7"/>
      <c r="V96" s="5">
        <f t="shared" si="5"/>
        <v>0</v>
      </c>
      <c r="W96" s="5">
        <f t="shared" si="6"/>
        <v>1</v>
      </c>
    </row>
    <row r="97" spans="1:23" s="36" customFormat="1" x14ac:dyDescent="0.3">
      <c r="A97" s="6"/>
      <c r="B97" s="17">
        <f t="shared" si="7"/>
        <v>31</v>
      </c>
      <c r="C97" s="18">
        <v>44735</v>
      </c>
      <c r="D97" s="19" t="s">
        <v>18</v>
      </c>
      <c r="E97" s="19" t="s">
        <v>81</v>
      </c>
      <c r="F97" s="35">
        <v>1505</v>
      </c>
      <c r="G97" s="97">
        <v>1514</v>
      </c>
      <c r="H97" s="35">
        <f>1514-1505</f>
        <v>9</v>
      </c>
      <c r="I97" s="20">
        <v>550</v>
      </c>
      <c r="J97" s="21">
        <f t="shared" si="8"/>
        <v>4950</v>
      </c>
      <c r="K97" s="7"/>
      <c r="V97" s="5">
        <f t="shared" si="5"/>
        <v>1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>
        <v>44736</v>
      </c>
      <c r="D98" s="19" t="s">
        <v>18</v>
      </c>
      <c r="E98" s="19" t="s">
        <v>690</v>
      </c>
      <c r="F98" s="35">
        <v>1295</v>
      </c>
      <c r="G98" s="97">
        <v>1310</v>
      </c>
      <c r="H98" s="35">
        <f>1310-1295</f>
        <v>15</v>
      </c>
      <c r="I98" s="20">
        <v>250</v>
      </c>
      <c r="J98" s="21">
        <f t="shared" si="8"/>
        <v>3750</v>
      </c>
      <c r="K98" s="7"/>
      <c r="V98" s="5">
        <f t="shared" si="5"/>
        <v>1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>
        <v>44736</v>
      </c>
      <c r="D99" s="19" t="s">
        <v>18</v>
      </c>
      <c r="E99" s="19" t="s">
        <v>93</v>
      </c>
      <c r="F99" s="35">
        <v>1355</v>
      </c>
      <c r="G99" s="97">
        <v>1359</v>
      </c>
      <c r="H99" s="35">
        <v>4</v>
      </c>
      <c r="I99" s="20">
        <v>550</v>
      </c>
      <c r="J99" s="21">
        <f t="shared" si="8"/>
        <v>2200</v>
      </c>
      <c r="K99" s="7"/>
      <c r="V99" s="5">
        <f t="shared" si="5"/>
        <v>1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>
        <v>44740</v>
      </c>
      <c r="D100" s="19" t="s">
        <v>18</v>
      </c>
      <c r="E100" s="19" t="s">
        <v>695</v>
      </c>
      <c r="F100" s="35">
        <v>805</v>
      </c>
      <c r="G100" s="97">
        <v>812</v>
      </c>
      <c r="H100" s="35">
        <f>812-805</f>
        <v>7</v>
      </c>
      <c r="I100" s="20">
        <v>1400</v>
      </c>
      <c r="J100" s="21">
        <f t="shared" si="8"/>
        <v>9800</v>
      </c>
      <c r="K100" s="7"/>
      <c r="V100" s="5">
        <f t="shared" si="5"/>
        <v>1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>
        <v>44740</v>
      </c>
      <c r="D101" s="19" t="s">
        <v>18</v>
      </c>
      <c r="E101" s="19" t="s">
        <v>71</v>
      </c>
      <c r="F101" s="35">
        <v>2525</v>
      </c>
      <c r="G101" s="97">
        <v>2533</v>
      </c>
      <c r="H101" s="35">
        <v>8</v>
      </c>
      <c r="I101" s="20">
        <v>250</v>
      </c>
      <c r="J101" s="21">
        <f t="shared" si="8"/>
        <v>2000</v>
      </c>
      <c r="K101" s="7"/>
      <c r="V101" s="5">
        <f t="shared" si="5"/>
        <v>1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>
        <v>44741</v>
      </c>
      <c r="D102" s="19" t="s">
        <v>69</v>
      </c>
      <c r="E102" s="19" t="s">
        <v>237</v>
      </c>
      <c r="F102" s="35">
        <v>4360</v>
      </c>
      <c r="G102" s="97">
        <v>4338</v>
      </c>
      <c r="H102" s="35">
        <f>4360-4338</f>
        <v>22</v>
      </c>
      <c r="I102" s="20"/>
      <c r="J102" s="21">
        <f t="shared" si="8"/>
        <v>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>
        <v>44741</v>
      </c>
      <c r="D103" s="19" t="s">
        <v>69</v>
      </c>
      <c r="E103" s="19" t="s">
        <v>75</v>
      </c>
      <c r="F103" s="35">
        <v>702</v>
      </c>
      <c r="G103" s="97">
        <v>703</v>
      </c>
      <c r="H103" s="35">
        <v>-1</v>
      </c>
      <c r="I103" s="20">
        <v>1375</v>
      </c>
      <c r="J103" s="21">
        <f t="shared" si="8"/>
        <v>-1375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ht="15" thickBot="1" x14ac:dyDescent="0.35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ht="15" hidden="1" thickBot="1" x14ac:dyDescent="0.35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t="15" hidden="1" thickBot="1" x14ac:dyDescent="0.35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t="15" hidden="1" thickBot="1" x14ac:dyDescent="0.35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t="15" hidden="1" thickBot="1" x14ac:dyDescent="0.35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t="15" hidden="1" thickBot="1" x14ac:dyDescent="0.35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t="15" hidden="1" thickBot="1" x14ac:dyDescent="0.35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t="15" hidden="1" thickBot="1" x14ac:dyDescent="0.35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t="15" hidden="1" thickBot="1" x14ac:dyDescent="0.35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t="15" hidden="1" thickBot="1" x14ac:dyDescent="0.35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t="15" hidden="1" thickBot="1" x14ac:dyDescent="0.35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hidden="1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15" hidden="1" thickBot="1" x14ac:dyDescent="0.35">
      <c r="A121" s="6"/>
      <c r="B121" s="17">
        <f t="shared" si="7"/>
        <v>51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52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15" hidden="1" thickBot="1" x14ac:dyDescent="0.35">
      <c r="A123" s="6"/>
      <c r="B123" s="17">
        <f t="shared" si="7"/>
        <v>53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hidden="1" thickBot="1" x14ac:dyDescent="0.35">
      <c r="A124" s="6"/>
      <c r="B124" s="17">
        <f t="shared" si="7"/>
        <v>54</v>
      </c>
      <c r="C124" s="18"/>
      <c r="D124" s="19"/>
      <c r="E124" s="19"/>
      <c r="F124" s="35"/>
      <c r="G124" s="35"/>
      <c r="H124" s="35"/>
      <c r="I124" s="20"/>
      <c r="J124" s="21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15" hidden="1" thickBot="1" x14ac:dyDescent="0.35">
      <c r="A125" s="6"/>
      <c r="B125" s="17">
        <f t="shared" si="7"/>
        <v>55</v>
      </c>
      <c r="C125" s="18"/>
      <c r="D125" s="19"/>
      <c r="E125" s="19"/>
      <c r="F125" s="35"/>
      <c r="G125" s="35"/>
      <c r="H125" s="35"/>
      <c r="I125" s="20"/>
      <c r="J125" s="21">
        <f t="shared" si="8"/>
        <v>0</v>
      </c>
      <c r="K125" s="7"/>
      <c r="V125" s="5">
        <f t="shared" si="5"/>
        <v>0</v>
      </c>
      <c r="W125" s="5">
        <f t="shared" si="6"/>
        <v>0</v>
      </c>
    </row>
    <row r="126" spans="1:23" s="36" customFormat="1" ht="15" hidden="1" thickBot="1" x14ac:dyDescent="0.35">
      <c r="A126" s="6"/>
      <c r="B126" s="17">
        <f t="shared" si="7"/>
        <v>56</v>
      </c>
      <c r="C126" s="18"/>
      <c r="D126" s="19"/>
      <c r="E126" s="19"/>
      <c r="F126" s="35"/>
      <c r="G126" s="35"/>
      <c r="H126" s="35"/>
      <c r="I126" s="20"/>
      <c r="J126" s="21">
        <f t="shared" si="8"/>
        <v>0</v>
      </c>
      <c r="K126" s="7"/>
      <c r="V126" s="5">
        <f t="shared" si="5"/>
        <v>0</v>
      </c>
      <c r="W126" s="5">
        <f t="shared" si="6"/>
        <v>0</v>
      </c>
    </row>
    <row r="127" spans="1:23" s="36" customFormat="1" ht="15" hidden="1" thickBot="1" x14ac:dyDescent="0.35">
      <c r="A127" s="6"/>
      <c r="B127" s="17">
        <f t="shared" si="7"/>
        <v>57</v>
      </c>
      <c r="C127" s="18"/>
      <c r="D127" s="19"/>
      <c r="E127" s="19"/>
      <c r="F127" s="35"/>
      <c r="G127" s="35"/>
      <c r="H127" s="35"/>
      <c r="I127" s="20"/>
      <c r="J127" s="21">
        <f t="shared" si="8"/>
        <v>0</v>
      </c>
      <c r="K127" s="7"/>
      <c r="V127" s="5">
        <f t="shared" si="5"/>
        <v>0</v>
      </c>
      <c r="W127" s="5">
        <f t="shared" si="6"/>
        <v>0</v>
      </c>
    </row>
    <row r="128" spans="1:23" s="36" customFormat="1" ht="15" hidden="1" thickBot="1" x14ac:dyDescent="0.35">
      <c r="A128" s="6"/>
      <c r="B128" s="17">
        <f t="shared" si="7"/>
        <v>58</v>
      </c>
      <c r="C128" s="79"/>
      <c r="D128" s="80"/>
      <c r="E128" s="80"/>
      <c r="F128" s="81"/>
      <c r="G128" s="81"/>
      <c r="H128" s="80"/>
      <c r="I128" s="81"/>
      <c r="J128" s="82">
        <f t="shared" si="8"/>
        <v>0</v>
      </c>
      <c r="K128" s="7"/>
      <c r="V128" s="5">
        <f t="shared" si="5"/>
        <v>0</v>
      </c>
      <c r="W128" s="5">
        <f t="shared" si="6"/>
        <v>0</v>
      </c>
    </row>
    <row r="129" spans="1:23" s="36" customFormat="1" ht="24" thickBot="1" x14ac:dyDescent="0.5">
      <c r="A129" s="6"/>
      <c r="B129" s="144" t="s">
        <v>22</v>
      </c>
      <c r="C129" s="145"/>
      <c r="D129" s="145"/>
      <c r="E129" s="145"/>
      <c r="F129" s="145"/>
      <c r="G129" s="145"/>
      <c r="H129" s="146"/>
      <c r="I129" s="83" t="s">
        <v>23</v>
      </c>
      <c r="J129" s="84">
        <f>SUM(J67:J128)</f>
        <v>133640</v>
      </c>
      <c r="K129" s="7"/>
      <c r="L129" s="5"/>
      <c r="M129" s="5"/>
      <c r="N129" s="5"/>
      <c r="O129" s="5"/>
      <c r="P129" s="5"/>
      <c r="Q129" s="5"/>
      <c r="R129" s="5"/>
      <c r="V129" s="36">
        <f>SUM(V67:V128)</f>
        <v>32</v>
      </c>
      <c r="W129" s="36">
        <f>SUM(W67:W128)</f>
        <v>3</v>
      </c>
    </row>
    <row r="130" spans="1:23" s="36" customFormat="1" ht="30" customHeight="1" thickBot="1" x14ac:dyDescent="0.35">
      <c r="A130" s="30"/>
      <c r="B130" s="31"/>
      <c r="C130" s="31"/>
      <c r="D130" s="31"/>
      <c r="E130" s="31"/>
      <c r="F130" s="31"/>
      <c r="G130" s="31"/>
      <c r="H130" s="32"/>
      <c r="I130" s="31"/>
      <c r="J130" s="32"/>
      <c r="K130" s="33"/>
      <c r="L130" s="5"/>
      <c r="M130" s="5"/>
      <c r="N130" s="5"/>
      <c r="O130" s="5"/>
      <c r="P130" s="5"/>
      <c r="Q130" s="5"/>
      <c r="R130" s="5"/>
    </row>
    <row r="131" spans="1:23" ht="15" thickBot="1" x14ac:dyDescent="0.35"/>
    <row r="132" spans="1:23" s="36" customFormat="1" ht="30" customHeight="1" thickBot="1" x14ac:dyDescent="0.35">
      <c r="A132" s="1"/>
      <c r="B132" s="2"/>
      <c r="C132" s="2"/>
      <c r="D132" s="2"/>
      <c r="E132" s="2"/>
      <c r="F132" s="2"/>
      <c r="G132" s="2"/>
      <c r="H132" s="3"/>
      <c r="I132" s="2"/>
      <c r="J132" s="3"/>
      <c r="K132" s="4"/>
    </row>
    <row r="133" spans="1:23" s="36" customFormat="1" ht="25.2" thickBot="1" x14ac:dyDescent="0.35">
      <c r="A133" s="6" t="s">
        <v>1</v>
      </c>
      <c r="B133" s="119" t="s">
        <v>2</v>
      </c>
      <c r="C133" s="120"/>
      <c r="D133" s="120"/>
      <c r="E133" s="120"/>
      <c r="F133" s="120"/>
      <c r="G133" s="120"/>
      <c r="H133" s="120"/>
      <c r="I133" s="120"/>
      <c r="J133" s="121"/>
      <c r="K133" s="7"/>
    </row>
    <row r="134" spans="1:23" s="36" customFormat="1" ht="16.2" thickBot="1" x14ac:dyDescent="0.35">
      <c r="A134" s="6"/>
      <c r="B134" s="216">
        <v>44713</v>
      </c>
      <c r="C134" s="169"/>
      <c r="D134" s="169"/>
      <c r="E134" s="169"/>
      <c r="F134" s="169"/>
      <c r="G134" s="169"/>
      <c r="H134" s="169"/>
      <c r="I134" s="169"/>
      <c r="J134" s="170"/>
      <c r="K134" s="7"/>
      <c r="L134" s="22"/>
    </row>
    <row r="135" spans="1:23" s="36" customFormat="1" ht="16.2" thickBot="1" x14ac:dyDescent="0.35">
      <c r="A135" s="6"/>
      <c r="B135" s="106" t="s">
        <v>215</v>
      </c>
      <c r="C135" s="107"/>
      <c r="D135" s="107"/>
      <c r="E135" s="107"/>
      <c r="F135" s="107"/>
      <c r="G135" s="107"/>
      <c r="H135" s="107"/>
      <c r="I135" s="107"/>
      <c r="J135" s="108"/>
      <c r="K135" s="7"/>
    </row>
    <row r="136" spans="1:23" s="22" customFormat="1" ht="15" thickBot="1" x14ac:dyDescent="0.35">
      <c r="A136" s="69"/>
      <c r="B136" s="70" t="s">
        <v>9</v>
      </c>
      <c r="C136" s="71" t="s">
        <v>10</v>
      </c>
      <c r="D136" s="72" t="s">
        <v>11</v>
      </c>
      <c r="E136" s="72" t="s">
        <v>12</v>
      </c>
      <c r="F136" s="73" t="s">
        <v>65</v>
      </c>
      <c r="G136" s="73" t="s">
        <v>66</v>
      </c>
      <c r="H136" s="74" t="s">
        <v>67</v>
      </c>
      <c r="I136" s="73" t="s">
        <v>68</v>
      </c>
      <c r="J136" s="75" t="s">
        <v>17</v>
      </c>
      <c r="K136" s="76"/>
      <c r="L136" s="36"/>
      <c r="M136" s="36"/>
      <c r="N136" s="36"/>
      <c r="O136" s="36" t="s">
        <v>21</v>
      </c>
      <c r="P136" s="36"/>
      <c r="Q136" s="36"/>
      <c r="R136" s="36"/>
      <c r="V136" s="5" t="s">
        <v>5</v>
      </c>
      <c r="W136" s="5" t="s">
        <v>6</v>
      </c>
    </row>
    <row r="137" spans="1:23" s="36" customFormat="1" x14ac:dyDescent="0.3">
      <c r="A137" s="6"/>
      <c r="B137" s="14">
        <v>1</v>
      </c>
      <c r="C137" s="93">
        <v>44713</v>
      </c>
      <c r="D137" s="94" t="s">
        <v>18</v>
      </c>
      <c r="E137" s="94" t="s">
        <v>438</v>
      </c>
      <c r="F137" s="60">
        <v>95</v>
      </c>
      <c r="G137" s="60">
        <v>102</v>
      </c>
      <c r="H137" s="60">
        <f>102-95</f>
        <v>7</v>
      </c>
      <c r="I137" s="15">
        <v>300</v>
      </c>
      <c r="J137" s="16">
        <f t="shared" ref="J137:J182" si="9">I137*H137</f>
        <v>2100</v>
      </c>
      <c r="K137" s="7"/>
      <c r="V137" s="5">
        <f t="shared" ref="V137:V182" si="10">IF($J137&gt;0,1,0)</f>
        <v>1</v>
      </c>
      <c r="W137" s="5">
        <f t="shared" ref="W137:W182" si="11">IF($J137&lt;0,1,0)</f>
        <v>0</v>
      </c>
    </row>
    <row r="138" spans="1:23" s="36" customFormat="1" x14ac:dyDescent="0.3">
      <c r="A138" s="6"/>
      <c r="B138" s="17">
        <f>B137+1</f>
        <v>2</v>
      </c>
      <c r="C138" s="18">
        <v>44713</v>
      </c>
      <c r="D138" s="19" t="s">
        <v>18</v>
      </c>
      <c r="E138" s="19" t="s">
        <v>438</v>
      </c>
      <c r="F138" s="35">
        <v>110</v>
      </c>
      <c r="G138" s="35">
        <v>140</v>
      </c>
      <c r="H138" s="35">
        <v>30</v>
      </c>
      <c r="I138" s="20">
        <v>300</v>
      </c>
      <c r="J138" s="21">
        <f t="shared" si="9"/>
        <v>9000</v>
      </c>
      <c r="K138" s="7"/>
      <c r="L138" s="36" t="s">
        <v>21</v>
      </c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ref="B139:B159" si="12">B138+1</f>
        <v>3</v>
      </c>
      <c r="C139" s="18">
        <v>44714</v>
      </c>
      <c r="D139" s="19" t="s">
        <v>18</v>
      </c>
      <c r="E139" s="19" t="s">
        <v>438</v>
      </c>
      <c r="F139" s="35">
        <v>90</v>
      </c>
      <c r="G139" s="35">
        <v>100</v>
      </c>
      <c r="H139" s="35">
        <v>10</v>
      </c>
      <c r="I139" s="20">
        <v>300</v>
      </c>
      <c r="J139" s="21">
        <f t="shared" si="9"/>
        <v>3000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4</v>
      </c>
      <c r="C140" s="18">
        <v>44714</v>
      </c>
      <c r="D140" s="19" t="s">
        <v>18</v>
      </c>
      <c r="E140" s="19" t="s">
        <v>433</v>
      </c>
      <c r="F140" s="35">
        <v>75</v>
      </c>
      <c r="G140" s="35">
        <v>105</v>
      </c>
      <c r="H140" s="35">
        <v>30</v>
      </c>
      <c r="I140" s="20">
        <v>300</v>
      </c>
      <c r="J140" s="21">
        <f t="shared" si="9"/>
        <v>9000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5</v>
      </c>
      <c r="C141" s="18">
        <v>44715</v>
      </c>
      <c r="D141" s="19" t="s">
        <v>18</v>
      </c>
      <c r="E141" s="19" t="s">
        <v>662</v>
      </c>
      <c r="F141" s="35">
        <v>100</v>
      </c>
      <c r="G141" s="35">
        <v>130</v>
      </c>
      <c r="H141" s="35">
        <v>30</v>
      </c>
      <c r="I141" s="20">
        <v>300</v>
      </c>
      <c r="J141" s="21">
        <f t="shared" si="9"/>
        <v>9000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6</v>
      </c>
      <c r="C142" s="18">
        <v>44715</v>
      </c>
      <c r="D142" s="19" t="s">
        <v>18</v>
      </c>
      <c r="E142" s="19" t="s">
        <v>662</v>
      </c>
      <c r="F142" s="20">
        <v>110</v>
      </c>
      <c r="G142" s="35">
        <v>140</v>
      </c>
      <c r="H142" s="35">
        <v>30</v>
      </c>
      <c r="I142" s="20">
        <v>300</v>
      </c>
      <c r="J142" s="21">
        <f t="shared" si="9"/>
        <v>9000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7</v>
      </c>
      <c r="C143" s="18">
        <v>44718</v>
      </c>
      <c r="D143" s="19" t="s">
        <v>18</v>
      </c>
      <c r="E143" s="19" t="s">
        <v>435</v>
      </c>
      <c r="F143" s="35">
        <v>100</v>
      </c>
      <c r="G143" s="35">
        <v>112</v>
      </c>
      <c r="H143" s="35">
        <v>12</v>
      </c>
      <c r="I143" s="20">
        <v>300</v>
      </c>
      <c r="J143" s="21">
        <f t="shared" si="9"/>
        <v>3600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8</v>
      </c>
      <c r="C144" s="18">
        <v>44718</v>
      </c>
      <c r="D144" s="19" t="s">
        <v>18</v>
      </c>
      <c r="E144" s="19" t="s">
        <v>440</v>
      </c>
      <c r="F144" s="35">
        <v>110</v>
      </c>
      <c r="G144" s="35">
        <v>128</v>
      </c>
      <c r="H144" s="35">
        <f>128-110</f>
        <v>18</v>
      </c>
      <c r="I144" s="20">
        <v>300</v>
      </c>
      <c r="J144" s="21">
        <f t="shared" si="9"/>
        <v>5400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9</v>
      </c>
      <c r="C145" s="18">
        <v>44719</v>
      </c>
      <c r="D145" s="19" t="s">
        <v>18</v>
      </c>
      <c r="E145" s="19" t="s">
        <v>687</v>
      </c>
      <c r="F145" s="35">
        <v>100</v>
      </c>
      <c r="G145" s="35">
        <v>85</v>
      </c>
      <c r="H145" s="35">
        <v>-15</v>
      </c>
      <c r="I145" s="20">
        <v>300</v>
      </c>
      <c r="J145" s="21">
        <f t="shared" si="9"/>
        <v>-4500</v>
      </c>
      <c r="K145" s="7"/>
      <c r="V145" s="5">
        <f t="shared" si="10"/>
        <v>0</v>
      </c>
      <c r="W145" s="5">
        <f t="shared" si="11"/>
        <v>1</v>
      </c>
    </row>
    <row r="146" spans="1:23" s="36" customFormat="1" x14ac:dyDescent="0.3">
      <c r="A146" s="6"/>
      <c r="B146" s="17">
        <f t="shared" si="12"/>
        <v>10</v>
      </c>
      <c r="C146" s="18">
        <v>44719</v>
      </c>
      <c r="D146" s="19" t="s">
        <v>18</v>
      </c>
      <c r="E146" s="19" t="s">
        <v>432</v>
      </c>
      <c r="F146" s="35">
        <v>90</v>
      </c>
      <c r="G146" s="35">
        <v>103</v>
      </c>
      <c r="H146" s="35">
        <f>103-90</f>
        <v>13</v>
      </c>
      <c r="I146" s="20">
        <v>300</v>
      </c>
      <c r="J146" s="21">
        <f t="shared" si="9"/>
        <v>3900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11</v>
      </c>
      <c r="C147" s="18">
        <v>44720</v>
      </c>
      <c r="D147" s="19" t="s">
        <v>18</v>
      </c>
      <c r="E147" s="19" t="s">
        <v>432</v>
      </c>
      <c r="F147" s="19">
        <v>100</v>
      </c>
      <c r="G147" s="35">
        <v>85</v>
      </c>
      <c r="H147" s="35">
        <v>-15</v>
      </c>
      <c r="I147" s="20">
        <v>300</v>
      </c>
      <c r="J147" s="21">
        <f t="shared" si="9"/>
        <v>-4500</v>
      </c>
      <c r="K147" s="7"/>
      <c r="V147" s="5">
        <f t="shared" si="10"/>
        <v>0</v>
      </c>
      <c r="W147" s="5">
        <f t="shared" si="11"/>
        <v>1</v>
      </c>
    </row>
    <row r="148" spans="1:23" s="36" customFormat="1" x14ac:dyDescent="0.3">
      <c r="A148" s="6"/>
      <c r="B148" s="17">
        <f t="shared" si="12"/>
        <v>12</v>
      </c>
      <c r="C148" s="18">
        <v>44720</v>
      </c>
      <c r="D148" s="19" t="s">
        <v>18</v>
      </c>
      <c r="E148" s="19" t="s">
        <v>432</v>
      </c>
      <c r="F148" s="35">
        <v>90</v>
      </c>
      <c r="G148" s="35">
        <v>75</v>
      </c>
      <c r="H148" s="35">
        <v>-15</v>
      </c>
      <c r="I148" s="20">
        <v>300</v>
      </c>
      <c r="J148" s="21">
        <f t="shared" si="9"/>
        <v>-4500</v>
      </c>
      <c r="K148" s="7"/>
      <c r="V148" s="5">
        <f t="shared" si="10"/>
        <v>0</v>
      </c>
      <c r="W148" s="5">
        <f t="shared" si="11"/>
        <v>1</v>
      </c>
    </row>
    <row r="149" spans="1:23" s="36" customFormat="1" x14ac:dyDescent="0.3">
      <c r="A149" s="6"/>
      <c r="B149" s="17">
        <f t="shared" si="12"/>
        <v>13</v>
      </c>
      <c r="C149" s="18">
        <v>44721</v>
      </c>
      <c r="D149" s="19" t="s">
        <v>18</v>
      </c>
      <c r="E149" s="19" t="s">
        <v>431</v>
      </c>
      <c r="F149" s="35">
        <v>85</v>
      </c>
      <c r="G149" s="35">
        <v>115</v>
      </c>
      <c r="H149" s="35">
        <v>30</v>
      </c>
      <c r="I149" s="20">
        <v>300</v>
      </c>
      <c r="J149" s="21">
        <f t="shared" si="9"/>
        <v>9000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14</v>
      </c>
      <c r="C150" s="18">
        <v>44721</v>
      </c>
      <c r="D150" s="19" t="s">
        <v>18</v>
      </c>
      <c r="E150" s="19" t="s">
        <v>435</v>
      </c>
      <c r="F150" s="77">
        <v>65</v>
      </c>
      <c r="G150" s="35">
        <v>85</v>
      </c>
      <c r="H150" s="78">
        <v>20</v>
      </c>
      <c r="I150" s="20">
        <v>300</v>
      </c>
      <c r="J150" s="21">
        <f t="shared" si="9"/>
        <v>6000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15</v>
      </c>
      <c r="C151" s="18">
        <v>44722</v>
      </c>
      <c r="D151" s="19" t="s">
        <v>18</v>
      </c>
      <c r="E151" s="19" t="s">
        <v>675</v>
      </c>
      <c r="F151" s="35">
        <v>120</v>
      </c>
      <c r="G151" s="35">
        <v>160</v>
      </c>
      <c r="H151" s="78">
        <v>40</v>
      </c>
      <c r="I151" s="20">
        <v>300</v>
      </c>
      <c r="J151" s="21">
        <f t="shared" si="9"/>
        <v>12000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16</v>
      </c>
      <c r="C152" s="18">
        <v>44722</v>
      </c>
      <c r="D152" s="19" t="s">
        <v>18</v>
      </c>
      <c r="E152" s="19" t="s">
        <v>644</v>
      </c>
      <c r="F152" s="35">
        <v>105</v>
      </c>
      <c r="G152" s="35">
        <v>120</v>
      </c>
      <c r="H152" s="78">
        <f>120-105</f>
        <v>15</v>
      </c>
      <c r="I152" s="20">
        <v>300</v>
      </c>
      <c r="J152" s="21">
        <f t="shared" si="9"/>
        <v>4500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17</v>
      </c>
      <c r="C153" s="18">
        <v>44725</v>
      </c>
      <c r="D153" s="19" t="s">
        <v>18</v>
      </c>
      <c r="E153" s="19" t="s">
        <v>402</v>
      </c>
      <c r="F153" s="35">
        <v>120</v>
      </c>
      <c r="G153" s="35">
        <v>110</v>
      </c>
      <c r="H153" s="78">
        <v>-10</v>
      </c>
      <c r="I153" s="20">
        <v>300</v>
      </c>
      <c r="J153" s="21">
        <f t="shared" si="9"/>
        <v>-3000</v>
      </c>
      <c r="K153" s="7"/>
      <c r="V153" s="5">
        <f t="shared" si="10"/>
        <v>0</v>
      </c>
      <c r="W153" s="5">
        <f t="shared" si="11"/>
        <v>1</v>
      </c>
    </row>
    <row r="154" spans="1:23" s="36" customFormat="1" x14ac:dyDescent="0.3">
      <c r="A154" s="6"/>
      <c r="B154" s="17">
        <f t="shared" si="12"/>
        <v>18</v>
      </c>
      <c r="C154" s="18">
        <v>44725</v>
      </c>
      <c r="D154" s="19" t="s">
        <v>18</v>
      </c>
      <c r="E154" s="19" t="s">
        <v>416</v>
      </c>
      <c r="F154" s="35">
        <v>100</v>
      </c>
      <c r="G154" s="35">
        <v>130</v>
      </c>
      <c r="H154" s="78">
        <v>30</v>
      </c>
      <c r="I154" s="20">
        <v>300</v>
      </c>
      <c r="J154" s="21">
        <f t="shared" si="9"/>
        <v>9000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2"/>
        <v>19</v>
      </c>
      <c r="C155" s="18">
        <v>44726</v>
      </c>
      <c r="D155" s="19" t="s">
        <v>18</v>
      </c>
      <c r="E155" s="19" t="s">
        <v>405</v>
      </c>
      <c r="F155" s="35">
        <v>120</v>
      </c>
      <c r="G155" s="35">
        <v>146</v>
      </c>
      <c r="H155" s="78">
        <f>146-120</f>
        <v>26</v>
      </c>
      <c r="I155" s="20">
        <v>300</v>
      </c>
      <c r="J155" s="21">
        <f t="shared" si="9"/>
        <v>7800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2"/>
        <v>20</v>
      </c>
      <c r="C156" s="18">
        <v>44726</v>
      </c>
      <c r="D156" s="19" t="s">
        <v>18</v>
      </c>
      <c r="E156" s="19" t="s">
        <v>408</v>
      </c>
      <c r="F156" s="35">
        <v>110</v>
      </c>
      <c r="G156" s="35">
        <v>140</v>
      </c>
      <c r="H156" s="35">
        <v>30</v>
      </c>
      <c r="I156" s="20">
        <v>300</v>
      </c>
      <c r="J156" s="21">
        <f t="shared" si="9"/>
        <v>9000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2"/>
        <v>21</v>
      </c>
      <c r="C157" s="18">
        <v>44727</v>
      </c>
      <c r="D157" s="19" t="s">
        <v>18</v>
      </c>
      <c r="E157" s="19" t="s">
        <v>389</v>
      </c>
      <c r="F157" s="35">
        <v>95</v>
      </c>
      <c r="G157" s="35">
        <v>114</v>
      </c>
      <c r="H157" s="35">
        <f>114-95</f>
        <v>19</v>
      </c>
      <c r="I157" s="20">
        <v>300</v>
      </c>
      <c r="J157" s="21">
        <f t="shared" si="9"/>
        <v>5700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2"/>
        <v>22</v>
      </c>
      <c r="C158" s="18">
        <v>44727</v>
      </c>
      <c r="D158" s="19" t="s">
        <v>18</v>
      </c>
      <c r="E158" s="19" t="s">
        <v>389</v>
      </c>
      <c r="F158" s="35">
        <v>95</v>
      </c>
      <c r="G158" s="35">
        <v>125</v>
      </c>
      <c r="H158" s="35">
        <v>30</v>
      </c>
      <c r="I158" s="20">
        <v>300</v>
      </c>
      <c r="J158" s="21">
        <f t="shared" si="9"/>
        <v>9000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2"/>
        <v>23</v>
      </c>
      <c r="C159" s="18">
        <v>44728</v>
      </c>
      <c r="D159" s="19" t="s">
        <v>18</v>
      </c>
      <c r="E159" s="19" t="s">
        <v>408</v>
      </c>
      <c r="F159" s="35">
        <v>70</v>
      </c>
      <c r="G159" s="35">
        <v>100</v>
      </c>
      <c r="H159" s="35">
        <v>30</v>
      </c>
      <c r="I159" s="20">
        <v>300</v>
      </c>
      <c r="J159" s="21">
        <f t="shared" si="9"/>
        <v>9000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>B159+1</f>
        <v>24</v>
      </c>
      <c r="C160" s="18">
        <v>44728</v>
      </c>
      <c r="D160" s="19" t="s">
        <v>18</v>
      </c>
      <c r="E160" s="19" t="s">
        <v>402</v>
      </c>
      <c r="F160" s="35">
        <v>60</v>
      </c>
      <c r="G160" s="35">
        <v>90</v>
      </c>
      <c r="H160" s="35">
        <v>30</v>
      </c>
      <c r="I160" s="20">
        <v>300</v>
      </c>
      <c r="J160" s="21">
        <f t="shared" si="9"/>
        <v>9000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ref="B161:B182" si="13">B160+1</f>
        <v>25</v>
      </c>
      <c r="C161" s="18">
        <v>44729</v>
      </c>
      <c r="D161" s="19" t="s">
        <v>18</v>
      </c>
      <c r="E161" s="19" t="s">
        <v>263</v>
      </c>
      <c r="F161" s="35">
        <v>125</v>
      </c>
      <c r="G161" s="35">
        <v>130</v>
      </c>
      <c r="H161" s="35">
        <v>5</v>
      </c>
      <c r="I161" s="20">
        <v>300</v>
      </c>
      <c r="J161" s="21">
        <f t="shared" si="9"/>
        <v>1500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26</v>
      </c>
      <c r="C162" s="18">
        <v>44729</v>
      </c>
      <c r="D162" s="19" t="s">
        <v>18</v>
      </c>
      <c r="E162" s="19" t="s">
        <v>379</v>
      </c>
      <c r="F162" s="35">
        <v>110</v>
      </c>
      <c r="G162" s="35">
        <v>125</v>
      </c>
      <c r="H162" s="35">
        <v>15</v>
      </c>
      <c r="I162" s="20">
        <v>300</v>
      </c>
      <c r="J162" s="21">
        <f t="shared" si="9"/>
        <v>4500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27</v>
      </c>
      <c r="C163" s="18">
        <v>44732</v>
      </c>
      <c r="D163" s="19" t="s">
        <v>18</v>
      </c>
      <c r="E163" s="19" t="s">
        <v>303</v>
      </c>
      <c r="F163" s="35">
        <v>105</v>
      </c>
      <c r="G163" s="35">
        <v>110</v>
      </c>
      <c r="H163" s="35">
        <v>5</v>
      </c>
      <c r="I163" s="20">
        <v>300</v>
      </c>
      <c r="J163" s="21">
        <f t="shared" si="9"/>
        <v>1500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28</v>
      </c>
      <c r="C164" s="18">
        <v>44732</v>
      </c>
      <c r="D164" s="19" t="s">
        <v>18</v>
      </c>
      <c r="E164" s="19" t="s">
        <v>263</v>
      </c>
      <c r="F164" s="35">
        <v>125</v>
      </c>
      <c r="G164" s="35">
        <v>105</v>
      </c>
      <c r="H164" s="35">
        <v>-20</v>
      </c>
      <c r="I164" s="20">
        <v>300</v>
      </c>
      <c r="J164" s="21">
        <f t="shared" si="9"/>
        <v>-6000</v>
      </c>
      <c r="K164" s="7"/>
      <c r="V164" s="5">
        <f t="shared" si="10"/>
        <v>0</v>
      </c>
      <c r="W164" s="5">
        <f t="shared" si="11"/>
        <v>1</v>
      </c>
    </row>
    <row r="165" spans="1:23" s="36" customFormat="1" x14ac:dyDescent="0.3">
      <c r="A165" s="6"/>
      <c r="B165" s="17">
        <f t="shared" si="13"/>
        <v>29</v>
      </c>
      <c r="C165" s="18">
        <v>44733</v>
      </c>
      <c r="D165" s="19" t="s">
        <v>18</v>
      </c>
      <c r="E165" s="19" t="s">
        <v>303</v>
      </c>
      <c r="F165" s="35">
        <v>130</v>
      </c>
      <c r="G165" s="35">
        <v>170</v>
      </c>
      <c r="H165" s="35">
        <v>40</v>
      </c>
      <c r="I165" s="20">
        <v>300</v>
      </c>
      <c r="J165" s="21">
        <f t="shared" si="9"/>
        <v>12000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3"/>
        <v>30</v>
      </c>
      <c r="C166" s="18">
        <v>44733</v>
      </c>
      <c r="D166" s="19" t="s">
        <v>18</v>
      </c>
      <c r="E166" s="19" t="s">
        <v>386</v>
      </c>
      <c r="F166" s="35">
        <v>105</v>
      </c>
      <c r="G166" s="35">
        <v>135</v>
      </c>
      <c r="H166" s="35">
        <v>30</v>
      </c>
      <c r="I166" s="20">
        <v>300</v>
      </c>
      <c r="J166" s="21">
        <f t="shared" si="9"/>
        <v>9000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3"/>
        <v>31</v>
      </c>
      <c r="C167" s="18">
        <v>44734</v>
      </c>
      <c r="D167" s="19" t="s">
        <v>18</v>
      </c>
      <c r="E167" s="19" t="s">
        <v>303</v>
      </c>
      <c r="F167" s="35">
        <v>90</v>
      </c>
      <c r="G167" s="35">
        <v>120</v>
      </c>
      <c r="H167" s="35">
        <v>30</v>
      </c>
      <c r="I167" s="20">
        <v>300</v>
      </c>
      <c r="J167" s="21">
        <f t="shared" si="9"/>
        <v>9000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3"/>
        <v>32</v>
      </c>
      <c r="C168" s="18">
        <v>44734</v>
      </c>
      <c r="D168" s="19" t="s">
        <v>18</v>
      </c>
      <c r="E168" s="19" t="s">
        <v>688</v>
      </c>
      <c r="F168" s="35">
        <v>80</v>
      </c>
      <c r="G168" s="35">
        <v>110</v>
      </c>
      <c r="H168" s="35">
        <v>30</v>
      </c>
      <c r="I168" s="20">
        <v>300</v>
      </c>
      <c r="J168" s="21">
        <f t="shared" si="9"/>
        <v>9000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3"/>
        <v>33</v>
      </c>
      <c r="C169" s="18">
        <v>44735</v>
      </c>
      <c r="D169" s="19" t="s">
        <v>18</v>
      </c>
      <c r="E169" s="19" t="s">
        <v>379</v>
      </c>
      <c r="F169" s="35">
        <v>95</v>
      </c>
      <c r="G169" s="35">
        <v>125</v>
      </c>
      <c r="H169" s="35">
        <v>30</v>
      </c>
      <c r="I169" s="20">
        <v>300</v>
      </c>
      <c r="J169" s="21">
        <f t="shared" si="9"/>
        <v>9000</v>
      </c>
      <c r="K169" s="7"/>
      <c r="V169" s="5">
        <f t="shared" si="10"/>
        <v>1</v>
      </c>
      <c r="W169" s="5">
        <f t="shared" si="11"/>
        <v>0</v>
      </c>
    </row>
    <row r="170" spans="1:23" s="36" customFormat="1" x14ac:dyDescent="0.3">
      <c r="A170" s="6"/>
      <c r="B170" s="17">
        <f t="shared" si="13"/>
        <v>34</v>
      </c>
      <c r="C170" s="18">
        <v>44735</v>
      </c>
      <c r="D170" s="19" t="s">
        <v>18</v>
      </c>
      <c r="E170" s="19" t="s">
        <v>379</v>
      </c>
      <c r="F170" s="35">
        <v>70</v>
      </c>
      <c r="G170" s="35">
        <v>100</v>
      </c>
      <c r="H170" s="35">
        <v>30</v>
      </c>
      <c r="I170" s="20">
        <v>300</v>
      </c>
      <c r="J170" s="21">
        <f t="shared" si="9"/>
        <v>9000</v>
      </c>
      <c r="K170" s="7"/>
      <c r="V170" s="5">
        <f t="shared" si="10"/>
        <v>1</v>
      </c>
      <c r="W170" s="5">
        <f t="shared" si="11"/>
        <v>0</v>
      </c>
    </row>
    <row r="171" spans="1:23" s="36" customFormat="1" x14ac:dyDescent="0.3">
      <c r="A171" s="6"/>
      <c r="B171" s="17">
        <f t="shared" si="13"/>
        <v>35</v>
      </c>
      <c r="C171" s="18">
        <v>44736</v>
      </c>
      <c r="D171" s="19" t="s">
        <v>18</v>
      </c>
      <c r="E171" s="19" t="s">
        <v>400</v>
      </c>
      <c r="F171" s="35">
        <v>125</v>
      </c>
      <c r="G171" s="35">
        <v>105</v>
      </c>
      <c r="H171" s="35">
        <v>-30</v>
      </c>
      <c r="I171" s="20">
        <v>300</v>
      </c>
      <c r="J171" s="21">
        <f t="shared" si="9"/>
        <v>-9000</v>
      </c>
      <c r="K171" s="7"/>
      <c r="V171" s="5">
        <f t="shared" si="10"/>
        <v>0</v>
      </c>
      <c r="W171" s="5">
        <f t="shared" si="11"/>
        <v>1</v>
      </c>
    </row>
    <row r="172" spans="1:23" s="36" customFormat="1" x14ac:dyDescent="0.3">
      <c r="A172" s="6"/>
      <c r="B172" s="17">
        <f t="shared" si="13"/>
        <v>36</v>
      </c>
      <c r="C172" s="18">
        <v>44736</v>
      </c>
      <c r="D172" s="19" t="s">
        <v>18</v>
      </c>
      <c r="E172" s="19" t="s">
        <v>400</v>
      </c>
      <c r="F172" s="35">
        <v>95</v>
      </c>
      <c r="G172" s="35">
        <v>117</v>
      </c>
      <c r="H172" s="35">
        <f>117-95</f>
        <v>22</v>
      </c>
      <c r="I172" s="20">
        <v>300</v>
      </c>
      <c r="J172" s="21">
        <f t="shared" si="9"/>
        <v>6600</v>
      </c>
      <c r="K172" s="7"/>
      <c r="V172" s="5">
        <f t="shared" si="10"/>
        <v>1</v>
      </c>
      <c r="W172" s="5">
        <f t="shared" si="11"/>
        <v>0</v>
      </c>
    </row>
    <row r="173" spans="1:23" s="36" customFormat="1" x14ac:dyDescent="0.3">
      <c r="A173" s="6"/>
      <c r="B173" s="17">
        <f t="shared" si="13"/>
        <v>37</v>
      </c>
      <c r="C173" s="18">
        <v>44739</v>
      </c>
      <c r="D173" s="19" t="s">
        <v>18</v>
      </c>
      <c r="E173" s="19" t="s">
        <v>408</v>
      </c>
      <c r="F173" s="35">
        <v>95</v>
      </c>
      <c r="G173" s="35">
        <v>122</v>
      </c>
      <c r="H173" s="35">
        <f>122-95</f>
        <v>27</v>
      </c>
      <c r="I173" s="20">
        <v>300</v>
      </c>
      <c r="J173" s="21">
        <f t="shared" si="9"/>
        <v>8100</v>
      </c>
      <c r="K173" s="7"/>
      <c r="V173" s="5">
        <f t="shared" si="10"/>
        <v>1</v>
      </c>
      <c r="W173" s="5">
        <f t="shared" si="11"/>
        <v>0</v>
      </c>
    </row>
    <row r="174" spans="1:23" s="36" customFormat="1" x14ac:dyDescent="0.3">
      <c r="A174" s="6"/>
      <c r="B174" s="17">
        <f t="shared" si="13"/>
        <v>38</v>
      </c>
      <c r="C174" s="18">
        <v>44740</v>
      </c>
      <c r="D174" s="19" t="s">
        <v>18</v>
      </c>
      <c r="E174" s="19" t="s">
        <v>402</v>
      </c>
      <c r="F174" s="35">
        <v>105</v>
      </c>
      <c r="G174" s="35">
        <v>110</v>
      </c>
      <c r="H174" s="35">
        <v>5</v>
      </c>
      <c r="I174" s="20">
        <v>300</v>
      </c>
      <c r="J174" s="21">
        <f t="shared" si="9"/>
        <v>1500</v>
      </c>
      <c r="K174" s="7"/>
      <c r="V174" s="5">
        <f t="shared" si="10"/>
        <v>1</v>
      </c>
      <c r="W174" s="5">
        <f t="shared" si="11"/>
        <v>0</v>
      </c>
    </row>
    <row r="175" spans="1:23" s="36" customFormat="1" x14ac:dyDescent="0.3">
      <c r="A175" s="6"/>
      <c r="B175" s="17">
        <f t="shared" si="13"/>
        <v>39</v>
      </c>
      <c r="C175" s="18">
        <v>44740</v>
      </c>
      <c r="D175" s="19" t="s">
        <v>18</v>
      </c>
      <c r="E175" s="19" t="s">
        <v>400</v>
      </c>
      <c r="F175" s="35">
        <v>100</v>
      </c>
      <c r="G175" s="35">
        <v>130</v>
      </c>
      <c r="H175" s="35">
        <v>30</v>
      </c>
      <c r="I175" s="20">
        <v>300</v>
      </c>
      <c r="J175" s="21">
        <f t="shared" si="9"/>
        <v>9000</v>
      </c>
      <c r="K175" s="7"/>
      <c r="V175" s="5">
        <f t="shared" si="10"/>
        <v>1</v>
      </c>
      <c r="W175" s="5">
        <f t="shared" si="11"/>
        <v>0</v>
      </c>
    </row>
    <row r="176" spans="1:23" s="36" customFormat="1" x14ac:dyDescent="0.3">
      <c r="A176" s="6"/>
      <c r="B176" s="17">
        <f t="shared" si="13"/>
        <v>40</v>
      </c>
      <c r="C176" s="18">
        <v>44741</v>
      </c>
      <c r="D176" s="19" t="s">
        <v>18</v>
      </c>
      <c r="E176" s="19" t="s">
        <v>404</v>
      </c>
      <c r="F176" s="35">
        <v>110</v>
      </c>
      <c r="G176" s="35">
        <v>140</v>
      </c>
      <c r="H176" s="35">
        <v>30</v>
      </c>
      <c r="I176" s="20">
        <v>300</v>
      </c>
      <c r="J176" s="21">
        <f t="shared" si="9"/>
        <v>9000</v>
      </c>
      <c r="K176" s="7"/>
      <c r="V176" s="5">
        <f t="shared" si="10"/>
        <v>1</v>
      </c>
      <c r="W176" s="5">
        <f t="shared" si="11"/>
        <v>0</v>
      </c>
    </row>
    <row r="177" spans="1:23" s="36" customFormat="1" x14ac:dyDescent="0.3">
      <c r="A177" s="6"/>
      <c r="B177" s="17">
        <f t="shared" si="13"/>
        <v>41</v>
      </c>
      <c r="C177" s="18">
        <v>44741</v>
      </c>
      <c r="D177" s="19" t="s">
        <v>18</v>
      </c>
      <c r="E177" s="19" t="s">
        <v>400</v>
      </c>
      <c r="F177" s="35">
        <v>90</v>
      </c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x14ac:dyDescent="0.3">
      <c r="A178" s="6"/>
      <c r="B178" s="17">
        <f t="shared" si="13"/>
        <v>42</v>
      </c>
      <c r="C178" s="18">
        <v>44742</v>
      </c>
      <c r="D178" s="19" t="s">
        <v>18</v>
      </c>
      <c r="E178" s="19" t="s">
        <v>389</v>
      </c>
      <c r="F178" s="35">
        <v>120</v>
      </c>
      <c r="G178" s="35">
        <v>151</v>
      </c>
      <c r="H178" s="35">
        <f>151-120</f>
        <v>31</v>
      </c>
      <c r="I178" s="20">
        <v>300</v>
      </c>
      <c r="J178" s="21">
        <f t="shared" si="9"/>
        <v>9300</v>
      </c>
      <c r="K178" s="7"/>
      <c r="V178" s="5">
        <f t="shared" si="10"/>
        <v>1</v>
      </c>
      <c r="W178" s="5">
        <f t="shared" si="11"/>
        <v>0</v>
      </c>
    </row>
    <row r="179" spans="1:23" s="36" customFormat="1" x14ac:dyDescent="0.3">
      <c r="A179" s="6"/>
      <c r="B179" s="17">
        <f t="shared" si="13"/>
        <v>43</v>
      </c>
      <c r="C179" s="18"/>
      <c r="D179" s="19"/>
      <c r="E179" s="19"/>
      <c r="F179" s="35"/>
      <c r="G179" s="35"/>
      <c r="H179" s="35"/>
      <c r="I179" s="20"/>
      <c r="J179" s="21">
        <f t="shared" si="9"/>
        <v>0</v>
      </c>
      <c r="K179" s="7"/>
      <c r="V179" s="5">
        <f t="shared" si="10"/>
        <v>0</v>
      </c>
      <c r="W179" s="5">
        <f t="shared" si="11"/>
        <v>0</v>
      </c>
    </row>
    <row r="180" spans="1:23" s="36" customFormat="1" x14ac:dyDescent="0.3">
      <c r="A180" s="6"/>
      <c r="B180" s="17">
        <f t="shared" si="13"/>
        <v>44</v>
      </c>
      <c r="C180" s="18"/>
      <c r="D180" s="19"/>
      <c r="E180" s="19"/>
      <c r="F180" s="35"/>
      <c r="G180" s="35"/>
      <c r="H180" s="35"/>
      <c r="I180" s="20"/>
      <c r="J180" s="21">
        <f t="shared" si="9"/>
        <v>0</v>
      </c>
      <c r="K180" s="7"/>
      <c r="V180" s="5">
        <f t="shared" si="10"/>
        <v>0</v>
      </c>
      <c r="W180" s="5">
        <f t="shared" si="11"/>
        <v>0</v>
      </c>
    </row>
    <row r="181" spans="1:23" s="36" customFormat="1" x14ac:dyDescent="0.3">
      <c r="A181" s="6"/>
      <c r="B181" s="17">
        <f t="shared" si="13"/>
        <v>45</v>
      </c>
      <c r="C181" s="18"/>
      <c r="D181" s="19"/>
      <c r="E181" s="19"/>
      <c r="F181" s="35"/>
      <c r="G181" s="35"/>
      <c r="H181" s="35"/>
      <c r="I181" s="20"/>
      <c r="J181" s="21">
        <f t="shared" si="9"/>
        <v>0</v>
      </c>
      <c r="K181" s="7"/>
      <c r="V181" s="5">
        <f t="shared" si="10"/>
        <v>0</v>
      </c>
      <c r="W181" s="5">
        <f t="shared" si="11"/>
        <v>0</v>
      </c>
    </row>
    <row r="182" spans="1:23" s="36" customFormat="1" ht="15" thickBot="1" x14ac:dyDescent="0.35">
      <c r="A182" s="6"/>
      <c r="B182" s="95">
        <f t="shared" si="13"/>
        <v>46</v>
      </c>
      <c r="C182" s="79"/>
      <c r="D182" s="80"/>
      <c r="E182" s="80"/>
      <c r="F182" s="96"/>
      <c r="G182" s="96"/>
      <c r="H182" s="96"/>
      <c r="I182" s="81"/>
      <c r="J182" s="82">
        <f t="shared" si="9"/>
        <v>0</v>
      </c>
      <c r="K182" s="7"/>
      <c r="V182" s="5">
        <f t="shared" si="10"/>
        <v>0</v>
      </c>
      <c r="W182" s="5">
        <f t="shared" si="11"/>
        <v>0</v>
      </c>
    </row>
    <row r="183" spans="1:23" s="36" customFormat="1" ht="24" thickBot="1" x14ac:dyDescent="0.5">
      <c r="A183" s="6"/>
      <c r="B183" s="165" t="s">
        <v>22</v>
      </c>
      <c r="C183" s="166"/>
      <c r="D183" s="166"/>
      <c r="E183" s="166"/>
      <c r="F183" s="166"/>
      <c r="G183" s="166"/>
      <c r="H183" s="167"/>
      <c r="I183" s="83" t="s">
        <v>23</v>
      </c>
      <c r="J183" s="84">
        <f>SUM(J137:J182)</f>
        <v>220500</v>
      </c>
      <c r="K183" s="7"/>
      <c r="L183" s="5"/>
      <c r="M183" s="5"/>
      <c r="N183" s="5"/>
      <c r="O183" s="5"/>
      <c r="P183" s="5"/>
      <c r="Q183" s="5"/>
      <c r="R183" s="5"/>
      <c r="V183" s="36">
        <f>SUM(V137:V182)</f>
        <v>35</v>
      </c>
      <c r="W183" s="36">
        <f>SUM(W137:W182)</f>
        <v>6</v>
      </c>
    </row>
    <row r="184" spans="1:23" s="36" customFormat="1" ht="30" customHeight="1" thickBot="1" x14ac:dyDescent="0.35">
      <c r="A184" s="30"/>
      <c r="B184" s="31"/>
      <c r="C184" s="31"/>
      <c r="D184" s="31"/>
      <c r="E184" s="31"/>
      <c r="F184" s="31"/>
      <c r="G184" s="31"/>
      <c r="H184" s="32"/>
      <c r="I184" s="31"/>
      <c r="J184" s="32"/>
      <c r="K184" s="33"/>
      <c r="L184" s="5"/>
      <c r="M184" s="5"/>
      <c r="N184" s="5"/>
      <c r="O184" s="5"/>
      <c r="P184" s="5"/>
      <c r="Q184" s="5"/>
      <c r="R184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B129:H129"/>
    <mergeCell ref="B133:J133"/>
    <mergeCell ref="B134:J134"/>
    <mergeCell ref="B135:J135"/>
    <mergeCell ref="B183:H183"/>
  </mergeCells>
  <hyperlinks>
    <hyperlink ref="B59" r:id="rId1" xr:uid="{00000000-0004-0000-1700-000000000000}"/>
    <hyperlink ref="B129" r:id="rId2" xr:uid="{00000000-0004-0000-1700-000001000000}"/>
    <hyperlink ref="B183" r:id="rId3" xr:uid="{00000000-0004-0000-1700-000002000000}"/>
    <hyperlink ref="M1" location="MASTER!A1" display="Back" xr:uid="{00000000-0004-0000-1700-000003000000}"/>
    <hyperlink ref="M6:M7" location="'MAR 2022'!A70" display="EXTRA STOCK FUTURE" xr:uid="{00000000-0004-0000-1700-000004000000}"/>
    <hyperlink ref="M8:M9" location="'MAR 2022'!A140" display="EXTRA NIFTY OPTION" xr:uid="{00000000-0004-0000-1700-000005000000}"/>
  </hyperlinks>
  <pageMargins left="0" right="0" top="0" bottom="0" header="0" footer="0"/>
  <pageSetup paperSize="9" orientation="portrait" r:id="rId4"/>
  <drawing r:id="rId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184"/>
  <sheetViews>
    <sheetView zoomScaleNormal="100" workbookViewId="0">
      <selection activeCell="O18" sqref="O18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44743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95" t="s">
        <v>107</v>
      </c>
      <c r="N4" s="111">
        <f>COUNT(C6:C58)</f>
        <v>41</v>
      </c>
      <c r="O4" s="113">
        <f>V59</f>
        <v>34</v>
      </c>
      <c r="P4" s="113">
        <f>W59</f>
        <v>6</v>
      </c>
      <c r="Q4" s="197">
        <f>N4-O4-P4</f>
        <v>1</v>
      </c>
      <c r="R4" s="199">
        <f>O4/N4</f>
        <v>0.82926829268292679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96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44743</v>
      </c>
      <c r="D6" s="90" t="s">
        <v>18</v>
      </c>
      <c r="E6" s="90" t="s">
        <v>336</v>
      </c>
      <c r="F6" s="90">
        <v>130</v>
      </c>
      <c r="G6" s="90">
        <v>208</v>
      </c>
      <c r="H6" s="91">
        <f>208-130</f>
        <v>78</v>
      </c>
      <c r="I6" s="90">
        <v>100</v>
      </c>
      <c r="J6" s="92">
        <f t="shared" ref="J6:J58" si="0">H6*I6</f>
        <v>7800</v>
      </c>
      <c r="K6" s="7"/>
      <c r="M6" s="213" t="s">
        <v>108</v>
      </c>
      <c r="N6" s="112">
        <f>COUNT(C67:C128)</f>
        <v>31</v>
      </c>
      <c r="O6" s="113">
        <v>28</v>
      </c>
      <c r="P6" s="113">
        <f>W129</f>
        <v>3</v>
      </c>
      <c r="Q6" s="198">
        <v>0</v>
      </c>
      <c r="R6" s="203">
        <f t="shared" ref="R6" si="1">O6/N6</f>
        <v>0.90322580645161288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ht="15" thickBot="1" x14ac:dyDescent="0.35">
      <c r="A7" s="6"/>
      <c r="B7" s="17">
        <v>2</v>
      </c>
      <c r="C7" s="85">
        <v>44743</v>
      </c>
      <c r="D7" s="86" t="s">
        <v>18</v>
      </c>
      <c r="E7" s="86" t="s">
        <v>696</v>
      </c>
      <c r="F7" s="86">
        <v>140</v>
      </c>
      <c r="G7" s="86">
        <v>190</v>
      </c>
      <c r="H7" s="87">
        <v>50</v>
      </c>
      <c r="I7" s="86">
        <v>100</v>
      </c>
      <c r="J7" s="21">
        <f t="shared" si="0"/>
        <v>5000</v>
      </c>
      <c r="K7" s="7"/>
      <c r="M7" s="213"/>
      <c r="N7" s="112"/>
      <c r="O7" s="114"/>
      <c r="P7" s="114"/>
      <c r="Q7" s="198"/>
      <c r="R7" s="200"/>
      <c r="V7" s="5">
        <f t="shared" si="2"/>
        <v>1</v>
      </c>
      <c r="W7" s="5">
        <f t="shared" si="3"/>
        <v>0</v>
      </c>
    </row>
    <row r="8" spans="1:23" x14ac:dyDescent="0.3">
      <c r="A8" s="6"/>
      <c r="B8" s="88">
        <v>3</v>
      </c>
      <c r="C8" s="85">
        <v>44746</v>
      </c>
      <c r="D8" s="86" t="s">
        <v>18</v>
      </c>
      <c r="E8" s="86" t="s">
        <v>366</v>
      </c>
      <c r="F8" s="86">
        <v>130</v>
      </c>
      <c r="G8" s="86">
        <v>180</v>
      </c>
      <c r="H8" s="87">
        <v>50</v>
      </c>
      <c r="I8" s="86">
        <v>100</v>
      </c>
      <c r="J8" s="21">
        <f t="shared" si="0"/>
        <v>5000</v>
      </c>
      <c r="K8" s="7"/>
      <c r="M8" s="214" t="s">
        <v>194</v>
      </c>
      <c r="N8" s="112">
        <f>COUNT(C137:C182)</f>
        <v>41</v>
      </c>
      <c r="O8" s="114">
        <f>V183</f>
        <v>31</v>
      </c>
      <c r="P8" s="113">
        <v>10</v>
      </c>
      <c r="Q8" s="198">
        <v>0</v>
      </c>
      <c r="R8" s="203">
        <f t="shared" ref="R8:R10" si="4">O8/N8</f>
        <v>0.75609756097560976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44746</v>
      </c>
      <c r="D9" s="86" t="s">
        <v>18</v>
      </c>
      <c r="E9" s="86" t="s">
        <v>366</v>
      </c>
      <c r="F9" s="86">
        <v>120</v>
      </c>
      <c r="G9" s="86">
        <v>193</v>
      </c>
      <c r="H9" s="87">
        <f>193-120</f>
        <v>73</v>
      </c>
      <c r="I9" s="86">
        <v>100</v>
      </c>
      <c r="J9" s="21">
        <f t="shared" si="0"/>
        <v>7300</v>
      </c>
      <c r="K9" s="7"/>
      <c r="M9" s="215"/>
      <c r="N9" s="184"/>
      <c r="O9" s="172"/>
      <c r="P9" s="114"/>
      <c r="Q9" s="174"/>
      <c r="R9" s="204"/>
      <c r="V9" s="5">
        <f t="shared" si="2"/>
        <v>1</v>
      </c>
      <c r="W9" s="5">
        <f t="shared" si="3"/>
        <v>0</v>
      </c>
    </row>
    <row r="10" spans="1:23" ht="16.5" customHeight="1" x14ac:dyDescent="0.3">
      <c r="A10" s="6"/>
      <c r="B10" s="88">
        <v>5</v>
      </c>
      <c r="C10" s="85">
        <v>44747</v>
      </c>
      <c r="D10" s="86" t="s">
        <v>18</v>
      </c>
      <c r="E10" s="86" t="s">
        <v>262</v>
      </c>
      <c r="F10" s="86">
        <v>140</v>
      </c>
      <c r="G10" s="86">
        <v>169</v>
      </c>
      <c r="H10" s="87">
        <f>169-140</f>
        <v>29</v>
      </c>
      <c r="I10" s="86">
        <v>100</v>
      </c>
      <c r="J10" s="21">
        <f t="shared" si="0"/>
        <v>2900</v>
      </c>
      <c r="K10" s="7"/>
      <c r="M10" s="207" t="s">
        <v>19</v>
      </c>
      <c r="N10" s="149">
        <f>SUM(N4:N9)</f>
        <v>113</v>
      </c>
      <c r="O10" s="209">
        <f>SUM(O4:O9)</f>
        <v>93</v>
      </c>
      <c r="P10" s="209">
        <f>SUM(P4:P9)</f>
        <v>19</v>
      </c>
      <c r="Q10" s="211">
        <f>SUM(Q4:Q9)</f>
        <v>1</v>
      </c>
      <c r="R10" s="199">
        <f t="shared" si="4"/>
        <v>0.82300884955752207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44747</v>
      </c>
      <c r="D11" s="86" t="s">
        <v>18</v>
      </c>
      <c r="E11" s="86" t="s">
        <v>585</v>
      </c>
      <c r="F11" s="86">
        <v>140</v>
      </c>
      <c r="G11" s="86">
        <v>240</v>
      </c>
      <c r="H11" s="87">
        <v>100</v>
      </c>
      <c r="I11" s="86">
        <v>100</v>
      </c>
      <c r="J11" s="21">
        <f t="shared" si="0"/>
        <v>10000</v>
      </c>
      <c r="K11" s="7"/>
      <c r="M11" s="208"/>
      <c r="N11" s="150"/>
      <c r="O11" s="210"/>
      <c r="P11" s="210"/>
      <c r="Q11" s="212"/>
      <c r="R11" s="204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44748</v>
      </c>
      <c r="D12" s="86" t="s">
        <v>18</v>
      </c>
      <c r="E12" s="86" t="s">
        <v>697</v>
      </c>
      <c r="F12" s="86">
        <v>120</v>
      </c>
      <c r="G12" s="86">
        <v>70</v>
      </c>
      <c r="H12" s="87">
        <v>-50</v>
      </c>
      <c r="I12" s="86">
        <v>100</v>
      </c>
      <c r="J12" s="21">
        <f t="shared" si="0"/>
        <v>-5000</v>
      </c>
      <c r="K12" s="7"/>
      <c r="M12" s="126" t="s">
        <v>20</v>
      </c>
      <c r="N12" s="130"/>
      <c r="O12" s="131"/>
      <c r="P12" s="138">
        <f>R10</f>
        <v>0.82300884955752207</v>
      </c>
      <c r="Q12" s="139"/>
      <c r="R12" s="137"/>
      <c r="V12" s="5">
        <f t="shared" si="2"/>
        <v>0</v>
      </c>
      <c r="W12" s="5">
        <f t="shared" si="3"/>
        <v>1</v>
      </c>
    </row>
    <row r="13" spans="1:23" ht="15" customHeight="1" x14ac:dyDescent="0.3">
      <c r="A13" s="6"/>
      <c r="B13" s="17">
        <v>8</v>
      </c>
      <c r="C13" s="85">
        <v>44748</v>
      </c>
      <c r="D13" s="86" t="s">
        <v>18</v>
      </c>
      <c r="E13" s="86" t="s">
        <v>366</v>
      </c>
      <c r="F13" s="86">
        <v>140</v>
      </c>
      <c r="G13" s="86">
        <v>240</v>
      </c>
      <c r="H13" s="87">
        <v>100</v>
      </c>
      <c r="I13" s="86">
        <v>100</v>
      </c>
      <c r="J13" s="21">
        <f t="shared" si="0"/>
        <v>10000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44749</v>
      </c>
      <c r="D14" s="86" t="s">
        <v>18</v>
      </c>
      <c r="E14" s="86" t="s">
        <v>238</v>
      </c>
      <c r="F14" s="86">
        <v>130</v>
      </c>
      <c r="G14" s="86">
        <v>180</v>
      </c>
      <c r="H14" s="87">
        <v>50</v>
      </c>
      <c r="I14" s="86">
        <v>100</v>
      </c>
      <c r="J14" s="21">
        <f t="shared" si="0"/>
        <v>5000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44749</v>
      </c>
      <c r="D15" s="86" t="s">
        <v>18</v>
      </c>
      <c r="E15" s="86" t="s">
        <v>241</v>
      </c>
      <c r="F15" s="86">
        <v>90</v>
      </c>
      <c r="G15" s="86">
        <v>190</v>
      </c>
      <c r="H15" s="87">
        <v>100</v>
      </c>
      <c r="I15" s="86">
        <v>100</v>
      </c>
      <c r="J15" s="21">
        <f t="shared" si="0"/>
        <v>10000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18">
        <v>44750</v>
      </c>
      <c r="D16" s="19" t="s">
        <v>18</v>
      </c>
      <c r="E16" s="19" t="s">
        <v>371</v>
      </c>
      <c r="F16" s="35">
        <v>150</v>
      </c>
      <c r="G16" s="35">
        <v>162</v>
      </c>
      <c r="H16" s="35">
        <v>12</v>
      </c>
      <c r="I16" s="20">
        <v>100</v>
      </c>
      <c r="J16" s="21">
        <f t="shared" si="0"/>
        <v>1200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18">
        <v>44753</v>
      </c>
      <c r="D17" s="19" t="s">
        <v>18</v>
      </c>
      <c r="E17" s="19" t="s">
        <v>274</v>
      </c>
      <c r="F17" s="35">
        <v>140</v>
      </c>
      <c r="G17" s="35">
        <v>216</v>
      </c>
      <c r="H17" s="35">
        <f>216-140</f>
        <v>76</v>
      </c>
      <c r="I17" s="20">
        <v>100</v>
      </c>
      <c r="J17" s="21">
        <f t="shared" si="0"/>
        <v>7600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18">
        <v>44753</v>
      </c>
      <c r="D18" s="19" t="s">
        <v>18</v>
      </c>
      <c r="E18" s="19" t="s">
        <v>388</v>
      </c>
      <c r="F18" s="35">
        <v>130</v>
      </c>
      <c r="G18" s="35">
        <v>100</v>
      </c>
      <c r="H18" s="35">
        <v>-30</v>
      </c>
      <c r="I18" s="20">
        <v>100</v>
      </c>
      <c r="J18" s="21">
        <f t="shared" si="0"/>
        <v>-3000</v>
      </c>
      <c r="K18" s="7"/>
      <c r="V18" s="5">
        <f t="shared" si="2"/>
        <v>0</v>
      </c>
      <c r="W18" s="5">
        <f t="shared" si="3"/>
        <v>1</v>
      </c>
    </row>
    <row r="19" spans="1:23" x14ac:dyDescent="0.3">
      <c r="A19" s="6"/>
      <c r="B19" s="17">
        <v>14</v>
      </c>
      <c r="C19" s="18">
        <v>44754</v>
      </c>
      <c r="D19" s="19" t="s">
        <v>18</v>
      </c>
      <c r="E19" s="19" t="s">
        <v>370</v>
      </c>
      <c r="F19" s="35">
        <v>130</v>
      </c>
      <c r="G19" s="35">
        <v>155</v>
      </c>
      <c r="H19" s="35">
        <v>25</v>
      </c>
      <c r="I19" s="20">
        <v>100</v>
      </c>
      <c r="J19" s="21">
        <f t="shared" si="0"/>
        <v>2500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18">
        <v>44754</v>
      </c>
      <c r="D20" s="19" t="s">
        <v>18</v>
      </c>
      <c r="E20" s="19" t="s">
        <v>274</v>
      </c>
      <c r="F20" s="35">
        <v>140</v>
      </c>
      <c r="G20" s="35">
        <v>90</v>
      </c>
      <c r="H20" s="78">
        <v>-50</v>
      </c>
      <c r="I20" s="20">
        <v>100</v>
      </c>
      <c r="J20" s="21">
        <f t="shared" si="0"/>
        <v>-5000</v>
      </c>
      <c r="K20" s="7"/>
      <c r="V20" s="5">
        <f t="shared" si="2"/>
        <v>0</v>
      </c>
      <c r="W20" s="5">
        <f t="shared" si="3"/>
        <v>1</v>
      </c>
    </row>
    <row r="21" spans="1:23" x14ac:dyDescent="0.3">
      <c r="A21" s="6"/>
      <c r="B21" s="17">
        <v>16</v>
      </c>
      <c r="C21" s="18">
        <v>44755</v>
      </c>
      <c r="D21" s="19" t="s">
        <v>18</v>
      </c>
      <c r="E21" s="19" t="s">
        <v>276</v>
      </c>
      <c r="F21" s="35">
        <v>150</v>
      </c>
      <c r="G21" s="35">
        <v>214</v>
      </c>
      <c r="H21" s="35">
        <f>214-150</f>
        <v>64</v>
      </c>
      <c r="I21" s="20">
        <v>100</v>
      </c>
      <c r="J21" s="21">
        <f t="shared" si="0"/>
        <v>6400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44755</v>
      </c>
      <c r="D22" s="19" t="s">
        <v>18</v>
      </c>
      <c r="E22" s="19" t="s">
        <v>387</v>
      </c>
      <c r="F22" s="35">
        <v>150</v>
      </c>
      <c r="G22" s="35">
        <v>250</v>
      </c>
      <c r="H22" s="35">
        <v>100</v>
      </c>
      <c r="I22" s="20">
        <v>100</v>
      </c>
      <c r="J22" s="21">
        <f t="shared" si="0"/>
        <v>10000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44756</v>
      </c>
      <c r="D23" s="19" t="s">
        <v>18</v>
      </c>
      <c r="E23" s="19" t="s">
        <v>276</v>
      </c>
      <c r="F23" s="35">
        <v>150</v>
      </c>
      <c r="G23" s="35">
        <v>250</v>
      </c>
      <c r="H23" s="35">
        <v>100</v>
      </c>
      <c r="I23" s="20">
        <v>100</v>
      </c>
      <c r="J23" s="21">
        <f t="shared" si="0"/>
        <v>10000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44756</v>
      </c>
      <c r="D24" s="19" t="s">
        <v>18</v>
      </c>
      <c r="E24" s="19" t="s">
        <v>383</v>
      </c>
      <c r="F24" s="35">
        <v>150</v>
      </c>
      <c r="G24" s="35">
        <v>183</v>
      </c>
      <c r="H24" s="35">
        <v>33</v>
      </c>
      <c r="I24" s="20">
        <v>100</v>
      </c>
      <c r="J24" s="21">
        <f t="shared" si="0"/>
        <v>3300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44757</v>
      </c>
      <c r="D25" s="19" t="s">
        <v>18</v>
      </c>
      <c r="E25" s="19" t="s">
        <v>420</v>
      </c>
      <c r="F25" s="35">
        <v>150</v>
      </c>
      <c r="G25" s="35">
        <v>199</v>
      </c>
      <c r="H25" s="35">
        <f>199-150</f>
        <v>49</v>
      </c>
      <c r="I25" s="20">
        <v>100</v>
      </c>
      <c r="J25" s="21">
        <f t="shared" si="0"/>
        <v>4900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44757</v>
      </c>
      <c r="D26" s="19" t="s">
        <v>18</v>
      </c>
      <c r="E26" s="19" t="s">
        <v>289</v>
      </c>
      <c r="F26" s="35">
        <v>140</v>
      </c>
      <c r="G26" s="35">
        <v>171</v>
      </c>
      <c r="H26" s="35">
        <v>31</v>
      </c>
      <c r="I26" s="20">
        <v>100</v>
      </c>
      <c r="J26" s="21">
        <f t="shared" si="0"/>
        <v>3100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44760</v>
      </c>
      <c r="D27" s="19" t="s">
        <v>18</v>
      </c>
      <c r="E27" s="19" t="s">
        <v>300</v>
      </c>
      <c r="F27" s="35">
        <v>140</v>
      </c>
      <c r="G27" s="35">
        <v>240</v>
      </c>
      <c r="H27" s="19">
        <v>100</v>
      </c>
      <c r="I27" s="20">
        <v>100</v>
      </c>
      <c r="J27" s="21">
        <f t="shared" si="0"/>
        <v>10000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44760</v>
      </c>
      <c r="D28" s="19" t="s">
        <v>18</v>
      </c>
      <c r="E28" s="19" t="s">
        <v>278</v>
      </c>
      <c r="F28" s="35">
        <v>130</v>
      </c>
      <c r="G28" s="35">
        <v>180</v>
      </c>
      <c r="H28" s="19">
        <v>50</v>
      </c>
      <c r="I28" s="20">
        <v>100</v>
      </c>
      <c r="J28" s="21">
        <f t="shared" si="0"/>
        <v>5000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44761</v>
      </c>
      <c r="D29" s="19" t="s">
        <v>18</v>
      </c>
      <c r="E29" s="19" t="s">
        <v>394</v>
      </c>
      <c r="F29" s="20">
        <v>140</v>
      </c>
      <c r="G29" s="20">
        <v>240</v>
      </c>
      <c r="H29" s="19">
        <v>100</v>
      </c>
      <c r="I29" s="20">
        <v>100</v>
      </c>
      <c r="J29" s="21">
        <f t="shared" si="0"/>
        <v>10000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44761</v>
      </c>
      <c r="D30" s="25" t="s">
        <v>18</v>
      </c>
      <c r="E30" s="25" t="s">
        <v>278</v>
      </c>
      <c r="F30" s="26">
        <v>130</v>
      </c>
      <c r="G30" s="61">
        <v>180</v>
      </c>
      <c r="H30" s="61">
        <v>50</v>
      </c>
      <c r="I30" s="26">
        <v>100</v>
      </c>
      <c r="J30" s="21">
        <f t="shared" si="0"/>
        <v>5000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44762</v>
      </c>
      <c r="D31" s="25" t="s">
        <v>18</v>
      </c>
      <c r="E31" s="25" t="s">
        <v>299</v>
      </c>
      <c r="F31" s="26">
        <v>130</v>
      </c>
      <c r="G31" s="61">
        <v>105</v>
      </c>
      <c r="H31" s="61">
        <v>-25</v>
      </c>
      <c r="I31" s="26">
        <v>100</v>
      </c>
      <c r="J31" s="21">
        <f t="shared" si="0"/>
        <v>-2500</v>
      </c>
      <c r="K31" s="7"/>
      <c r="V31" s="5">
        <f t="shared" si="2"/>
        <v>0</v>
      </c>
      <c r="W31" s="5">
        <f t="shared" si="3"/>
        <v>1</v>
      </c>
    </row>
    <row r="32" spans="1:23" x14ac:dyDescent="0.3">
      <c r="A32" s="6"/>
      <c r="B32" s="88">
        <v>27</v>
      </c>
      <c r="C32" s="24">
        <v>44762</v>
      </c>
      <c r="D32" s="25" t="s">
        <v>18</v>
      </c>
      <c r="E32" s="25" t="s">
        <v>252</v>
      </c>
      <c r="F32" s="26">
        <v>120</v>
      </c>
      <c r="G32" s="61">
        <v>143</v>
      </c>
      <c r="H32" s="61">
        <f>143-120</f>
        <v>23</v>
      </c>
      <c r="I32" s="26">
        <v>100</v>
      </c>
      <c r="J32" s="21">
        <f t="shared" si="0"/>
        <v>2300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44763</v>
      </c>
      <c r="D33" s="25" t="s">
        <v>18</v>
      </c>
      <c r="E33" s="25" t="s">
        <v>273</v>
      </c>
      <c r="F33" s="26">
        <v>150</v>
      </c>
      <c r="G33" s="61">
        <v>250</v>
      </c>
      <c r="H33" s="61">
        <v>100</v>
      </c>
      <c r="I33" s="26">
        <v>100</v>
      </c>
      <c r="J33" s="21">
        <f t="shared" si="0"/>
        <v>10000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44763</v>
      </c>
      <c r="D34" s="25" t="s">
        <v>18</v>
      </c>
      <c r="E34" s="25" t="s">
        <v>298</v>
      </c>
      <c r="F34" s="26">
        <v>140</v>
      </c>
      <c r="G34" s="61">
        <v>187</v>
      </c>
      <c r="H34" s="61">
        <f>187-140</f>
        <v>47</v>
      </c>
      <c r="I34" s="26">
        <v>100</v>
      </c>
      <c r="J34" s="21">
        <f t="shared" si="0"/>
        <v>4700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44764</v>
      </c>
      <c r="D35" s="25" t="s">
        <v>18</v>
      </c>
      <c r="E35" s="25" t="s">
        <v>247</v>
      </c>
      <c r="F35" s="26">
        <v>140</v>
      </c>
      <c r="G35" s="61">
        <v>212</v>
      </c>
      <c r="H35" s="61">
        <f>212-140</f>
        <v>72</v>
      </c>
      <c r="I35" s="26">
        <v>100</v>
      </c>
      <c r="J35" s="21">
        <f t="shared" si="0"/>
        <v>7200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44764</v>
      </c>
      <c r="D36" s="25" t="s">
        <v>18</v>
      </c>
      <c r="E36" s="25" t="s">
        <v>582</v>
      </c>
      <c r="F36" s="26">
        <v>140</v>
      </c>
      <c r="G36" s="61">
        <v>173</v>
      </c>
      <c r="H36" s="61">
        <f>173-140</f>
        <v>33</v>
      </c>
      <c r="I36" s="26">
        <v>100</v>
      </c>
      <c r="J36" s="21">
        <f t="shared" si="0"/>
        <v>3300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44767</v>
      </c>
      <c r="D37" s="25" t="s">
        <v>18</v>
      </c>
      <c r="E37" s="25" t="s">
        <v>268</v>
      </c>
      <c r="F37" s="26">
        <v>140</v>
      </c>
      <c r="G37" s="61">
        <v>90</v>
      </c>
      <c r="H37" s="61">
        <v>-50</v>
      </c>
      <c r="I37" s="26">
        <v>100</v>
      </c>
      <c r="J37" s="21">
        <f t="shared" si="0"/>
        <v>-5000</v>
      </c>
      <c r="K37" s="7"/>
      <c r="V37" s="5">
        <f t="shared" si="2"/>
        <v>0</v>
      </c>
      <c r="W37" s="5">
        <f t="shared" si="3"/>
        <v>1</v>
      </c>
    </row>
    <row r="38" spans="1:23" x14ac:dyDescent="0.3">
      <c r="A38" s="6"/>
      <c r="B38" s="88">
        <v>33</v>
      </c>
      <c r="C38" s="24">
        <v>44767</v>
      </c>
      <c r="D38" s="25" t="s">
        <v>18</v>
      </c>
      <c r="E38" s="25" t="s">
        <v>455</v>
      </c>
      <c r="F38" s="26">
        <v>140</v>
      </c>
      <c r="G38" s="61">
        <v>168</v>
      </c>
      <c r="H38" s="61">
        <v>28</v>
      </c>
      <c r="I38" s="26">
        <v>100</v>
      </c>
      <c r="J38" s="21">
        <f t="shared" si="0"/>
        <v>2800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44768</v>
      </c>
      <c r="D39" s="25" t="s">
        <v>18</v>
      </c>
      <c r="E39" s="25" t="s">
        <v>453</v>
      </c>
      <c r="F39" s="26">
        <v>130</v>
      </c>
      <c r="G39" s="61">
        <v>194</v>
      </c>
      <c r="H39" s="61">
        <f>194-130</f>
        <v>64</v>
      </c>
      <c r="I39" s="26">
        <v>100</v>
      </c>
      <c r="J39" s="21">
        <f t="shared" si="0"/>
        <v>6400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44768</v>
      </c>
      <c r="D40" s="25" t="s">
        <v>18</v>
      </c>
      <c r="E40" s="25" t="s">
        <v>453</v>
      </c>
      <c r="F40" s="26">
        <v>130</v>
      </c>
      <c r="G40" s="61">
        <v>170</v>
      </c>
      <c r="H40" s="61">
        <v>40</v>
      </c>
      <c r="I40" s="26">
        <v>100</v>
      </c>
      <c r="J40" s="21">
        <f t="shared" si="0"/>
        <v>4000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24">
        <v>44769</v>
      </c>
      <c r="D41" s="25" t="s">
        <v>18</v>
      </c>
      <c r="E41" s="25" t="s">
        <v>455</v>
      </c>
      <c r="F41" s="26">
        <v>150</v>
      </c>
      <c r="G41" s="61">
        <v>112</v>
      </c>
      <c r="H41" s="61">
        <v>-38</v>
      </c>
      <c r="I41" s="26">
        <v>100</v>
      </c>
      <c r="J41" s="21">
        <f t="shared" si="0"/>
        <v>-3800</v>
      </c>
      <c r="K41" s="7"/>
      <c r="V41" s="5">
        <f t="shared" si="2"/>
        <v>0</v>
      </c>
      <c r="W41" s="5">
        <f t="shared" si="3"/>
        <v>1</v>
      </c>
    </row>
    <row r="42" spans="1:23" x14ac:dyDescent="0.3">
      <c r="A42" s="6"/>
      <c r="B42" s="17">
        <v>37</v>
      </c>
      <c r="C42" s="24">
        <v>44769</v>
      </c>
      <c r="D42" s="25" t="s">
        <v>18</v>
      </c>
      <c r="E42" s="25" t="s">
        <v>248</v>
      </c>
      <c r="F42" s="26">
        <v>120</v>
      </c>
      <c r="G42" s="61">
        <v>202</v>
      </c>
      <c r="H42" s="61">
        <f>202-120</f>
        <v>82</v>
      </c>
      <c r="I42" s="26">
        <v>100</v>
      </c>
      <c r="J42" s="21">
        <f t="shared" si="0"/>
        <v>8200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17">
        <v>38</v>
      </c>
      <c r="C43" s="24">
        <v>44770</v>
      </c>
      <c r="D43" s="25" t="s">
        <v>18</v>
      </c>
      <c r="E43" s="25" t="s">
        <v>582</v>
      </c>
      <c r="F43" s="26">
        <v>150</v>
      </c>
      <c r="G43" s="61">
        <v>200</v>
      </c>
      <c r="H43" s="61">
        <v>50</v>
      </c>
      <c r="I43" s="26">
        <v>100</v>
      </c>
      <c r="J43" s="21">
        <f t="shared" si="0"/>
        <v>5000</v>
      </c>
      <c r="K43" s="7"/>
      <c r="V43" s="5">
        <f t="shared" si="2"/>
        <v>1</v>
      </c>
      <c r="W43" s="5">
        <f t="shared" si="3"/>
        <v>0</v>
      </c>
    </row>
    <row r="44" spans="1:23" x14ac:dyDescent="0.3">
      <c r="A44" s="6"/>
      <c r="B44" s="17">
        <v>39</v>
      </c>
      <c r="C44" s="24">
        <v>44770</v>
      </c>
      <c r="D44" s="25" t="s">
        <v>18</v>
      </c>
      <c r="E44" s="25" t="s">
        <v>451</v>
      </c>
      <c r="F44" s="26">
        <v>75</v>
      </c>
      <c r="G44" s="61">
        <v>145</v>
      </c>
      <c r="H44" s="61">
        <f>145-75</f>
        <v>70</v>
      </c>
      <c r="I44" s="26">
        <v>100</v>
      </c>
      <c r="J44" s="21">
        <f t="shared" si="0"/>
        <v>7000</v>
      </c>
      <c r="K44" s="7"/>
      <c r="V44" s="5">
        <f t="shared" si="2"/>
        <v>1</v>
      </c>
      <c r="W44" s="5">
        <f t="shared" si="3"/>
        <v>0</v>
      </c>
    </row>
    <row r="45" spans="1:23" x14ac:dyDescent="0.3">
      <c r="A45" s="6"/>
      <c r="B45" s="17">
        <v>40</v>
      </c>
      <c r="C45" s="24">
        <v>44771</v>
      </c>
      <c r="D45" s="25" t="s">
        <v>18</v>
      </c>
      <c r="E45" s="25" t="s">
        <v>581</v>
      </c>
      <c r="F45" s="26">
        <v>140</v>
      </c>
      <c r="G45" s="61">
        <v>230</v>
      </c>
      <c r="H45" s="61">
        <f>230-140</f>
        <v>90</v>
      </c>
      <c r="I45" s="26">
        <v>100</v>
      </c>
      <c r="J45" s="21">
        <f t="shared" si="0"/>
        <v>9000</v>
      </c>
      <c r="K45" s="7"/>
      <c r="V45" s="5">
        <f t="shared" si="2"/>
        <v>1</v>
      </c>
      <c r="W45" s="5">
        <f t="shared" si="3"/>
        <v>0</v>
      </c>
    </row>
    <row r="46" spans="1:23" x14ac:dyDescent="0.3">
      <c r="A46" s="6"/>
      <c r="B46" s="17">
        <v>41</v>
      </c>
      <c r="C46" s="24">
        <v>44771</v>
      </c>
      <c r="D46" s="25" t="s">
        <v>18</v>
      </c>
      <c r="E46" s="25" t="s">
        <v>459</v>
      </c>
      <c r="F46" s="26">
        <v>150</v>
      </c>
      <c r="G46" s="61">
        <v>150</v>
      </c>
      <c r="H46" s="61">
        <v>0</v>
      </c>
      <c r="I46" s="26">
        <v>100</v>
      </c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x14ac:dyDescent="0.3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x14ac:dyDescent="0.3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x14ac:dyDescent="0.3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187600</v>
      </c>
      <c r="K59" s="7"/>
      <c r="V59" s="5">
        <f>SUM(V6:V58)</f>
        <v>34</v>
      </c>
      <c r="W59" s="5">
        <f>SUM(W6:W58)</f>
        <v>6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698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44743</v>
      </c>
      <c r="D67" s="67" t="s">
        <v>18</v>
      </c>
      <c r="E67" s="67" t="s">
        <v>561</v>
      </c>
      <c r="F67" s="68">
        <v>2190</v>
      </c>
      <c r="G67" s="68">
        <v>2230</v>
      </c>
      <c r="H67" s="97">
        <f>2230-2190</f>
        <v>40</v>
      </c>
      <c r="I67" s="68">
        <v>500</v>
      </c>
      <c r="J67" s="92">
        <f>H67*I67</f>
        <v>20000</v>
      </c>
      <c r="K67" s="7"/>
      <c r="V67" s="5">
        <f t="shared" ref="V67:V128" si="5">IF($J67&gt;0,1,0)</f>
        <v>1</v>
      </c>
      <c r="W67" s="5">
        <f t="shared" ref="W67:W128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44746</v>
      </c>
      <c r="D68" s="67" t="s">
        <v>18</v>
      </c>
      <c r="E68" s="67" t="s">
        <v>310</v>
      </c>
      <c r="F68" s="97">
        <v>1133</v>
      </c>
      <c r="G68" s="97">
        <v>1139.8499999999999</v>
      </c>
      <c r="H68" s="97">
        <f>1139.85-1133</f>
        <v>6.8499999999999091</v>
      </c>
      <c r="I68" s="20">
        <v>500</v>
      </c>
      <c r="J68" s="21">
        <f>H68*I68</f>
        <v>3424.9999999999545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8" si="7">B68+1</f>
        <v>3</v>
      </c>
      <c r="C69" s="18">
        <v>44747</v>
      </c>
      <c r="D69" s="19" t="s">
        <v>18</v>
      </c>
      <c r="E69" s="19" t="s">
        <v>119</v>
      </c>
      <c r="F69" s="35">
        <v>872</v>
      </c>
      <c r="G69" s="97">
        <v>882</v>
      </c>
      <c r="H69" s="35">
        <v>10</v>
      </c>
      <c r="I69" s="20">
        <v>425</v>
      </c>
      <c r="J69" s="21">
        <f>H69*I69</f>
        <v>4250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44748</v>
      </c>
      <c r="D70" s="19" t="s">
        <v>69</v>
      </c>
      <c r="E70" s="19" t="s">
        <v>71</v>
      </c>
      <c r="F70" s="35">
        <v>2415</v>
      </c>
      <c r="G70" s="97">
        <v>2386</v>
      </c>
      <c r="H70" s="35">
        <v>29</v>
      </c>
      <c r="I70" s="20">
        <v>250</v>
      </c>
      <c r="J70" s="21">
        <f>H70*I70</f>
        <v>7250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44748</v>
      </c>
      <c r="D71" s="19" t="s">
        <v>18</v>
      </c>
      <c r="E71" s="19" t="s">
        <v>75</v>
      </c>
      <c r="F71" s="35">
        <v>725</v>
      </c>
      <c r="G71" s="97">
        <v>730</v>
      </c>
      <c r="H71" s="35">
        <v>5</v>
      </c>
      <c r="I71" s="20">
        <v>1375</v>
      </c>
      <c r="J71" s="21">
        <f>H71*I71</f>
        <v>6875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44749</v>
      </c>
      <c r="D72" s="19" t="s">
        <v>69</v>
      </c>
      <c r="E72" s="19" t="s">
        <v>70</v>
      </c>
      <c r="F72" s="20">
        <v>658</v>
      </c>
      <c r="G72" s="97">
        <v>654.25</v>
      </c>
      <c r="H72" s="35">
        <f>658-654.25</f>
        <v>3.75</v>
      </c>
      <c r="I72" s="20">
        <v>1200</v>
      </c>
      <c r="J72" s="21">
        <f t="shared" ref="J72:J128" si="8">I72*H72</f>
        <v>4500</v>
      </c>
      <c r="K72" s="7"/>
      <c r="V72" s="5">
        <f t="shared" si="5"/>
        <v>1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>
        <v>44749</v>
      </c>
      <c r="D73" s="19" t="s">
        <v>69</v>
      </c>
      <c r="E73" s="19" t="s">
        <v>71</v>
      </c>
      <c r="F73" s="35">
        <v>2395</v>
      </c>
      <c r="G73" s="97">
        <v>2375</v>
      </c>
      <c r="H73" s="35">
        <v>20</v>
      </c>
      <c r="I73" s="20">
        <v>250</v>
      </c>
      <c r="J73" s="21">
        <f t="shared" si="8"/>
        <v>5000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44750</v>
      </c>
      <c r="D74" s="19" t="s">
        <v>18</v>
      </c>
      <c r="E74" s="19" t="s">
        <v>70</v>
      </c>
      <c r="F74" s="35">
        <v>670</v>
      </c>
      <c r="G74" s="97">
        <v>677</v>
      </c>
      <c r="H74" s="35">
        <v>7</v>
      </c>
      <c r="I74" s="20">
        <v>1200</v>
      </c>
      <c r="J74" s="21">
        <f t="shared" si="8"/>
        <v>8400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44753</v>
      </c>
      <c r="D75" s="19" t="s">
        <v>18</v>
      </c>
      <c r="E75" s="19" t="s">
        <v>75</v>
      </c>
      <c r="F75" s="35">
        <v>764</v>
      </c>
      <c r="G75" s="97">
        <v>768.9</v>
      </c>
      <c r="H75" s="35">
        <f>768.9-764</f>
        <v>4.8999999999999773</v>
      </c>
      <c r="I75" s="20">
        <v>1375</v>
      </c>
      <c r="J75" s="21">
        <f t="shared" si="8"/>
        <v>6737.4999999999691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44753</v>
      </c>
      <c r="D76" s="19" t="s">
        <v>18</v>
      </c>
      <c r="E76" s="19" t="s">
        <v>71</v>
      </c>
      <c r="F76" s="35">
        <v>2420</v>
      </c>
      <c r="G76" s="97">
        <v>2432</v>
      </c>
      <c r="H76" s="35">
        <v>12</v>
      </c>
      <c r="I76" s="20">
        <v>250</v>
      </c>
      <c r="J76" s="21">
        <f t="shared" si="8"/>
        <v>3000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>
        <v>44754</v>
      </c>
      <c r="D77" s="19" t="s">
        <v>18</v>
      </c>
      <c r="E77" s="19" t="s">
        <v>92</v>
      </c>
      <c r="F77" s="19">
        <v>666</v>
      </c>
      <c r="G77" s="97">
        <v>665</v>
      </c>
      <c r="H77" s="35">
        <v>-1</v>
      </c>
      <c r="I77" s="20">
        <v>950</v>
      </c>
      <c r="J77" s="21">
        <f t="shared" si="8"/>
        <v>-950</v>
      </c>
      <c r="K77" s="7"/>
      <c r="V77" s="5">
        <f t="shared" si="5"/>
        <v>0</v>
      </c>
      <c r="W77" s="5">
        <f t="shared" si="6"/>
        <v>1</v>
      </c>
    </row>
    <row r="78" spans="1:23" s="36" customFormat="1" x14ac:dyDescent="0.3">
      <c r="A78" s="6"/>
      <c r="B78" s="17">
        <f t="shared" si="7"/>
        <v>12</v>
      </c>
      <c r="C78" s="18">
        <v>44754</v>
      </c>
      <c r="D78" s="19" t="s">
        <v>18</v>
      </c>
      <c r="E78" s="19" t="s">
        <v>359</v>
      </c>
      <c r="F78" s="35">
        <v>1145</v>
      </c>
      <c r="G78" s="97">
        <v>1135</v>
      </c>
      <c r="H78" s="35">
        <v>-10</v>
      </c>
      <c r="I78" s="20">
        <v>700</v>
      </c>
      <c r="J78" s="21">
        <f t="shared" si="8"/>
        <v>-7000</v>
      </c>
      <c r="K78" s="7"/>
      <c r="V78" s="5">
        <f t="shared" si="5"/>
        <v>0</v>
      </c>
      <c r="W78" s="5">
        <f t="shared" si="6"/>
        <v>1</v>
      </c>
    </row>
    <row r="79" spans="1:23" s="36" customFormat="1" x14ac:dyDescent="0.3">
      <c r="A79" s="6"/>
      <c r="B79" s="17">
        <f t="shared" si="7"/>
        <v>13</v>
      </c>
      <c r="C79" s="18">
        <v>44755</v>
      </c>
      <c r="D79" s="19" t="s">
        <v>69</v>
      </c>
      <c r="E79" s="19" t="s">
        <v>561</v>
      </c>
      <c r="F79" s="35">
        <v>2370</v>
      </c>
      <c r="G79" s="97">
        <v>2344</v>
      </c>
      <c r="H79" s="35">
        <v>26</v>
      </c>
      <c r="I79" s="20">
        <v>500</v>
      </c>
      <c r="J79" s="21">
        <f t="shared" si="8"/>
        <v>13000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44756</v>
      </c>
      <c r="D80" s="19" t="s">
        <v>18</v>
      </c>
      <c r="E80" s="19" t="s">
        <v>88</v>
      </c>
      <c r="F80" s="77">
        <v>584</v>
      </c>
      <c r="G80" s="97">
        <v>586</v>
      </c>
      <c r="H80" s="78">
        <v>2</v>
      </c>
      <c r="I80" s="20">
        <v>1350</v>
      </c>
      <c r="J80" s="21">
        <f t="shared" si="8"/>
        <v>2700</v>
      </c>
      <c r="K80" s="7"/>
      <c r="V80" s="5">
        <f t="shared" si="5"/>
        <v>1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>
        <v>44757</v>
      </c>
      <c r="D81" s="19" t="s">
        <v>69</v>
      </c>
      <c r="E81" s="19" t="s">
        <v>75</v>
      </c>
      <c r="F81" s="35">
        <v>753</v>
      </c>
      <c r="G81" s="97">
        <v>748</v>
      </c>
      <c r="H81" s="78">
        <f>753-748</f>
        <v>5</v>
      </c>
      <c r="I81" s="20">
        <v>1375</v>
      </c>
      <c r="J81" s="21">
        <f t="shared" si="8"/>
        <v>6875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>
        <v>44757</v>
      </c>
      <c r="D82" s="19" t="s">
        <v>69</v>
      </c>
      <c r="E82" s="19" t="s">
        <v>700</v>
      </c>
      <c r="F82" s="35">
        <v>310</v>
      </c>
      <c r="G82" s="97">
        <v>307.25</v>
      </c>
      <c r="H82" s="78">
        <f>310-307.25</f>
        <v>2.75</v>
      </c>
      <c r="I82" s="20">
        <v>1300</v>
      </c>
      <c r="J82" s="21">
        <f t="shared" si="8"/>
        <v>3575</v>
      </c>
      <c r="K82" s="7"/>
      <c r="V82" s="5">
        <f t="shared" si="5"/>
        <v>1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>
        <v>44760</v>
      </c>
      <c r="D83" s="19" t="s">
        <v>69</v>
      </c>
      <c r="E83" s="19" t="s">
        <v>71</v>
      </c>
      <c r="F83" s="35">
        <v>2415</v>
      </c>
      <c r="G83" s="97">
        <v>2405.8000000000002</v>
      </c>
      <c r="H83" s="35">
        <f>2415-2405.8</f>
        <v>9.1999999999998181</v>
      </c>
      <c r="I83" s="20">
        <v>250</v>
      </c>
      <c r="J83" s="21">
        <f t="shared" si="8"/>
        <v>2299.9999999999545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>
        <v>44761</v>
      </c>
      <c r="D84" s="19" t="s">
        <v>18</v>
      </c>
      <c r="E84" s="19" t="s">
        <v>70</v>
      </c>
      <c r="F84" s="35">
        <v>697</v>
      </c>
      <c r="G84" s="97">
        <v>702.8</v>
      </c>
      <c r="H84" s="35">
        <f>702.8-697</f>
        <v>5.7999999999999545</v>
      </c>
      <c r="I84" s="20">
        <v>1200</v>
      </c>
      <c r="J84" s="21">
        <f t="shared" si="8"/>
        <v>6959.9999999999454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>
        <v>44761</v>
      </c>
      <c r="D85" s="19" t="s">
        <v>18</v>
      </c>
      <c r="E85" s="19" t="s">
        <v>312</v>
      </c>
      <c r="F85" s="35">
        <v>1480</v>
      </c>
      <c r="G85" s="97">
        <v>1488</v>
      </c>
      <c r="H85" s="35">
        <v>8</v>
      </c>
      <c r="I85" s="20">
        <v>300</v>
      </c>
      <c r="J85" s="21">
        <f t="shared" si="8"/>
        <v>2400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>
        <v>44762</v>
      </c>
      <c r="D86" s="19" t="s">
        <v>69</v>
      </c>
      <c r="E86" s="19" t="s">
        <v>702</v>
      </c>
      <c r="F86" s="35">
        <v>508</v>
      </c>
      <c r="G86" s="97">
        <v>502</v>
      </c>
      <c r="H86" s="35">
        <v>6</v>
      </c>
      <c r="I86" s="20">
        <v>1500</v>
      </c>
      <c r="J86" s="21">
        <f t="shared" si="8"/>
        <v>9000</v>
      </c>
      <c r="K86" s="7"/>
      <c r="V86" s="5">
        <f t="shared" si="5"/>
        <v>1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>
        <v>44762</v>
      </c>
      <c r="D87" s="19" t="s">
        <v>69</v>
      </c>
      <c r="E87" s="19" t="s">
        <v>181</v>
      </c>
      <c r="F87" s="35">
        <v>1790</v>
      </c>
      <c r="G87" s="97">
        <v>1775</v>
      </c>
      <c r="H87" s="35">
        <f>1790-1775</f>
        <v>15</v>
      </c>
      <c r="I87" s="20">
        <v>300</v>
      </c>
      <c r="J87" s="21">
        <f t="shared" si="8"/>
        <v>4500</v>
      </c>
      <c r="K87" s="7"/>
      <c r="V87" s="5">
        <f t="shared" si="5"/>
        <v>1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>
        <v>44763</v>
      </c>
      <c r="D88" s="19" t="s">
        <v>69</v>
      </c>
      <c r="E88" s="19" t="s">
        <v>71</v>
      </c>
      <c r="F88" s="35">
        <v>2485</v>
      </c>
      <c r="G88" s="97">
        <v>2470</v>
      </c>
      <c r="H88" s="35">
        <v>15</v>
      </c>
      <c r="I88" s="20">
        <v>250</v>
      </c>
      <c r="J88" s="21">
        <f t="shared" si="8"/>
        <v>3750</v>
      </c>
      <c r="K88" s="7"/>
      <c r="V88" s="5">
        <f t="shared" si="5"/>
        <v>1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>
        <v>44764</v>
      </c>
      <c r="D89" s="19" t="s">
        <v>18</v>
      </c>
      <c r="E89" s="19" t="s">
        <v>93</v>
      </c>
      <c r="F89" s="35">
        <v>1376</v>
      </c>
      <c r="G89" s="97">
        <v>1390</v>
      </c>
      <c r="H89" s="35">
        <f>1390-1376</f>
        <v>14</v>
      </c>
      <c r="I89" s="20">
        <v>550</v>
      </c>
      <c r="J89" s="21">
        <f t="shared" si="8"/>
        <v>7700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>
        <v>44764</v>
      </c>
      <c r="D90" s="19" t="s">
        <v>69</v>
      </c>
      <c r="E90" s="19" t="s">
        <v>302</v>
      </c>
      <c r="F90" s="35">
        <v>810</v>
      </c>
      <c r="G90" s="97">
        <v>803.2</v>
      </c>
      <c r="H90" s="35">
        <f>810-803.2</f>
        <v>6.7999999999999545</v>
      </c>
      <c r="I90" s="20">
        <v>900</v>
      </c>
      <c r="J90" s="21">
        <f t="shared" si="8"/>
        <v>6119.9999999999591</v>
      </c>
      <c r="K90" s="7"/>
      <c r="V90" s="5">
        <f t="shared" si="5"/>
        <v>1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>
        <v>44767</v>
      </c>
      <c r="D91" s="19" t="s">
        <v>18</v>
      </c>
      <c r="E91" s="19" t="s">
        <v>703</v>
      </c>
      <c r="F91" s="35">
        <v>8800</v>
      </c>
      <c r="G91" s="97">
        <v>8966</v>
      </c>
      <c r="H91" s="35">
        <f>8966-8800</f>
        <v>166</v>
      </c>
      <c r="I91" s="20">
        <v>75</v>
      </c>
      <c r="J91" s="21">
        <f t="shared" si="8"/>
        <v>12450</v>
      </c>
      <c r="K91" s="7"/>
      <c r="V91" s="5">
        <f t="shared" si="5"/>
        <v>1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>
        <v>44767</v>
      </c>
      <c r="D92" s="19" t="s">
        <v>69</v>
      </c>
      <c r="E92" s="19" t="s">
        <v>88</v>
      </c>
      <c r="F92" s="35">
        <v>578</v>
      </c>
      <c r="G92" s="97">
        <v>583</v>
      </c>
      <c r="H92" s="35">
        <v>-5</v>
      </c>
      <c r="I92" s="20">
        <v>1350</v>
      </c>
      <c r="J92" s="21">
        <f t="shared" si="8"/>
        <v>-6750</v>
      </c>
      <c r="K92" s="7"/>
      <c r="V92" s="5">
        <f t="shared" si="5"/>
        <v>0</v>
      </c>
      <c r="W92" s="5">
        <f t="shared" si="6"/>
        <v>1</v>
      </c>
    </row>
    <row r="93" spans="1:23" s="36" customFormat="1" x14ac:dyDescent="0.3">
      <c r="A93" s="6"/>
      <c r="B93" s="17">
        <f t="shared" si="7"/>
        <v>27</v>
      </c>
      <c r="C93" s="18">
        <v>44768</v>
      </c>
      <c r="D93" s="19" t="s">
        <v>18</v>
      </c>
      <c r="E93" s="19" t="s">
        <v>375</v>
      </c>
      <c r="F93" s="35">
        <v>1500</v>
      </c>
      <c r="G93" s="97">
        <v>1507</v>
      </c>
      <c r="H93" s="35">
        <v>7</v>
      </c>
      <c r="I93" s="20">
        <v>475</v>
      </c>
      <c r="J93" s="21">
        <f t="shared" si="8"/>
        <v>3325</v>
      </c>
      <c r="K93" s="7"/>
      <c r="V93" s="5">
        <f t="shared" si="5"/>
        <v>1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>
        <v>44768</v>
      </c>
      <c r="D94" s="19" t="s">
        <v>18</v>
      </c>
      <c r="E94" s="19" t="s">
        <v>71</v>
      </c>
      <c r="F94" s="35">
        <v>2440</v>
      </c>
      <c r="G94" s="97">
        <v>2448</v>
      </c>
      <c r="H94" s="35">
        <v>8</v>
      </c>
      <c r="I94" s="20">
        <v>250</v>
      </c>
      <c r="J94" s="21">
        <f t="shared" si="8"/>
        <v>2000</v>
      </c>
      <c r="K94" s="7"/>
      <c r="V94" s="5">
        <f t="shared" si="5"/>
        <v>1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>
        <v>44769</v>
      </c>
      <c r="D95" s="19" t="s">
        <v>18</v>
      </c>
      <c r="E95" s="19" t="s">
        <v>658</v>
      </c>
      <c r="F95" s="35">
        <v>3770</v>
      </c>
      <c r="G95" s="97">
        <v>3800</v>
      </c>
      <c r="H95" s="35">
        <f>3800-3770</f>
        <v>30</v>
      </c>
      <c r="I95" s="20">
        <v>150</v>
      </c>
      <c r="J95" s="21">
        <f t="shared" si="8"/>
        <v>4500</v>
      </c>
      <c r="K95" s="7"/>
      <c r="V95" s="5">
        <f t="shared" si="5"/>
        <v>1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>
        <v>44770</v>
      </c>
      <c r="D96" s="19" t="s">
        <v>18</v>
      </c>
      <c r="E96" s="19" t="s">
        <v>71</v>
      </c>
      <c r="F96" s="35">
        <v>2465</v>
      </c>
      <c r="G96" s="97">
        <v>2471</v>
      </c>
      <c r="H96" s="35">
        <f>2471-2465</f>
        <v>6</v>
      </c>
      <c r="I96" s="20">
        <v>250</v>
      </c>
      <c r="J96" s="21">
        <f t="shared" si="8"/>
        <v>1500</v>
      </c>
      <c r="K96" s="7"/>
      <c r="V96" s="5">
        <f t="shared" si="5"/>
        <v>1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>
        <v>44771</v>
      </c>
      <c r="D97" s="19" t="s">
        <v>18</v>
      </c>
      <c r="E97" s="19" t="s">
        <v>71</v>
      </c>
      <c r="F97" s="35">
        <v>2505</v>
      </c>
      <c r="G97" s="97">
        <v>2520</v>
      </c>
      <c r="H97" s="35">
        <v>15</v>
      </c>
      <c r="I97" s="20">
        <v>250</v>
      </c>
      <c r="J97" s="21">
        <f t="shared" si="8"/>
        <v>3750</v>
      </c>
      <c r="K97" s="7"/>
      <c r="V97" s="5">
        <f t="shared" si="5"/>
        <v>1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/>
      <c r="D98" s="19"/>
      <c r="E98" s="19"/>
      <c r="F98" s="35"/>
      <c r="G98" s="97"/>
      <c r="H98" s="35"/>
      <c r="I98" s="20"/>
      <c r="J98" s="21">
        <f t="shared" si="8"/>
        <v>0</v>
      </c>
      <c r="K98" s="7"/>
      <c r="V98" s="5">
        <f t="shared" si="5"/>
        <v>0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/>
      <c r="D99" s="19"/>
      <c r="E99" s="19"/>
      <c r="F99" s="35"/>
      <c r="G99" s="97"/>
      <c r="H99" s="35"/>
      <c r="I99" s="20"/>
      <c r="J99" s="21">
        <f t="shared" si="8"/>
        <v>0</v>
      </c>
      <c r="K99" s="7"/>
      <c r="V99" s="5">
        <f t="shared" si="5"/>
        <v>0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ht="15" thickBot="1" x14ac:dyDescent="0.35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ht="15" hidden="1" thickBot="1" x14ac:dyDescent="0.35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t="15" hidden="1" thickBot="1" x14ac:dyDescent="0.35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t="15" hidden="1" thickBot="1" x14ac:dyDescent="0.35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t="15" hidden="1" thickBot="1" x14ac:dyDescent="0.35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t="15" hidden="1" thickBot="1" x14ac:dyDescent="0.35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t="15" hidden="1" thickBot="1" x14ac:dyDescent="0.35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t="15" hidden="1" thickBot="1" x14ac:dyDescent="0.35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t="15" hidden="1" thickBot="1" x14ac:dyDescent="0.35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t="15" hidden="1" thickBot="1" x14ac:dyDescent="0.35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t="15" hidden="1" thickBot="1" x14ac:dyDescent="0.35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hidden="1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15" hidden="1" thickBot="1" x14ac:dyDescent="0.35">
      <c r="A121" s="6"/>
      <c r="B121" s="17">
        <f t="shared" si="7"/>
        <v>51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52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15" hidden="1" thickBot="1" x14ac:dyDescent="0.35">
      <c r="A123" s="6"/>
      <c r="B123" s="17">
        <f t="shared" si="7"/>
        <v>53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hidden="1" thickBot="1" x14ac:dyDescent="0.35">
      <c r="A124" s="6"/>
      <c r="B124" s="17">
        <f t="shared" si="7"/>
        <v>54</v>
      </c>
      <c r="C124" s="18"/>
      <c r="D124" s="19"/>
      <c r="E124" s="19"/>
      <c r="F124" s="35"/>
      <c r="G124" s="35"/>
      <c r="H124" s="35"/>
      <c r="I124" s="20"/>
      <c r="J124" s="21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15" hidden="1" thickBot="1" x14ac:dyDescent="0.35">
      <c r="A125" s="6"/>
      <c r="B125" s="17">
        <f t="shared" si="7"/>
        <v>55</v>
      </c>
      <c r="C125" s="18"/>
      <c r="D125" s="19"/>
      <c r="E125" s="19"/>
      <c r="F125" s="35"/>
      <c r="G125" s="35"/>
      <c r="H125" s="35"/>
      <c r="I125" s="20"/>
      <c r="J125" s="21">
        <f t="shared" si="8"/>
        <v>0</v>
      </c>
      <c r="K125" s="7"/>
      <c r="V125" s="5">
        <f t="shared" si="5"/>
        <v>0</v>
      </c>
      <c r="W125" s="5">
        <f t="shared" si="6"/>
        <v>0</v>
      </c>
    </row>
    <row r="126" spans="1:23" s="36" customFormat="1" ht="15" hidden="1" thickBot="1" x14ac:dyDescent="0.35">
      <c r="A126" s="6"/>
      <c r="B126" s="17">
        <f t="shared" si="7"/>
        <v>56</v>
      </c>
      <c r="C126" s="18"/>
      <c r="D126" s="19"/>
      <c r="E126" s="19"/>
      <c r="F126" s="35"/>
      <c r="G126" s="35"/>
      <c r="H126" s="35"/>
      <c r="I126" s="20"/>
      <c r="J126" s="21">
        <f t="shared" si="8"/>
        <v>0</v>
      </c>
      <c r="K126" s="7"/>
      <c r="V126" s="5">
        <f t="shared" si="5"/>
        <v>0</v>
      </c>
      <c r="W126" s="5">
        <f t="shared" si="6"/>
        <v>0</v>
      </c>
    </row>
    <row r="127" spans="1:23" s="36" customFormat="1" ht="15" hidden="1" thickBot="1" x14ac:dyDescent="0.35">
      <c r="A127" s="6"/>
      <c r="B127" s="17">
        <f t="shared" si="7"/>
        <v>57</v>
      </c>
      <c r="C127" s="18"/>
      <c r="D127" s="19"/>
      <c r="E127" s="19"/>
      <c r="F127" s="35"/>
      <c r="G127" s="35"/>
      <c r="H127" s="35"/>
      <c r="I127" s="20"/>
      <c r="J127" s="21">
        <f t="shared" si="8"/>
        <v>0</v>
      </c>
      <c r="K127" s="7"/>
      <c r="V127" s="5">
        <f t="shared" si="5"/>
        <v>0</v>
      </c>
      <c r="W127" s="5">
        <f t="shared" si="6"/>
        <v>0</v>
      </c>
    </row>
    <row r="128" spans="1:23" s="36" customFormat="1" ht="15" hidden="1" thickBot="1" x14ac:dyDescent="0.35">
      <c r="A128" s="6"/>
      <c r="B128" s="17">
        <f t="shared" si="7"/>
        <v>58</v>
      </c>
      <c r="C128" s="79"/>
      <c r="D128" s="80"/>
      <c r="E128" s="80"/>
      <c r="F128" s="81"/>
      <c r="G128" s="81"/>
      <c r="H128" s="80"/>
      <c r="I128" s="81"/>
      <c r="J128" s="82">
        <f t="shared" si="8"/>
        <v>0</v>
      </c>
      <c r="K128" s="7"/>
      <c r="V128" s="5">
        <f t="shared" si="5"/>
        <v>0</v>
      </c>
      <c r="W128" s="5">
        <f t="shared" si="6"/>
        <v>0</v>
      </c>
    </row>
    <row r="129" spans="1:23" s="36" customFormat="1" ht="24" thickBot="1" x14ac:dyDescent="0.5">
      <c r="A129" s="6"/>
      <c r="B129" s="144" t="s">
        <v>22</v>
      </c>
      <c r="C129" s="145"/>
      <c r="D129" s="145"/>
      <c r="E129" s="145"/>
      <c r="F129" s="145"/>
      <c r="G129" s="145"/>
      <c r="H129" s="146"/>
      <c r="I129" s="83" t="s">
        <v>23</v>
      </c>
      <c r="J129" s="84">
        <f>SUM(J67:J128)</f>
        <v>151142.49999999977</v>
      </c>
      <c r="K129" s="7"/>
      <c r="L129" s="5"/>
      <c r="M129" s="5"/>
      <c r="N129" s="5"/>
      <c r="O129" s="5"/>
      <c r="P129" s="5"/>
      <c r="Q129" s="5"/>
      <c r="R129" s="5"/>
      <c r="V129" s="36">
        <f>SUM(V67:V128)</f>
        <v>28</v>
      </c>
      <c r="W129" s="36">
        <f>SUM(W67:W128)</f>
        <v>3</v>
      </c>
    </row>
    <row r="130" spans="1:23" s="36" customFormat="1" ht="30" customHeight="1" thickBot="1" x14ac:dyDescent="0.35">
      <c r="A130" s="30"/>
      <c r="B130" s="31"/>
      <c r="C130" s="31"/>
      <c r="D130" s="31"/>
      <c r="E130" s="31"/>
      <c r="F130" s="31"/>
      <c r="G130" s="31"/>
      <c r="H130" s="32"/>
      <c r="I130" s="31"/>
      <c r="J130" s="32"/>
      <c r="K130" s="33"/>
      <c r="L130" s="5"/>
      <c r="M130" s="5"/>
      <c r="N130" s="5"/>
      <c r="O130" s="5"/>
      <c r="P130" s="5"/>
      <c r="Q130" s="5"/>
      <c r="R130" s="5"/>
    </row>
    <row r="131" spans="1:23" ht="15" thickBot="1" x14ac:dyDescent="0.35"/>
    <row r="132" spans="1:23" s="36" customFormat="1" ht="30" customHeight="1" thickBot="1" x14ac:dyDescent="0.35">
      <c r="A132" s="1"/>
      <c r="B132" s="2"/>
      <c r="C132" s="2"/>
      <c r="D132" s="2"/>
      <c r="E132" s="2"/>
      <c r="F132" s="2"/>
      <c r="G132" s="2"/>
      <c r="H132" s="3"/>
      <c r="I132" s="2"/>
      <c r="J132" s="3"/>
      <c r="K132" s="4"/>
    </row>
    <row r="133" spans="1:23" s="36" customFormat="1" ht="25.2" thickBot="1" x14ac:dyDescent="0.35">
      <c r="A133" s="6" t="s">
        <v>1</v>
      </c>
      <c r="B133" s="119" t="s">
        <v>2</v>
      </c>
      <c r="C133" s="120"/>
      <c r="D133" s="120"/>
      <c r="E133" s="120"/>
      <c r="F133" s="120"/>
      <c r="G133" s="120"/>
      <c r="H133" s="120"/>
      <c r="I133" s="120"/>
      <c r="J133" s="121"/>
      <c r="K133" s="7"/>
    </row>
    <row r="134" spans="1:23" s="36" customFormat="1" ht="16.2" thickBot="1" x14ac:dyDescent="0.35">
      <c r="A134" s="6"/>
      <c r="B134" s="216">
        <v>44743</v>
      </c>
      <c r="C134" s="169"/>
      <c r="D134" s="169"/>
      <c r="E134" s="169"/>
      <c r="F134" s="169"/>
      <c r="G134" s="169"/>
      <c r="H134" s="169"/>
      <c r="I134" s="169"/>
      <c r="J134" s="170"/>
      <c r="K134" s="7"/>
      <c r="L134" s="22"/>
    </row>
    <row r="135" spans="1:23" s="36" customFormat="1" ht="16.2" thickBot="1" x14ac:dyDescent="0.35">
      <c r="A135" s="6"/>
      <c r="B135" s="106" t="s">
        <v>699</v>
      </c>
      <c r="C135" s="107"/>
      <c r="D135" s="107"/>
      <c r="E135" s="107"/>
      <c r="F135" s="107"/>
      <c r="G135" s="107"/>
      <c r="H135" s="107"/>
      <c r="I135" s="107"/>
      <c r="J135" s="108"/>
      <c r="K135" s="7"/>
    </row>
    <row r="136" spans="1:23" s="22" customFormat="1" ht="15" thickBot="1" x14ac:dyDescent="0.35">
      <c r="A136" s="69"/>
      <c r="B136" s="70" t="s">
        <v>9</v>
      </c>
      <c r="C136" s="71" t="s">
        <v>10</v>
      </c>
      <c r="D136" s="72" t="s">
        <v>11</v>
      </c>
      <c r="E136" s="72" t="s">
        <v>12</v>
      </c>
      <c r="F136" s="73" t="s">
        <v>65</v>
      </c>
      <c r="G136" s="73" t="s">
        <v>66</v>
      </c>
      <c r="H136" s="74" t="s">
        <v>67</v>
      </c>
      <c r="I136" s="73" t="s">
        <v>68</v>
      </c>
      <c r="J136" s="75" t="s">
        <v>17</v>
      </c>
      <c r="K136" s="76"/>
      <c r="L136" s="36"/>
      <c r="M136" s="36"/>
      <c r="N136" s="36"/>
      <c r="O136" s="36" t="s">
        <v>21</v>
      </c>
      <c r="P136" s="36"/>
      <c r="Q136" s="36"/>
      <c r="R136" s="36"/>
      <c r="V136" s="5" t="s">
        <v>5</v>
      </c>
      <c r="W136" s="5" t="s">
        <v>6</v>
      </c>
    </row>
    <row r="137" spans="1:23" s="36" customFormat="1" x14ac:dyDescent="0.3">
      <c r="A137" s="6"/>
      <c r="B137" s="14">
        <v>1</v>
      </c>
      <c r="C137" s="93">
        <v>44743</v>
      </c>
      <c r="D137" s="94" t="s">
        <v>18</v>
      </c>
      <c r="E137" s="94" t="s">
        <v>406</v>
      </c>
      <c r="F137" s="60">
        <v>125</v>
      </c>
      <c r="G137" s="60">
        <v>165</v>
      </c>
      <c r="H137" s="60">
        <v>40</v>
      </c>
      <c r="I137" s="15">
        <v>300</v>
      </c>
      <c r="J137" s="16">
        <f t="shared" ref="J137:J182" si="9">I137*H137</f>
        <v>12000</v>
      </c>
      <c r="K137" s="7"/>
      <c r="V137" s="5">
        <f t="shared" ref="V137:V182" si="10">IF($J137&gt;0,1,0)</f>
        <v>1</v>
      </c>
      <c r="W137" s="5">
        <f t="shared" ref="W137:W182" si="11">IF($J137&lt;0,1,0)</f>
        <v>0</v>
      </c>
    </row>
    <row r="138" spans="1:23" s="36" customFormat="1" x14ac:dyDescent="0.3">
      <c r="A138" s="6"/>
      <c r="B138" s="17">
        <f>B137+1</f>
        <v>2</v>
      </c>
      <c r="C138" s="18">
        <v>44743</v>
      </c>
      <c r="D138" s="19" t="s">
        <v>18</v>
      </c>
      <c r="E138" s="19" t="s">
        <v>400</v>
      </c>
      <c r="F138" s="35">
        <v>105</v>
      </c>
      <c r="G138" s="35">
        <v>90</v>
      </c>
      <c r="H138" s="35">
        <v>-15</v>
      </c>
      <c r="I138" s="20">
        <v>300</v>
      </c>
      <c r="J138" s="21">
        <f t="shared" si="9"/>
        <v>-4500</v>
      </c>
      <c r="K138" s="7"/>
      <c r="L138" s="36" t="s">
        <v>21</v>
      </c>
      <c r="V138" s="5">
        <f t="shared" si="10"/>
        <v>0</v>
      </c>
      <c r="W138" s="5">
        <f t="shared" si="11"/>
        <v>1</v>
      </c>
    </row>
    <row r="139" spans="1:23" s="36" customFormat="1" x14ac:dyDescent="0.3">
      <c r="A139" s="6"/>
      <c r="B139" s="17">
        <f t="shared" ref="B139:B159" si="12">B138+1</f>
        <v>3</v>
      </c>
      <c r="C139" s="18">
        <v>44746</v>
      </c>
      <c r="D139" s="19" t="s">
        <v>18</v>
      </c>
      <c r="E139" s="19" t="s">
        <v>389</v>
      </c>
      <c r="F139" s="35">
        <v>105</v>
      </c>
      <c r="G139" s="35">
        <v>135</v>
      </c>
      <c r="H139" s="35">
        <f>135-105</f>
        <v>30</v>
      </c>
      <c r="I139" s="20">
        <v>300</v>
      </c>
      <c r="J139" s="21">
        <f t="shared" si="9"/>
        <v>9000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4</v>
      </c>
      <c r="C140" s="18">
        <v>44746</v>
      </c>
      <c r="D140" s="19" t="s">
        <v>18</v>
      </c>
      <c r="E140" s="19" t="s">
        <v>400</v>
      </c>
      <c r="F140" s="35">
        <v>110</v>
      </c>
      <c r="G140" s="35">
        <v>119</v>
      </c>
      <c r="H140" s="35">
        <v>9</v>
      </c>
      <c r="I140" s="20">
        <v>300</v>
      </c>
      <c r="J140" s="21">
        <f t="shared" si="9"/>
        <v>2700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5</v>
      </c>
      <c r="C141" s="18">
        <v>44747</v>
      </c>
      <c r="D141" s="19" t="s">
        <v>18</v>
      </c>
      <c r="E141" s="19" t="s">
        <v>415</v>
      </c>
      <c r="F141" s="35">
        <v>105</v>
      </c>
      <c r="G141" s="35">
        <v>90</v>
      </c>
      <c r="H141" s="35">
        <v>-15</v>
      </c>
      <c r="I141" s="20">
        <v>300</v>
      </c>
      <c r="J141" s="21">
        <f t="shared" si="9"/>
        <v>-4500</v>
      </c>
      <c r="K141" s="7"/>
      <c r="V141" s="5">
        <f t="shared" si="10"/>
        <v>0</v>
      </c>
      <c r="W141" s="5">
        <f t="shared" si="11"/>
        <v>1</v>
      </c>
    </row>
    <row r="142" spans="1:23" s="36" customFormat="1" x14ac:dyDescent="0.3">
      <c r="A142" s="6"/>
      <c r="B142" s="17">
        <f t="shared" si="12"/>
        <v>6</v>
      </c>
      <c r="C142" s="18">
        <v>44747</v>
      </c>
      <c r="D142" s="19" t="s">
        <v>18</v>
      </c>
      <c r="E142" s="19" t="s">
        <v>664</v>
      </c>
      <c r="F142" s="20">
        <v>105</v>
      </c>
      <c r="G142" s="35">
        <v>111.9</v>
      </c>
      <c r="H142" s="35">
        <f>111.9-105</f>
        <v>6.9000000000000057</v>
      </c>
      <c r="I142" s="20">
        <v>300</v>
      </c>
      <c r="J142" s="21">
        <f t="shared" si="9"/>
        <v>2070.0000000000018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7</v>
      </c>
      <c r="C143" s="18">
        <v>44748</v>
      </c>
      <c r="D143" s="19" t="s">
        <v>18</v>
      </c>
      <c r="E143" s="19" t="s">
        <v>405</v>
      </c>
      <c r="F143" s="35">
        <v>90</v>
      </c>
      <c r="G143" s="35">
        <v>105</v>
      </c>
      <c r="H143" s="35">
        <f>105-90</f>
        <v>15</v>
      </c>
      <c r="I143" s="20">
        <v>300</v>
      </c>
      <c r="J143" s="21">
        <f t="shared" si="9"/>
        <v>4500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8</v>
      </c>
      <c r="C144" s="18">
        <v>44748</v>
      </c>
      <c r="D144" s="19" t="s">
        <v>18</v>
      </c>
      <c r="E144" s="19" t="s">
        <v>405</v>
      </c>
      <c r="F144" s="35">
        <v>90</v>
      </c>
      <c r="G144" s="35">
        <v>103</v>
      </c>
      <c r="H144" s="35">
        <f>103-90</f>
        <v>13</v>
      </c>
      <c r="I144" s="20">
        <v>300</v>
      </c>
      <c r="J144" s="21">
        <f t="shared" si="9"/>
        <v>3900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9</v>
      </c>
      <c r="C145" s="18">
        <v>44749</v>
      </c>
      <c r="D145" s="19" t="s">
        <v>18</v>
      </c>
      <c r="E145" s="19" t="s">
        <v>681</v>
      </c>
      <c r="F145" s="35">
        <v>80</v>
      </c>
      <c r="G145" s="35">
        <v>100</v>
      </c>
      <c r="H145" s="35">
        <v>20</v>
      </c>
      <c r="I145" s="20">
        <v>300</v>
      </c>
      <c r="J145" s="21">
        <f t="shared" si="9"/>
        <v>6000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10</v>
      </c>
      <c r="C146" s="18">
        <v>44749</v>
      </c>
      <c r="D146" s="19" t="s">
        <v>18</v>
      </c>
      <c r="E146" s="19" t="s">
        <v>681</v>
      </c>
      <c r="F146" s="35">
        <v>85</v>
      </c>
      <c r="G146" s="35">
        <v>70</v>
      </c>
      <c r="H146" s="35">
        <v>-15</v>
      </c>
      <c r="I146" s="20">
        <v>300</v>
      </c>
      <c r="J146" s="21">
        <f t="shared" si="9"/>
        <v>-4500</v>
      </c>
      <c r="K146" s="7"/>
      <c r="V146" s="5">
        <f t="shared" si="10"/>
        <v>0</v>
      </c>
      <c r="W146" s="5">
        <f t="shared" si="11"/>
        <v>1</v>
      </c>
    </row>
    <row r="147" spans="1:23" s="36" customFormat="1" x14ac:dyDescent="0.3">
      <c r="A147" s="6"/>
      <c r="B147" s="17">
        <f t="shared" si="12"/>
        <v>11</v>
      </c>
      <c r="C147" s="18">
        <v>44750</v>
      </c>
      <c r="D147" s="19" t="s">
        <v>18</v>
      </c>
      <c r="E147" s="19" t="s">
        <v>644</v>
      </c>
      <c r="F147" s="19">
        <v>110</v>
      </c>
      <c r="G147" s="35">
        <v>90</v>
      </c>
      <c r="H147" s="35">
        <v>-15</v>
      </c>
      <c r="I147" s="20">
        <v>300</v>
      </c>
      <c r="J147" s="21">
        <f t="shared" si="9"/>
        <v>-4500</v>
      </c>
      <c r="K147" s="7"/>
      <c r="V147" s="5">
        <f t="shared" si="10"/>
        <v>0</v>
      </c>
      <c r="W147" s="5">
        <f t="shared" si="11"/>
        <v>1</v>
      </c>
    </row>
    <row r="148" spans="1:23" s="36" customFormat="1" x14ac:dyDescent="0.3">
      <c r="A148" s="6"/>
      <c r="B148" s="17">
        <f t="shared" si="12"/>
        <v>12</v>
      </c>
      <c r="C148" s="18">
        <v>44753</v>
      </c>
      <c r="D148" s="19" t="s">
        <v>18</v>
      </c>
      <c r="E148" s="19" t="s">
        <v>426</v>
      </c>
      <c r="F148" s="35">
        <v>100</v>
      </c>
      <c r="G148" s="35">
        <v>130</v>
      </c>
      <c r="H148" s="35">
        <v>30</v>
      </c>
      <c r="I148" s="20">
        <v>300</v>
      </c>
      <c r="J148" s="21">
        <f t="shared" si="9"/>
        <v>9000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13</v>
      </c>
      <c r="C149" s="18">
        <v>44753</v>
      </c>
      <c r="D149" s="19" t="s">
        <v>18</v>
      </c>
      <c r="E149" s="19" t="s">
        <v>679</v>
      </c>
      <c r="F149" s="35">
        <v>110</v>
      </c>
      <c r="G149" s="35">
        <v>123</v>
      </c>
      <c r="H149" s="35">
        <f>123-110</f>
        <v>13</v>
      </c>
      <c r="I149" s="20">
        <v>300</v>
      </c>
      <c r="J149" s="21">
        <f t="shared" si="9"/>
        <v>3900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14</v>
      </c>
      <c r="C150" s="18">
        <v>44754</v>
      </c>
      <c r="D150" s="19" t="s">
        <v>18</v>
      </c>
      <c r="E150" s="19" t="s">
        <v>679</v>
      </c>
      <c r="F150" s="77">
        <v>85</v>
      </c>
      <c r="G150" s="35">
        <v>95</v>
      </c>
      <c r="H150" s="78">
        <v>10</v>
      </c>
      <c r="I150" s="20">
        <v>300</v>
      </c>
      <c r="J150" s="21">
        <f t="shared" si="9"/>
        <v>3000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15</v>
      </c>
      <c r="C151" s="18">
        <v>44754</v>
      </c>
      <c r="D151" s="19" t="s">
        <v>18</v>
      </c>
      <c r="E151" s="19" t="s">
        <v>665</v>
      </c>
      <c r="F151" s="35">
        <v>90</v>
      </c>
      <c r="G151" s="35">
        <v>99</v>
      </c>
      <c r="H151" s="78">
        <v>9</v>
      </c>
      <c r="I151" s="20">
        <v>300</v>
      </c>
      <c r="J151" s="21">
        <f t="shared" si="9"/>
        <v>2700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16</v>
      </c>
      <c r="C152" s="18">
        <v>44755</v>
      </c>
      <c r="D152" s="19" t="s">
        <v>18</v>
      </c>
      <c r="E152" s="19" t="s">
        <v>644</v>
      </c>
      <c r="F152" s="35">
        <v>80</v>
      </c>
      <c r="G152" s="35">
        <v>104</v>
      </c>
      <c r="H152" s="78">
        <f>104-80</f>
        <v>24</v>
      </c>
      <c r="I152" s="20">
        <v>300</v>
      </c>
      <c r="J152" s="21">
        <f t="shared" si="9"/>
        <v>7200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17</v>
      </c>
      <c r="C153" s="18">
        <v>44755</v>
      </c>
      <c r="D153" s="19" t="s">
        <v>18</v>
      </c>
      <c r="E153" s="19" t="s">
        <v>682</v>
      </c>
      <c r="F153" s="35">
        <v>75</v>
      </c>
      <c r="G153" s="35">
        <v>65</v>
      </c>
      <c r="H153" s="78">
        <v>-10</v>
      </c>
      <c r="I153" s="20">
        <v>300</v>
      </c>
      <c r="J153" s="21">
        <f t="shared" si="9"/>
        <v>-3000</v>
      </c>
      <c r="K153" s="7"/>
      <c r="V153" s="5">
        <f t="shared" si="10"/>
        <v>0</v>
      </c>
      <c r="W153" s="5">
        <f t="shared" si="11"/>
        <v>1</v>
      </c>
    </row>
    <row r="154" spans="1:23" s="36" customFormat="1" x14ac:dyDescent="0.3">
      <c r="A154" s="6"/>
      <c r="B154" s="17">
        <f t="shared" si="12"/>
        <v>18</v>
      </c>
      <c r="C154" s="18">
        <v>44756</v>
      </c>
      <c r="D154" s="19" t="s">
        <v>18</v>
      </c>
      <c r="E154" s="19" t="s">
        <v>663</v>
      </c>
      <c r="F154" s="35">
        <v>80</v>
      </c>
      <c r="G154" s="35">
        <v>65</v>
      </c>
      <c r="H154" s="78">
        <v>-15</v>
      </c>
      <c r="I154" s="20">
        <v>300</v>
      </c>
      <c r="J154" s="21">
        <f t="shared" si="9"/>
        <v>-4500</v>
      </c>
      <c r="K154" s="7"/>
      <c r="V154" s="5">
        <f t="shared" si="10"/>
        <v>0</v>
      </c>
      <c r="W154" s="5">
        <f t="shared" si="11"/>
        <v>1</v>
      </c>
    </row>
    <row r="155" spans="1:23" s="36" customFormat="1" x14ac:dyDescent="0.3">
      <c r="A155" s="6"/>
      <c r="B155" s="17">
        <f t="shared" si="12"/>
        <v>19</v>
      </c>
      <c r="C155" s="18">
        <v>44756</v>
      </c>
      <c r="D155" s="19" t="s">
        <v>18</v>
      </c>
      <c r="E155" s="19" t="s">
        <v>644</v>
      </c>
      <c r="F155" s="35">
        <v>80</v>
      </c>
      <c r="G155" s="35">
        <v>110</v>
      </c>
      <c r="H155" s="78">
        <v>30</v>
      </c>
      <c r="I155" s="20">
        <v>300</v>
      </c>
      <c r="J155" s="21">
        <f t="shared" si="9"/>
        <v>9000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2"/>
        <v>20</v>
      </c>
      <c r="C156" s="18">
        <v>44757</v>
      </c>
      <c r="D156" s="19" t="s">
        <v>18</v>
      </c>
      <c r="E156" s="19" t="s">
        <v>417</v>
      </c>
      <c r="F156" s="35">
        <v>120</v>
      </c>
      <c r="G156" s="35">
        <v>138</v>
      </c>
      <c r="H156" s="35">
        <v>18</v>
      </c>
      <c r="I156" s="20">
        <v>300</v>
      </c>
      <c r="J156" s="21">
        <f t="shared" si="9"/>
        <v>5400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2"/>
        <v>21</v>
      </c>
      <c r="C157" s="18">
        <v>44757</v>
      </c>
      <c r="D157" s="19" t="s">
        <v>18</v>
      </c>
      <c r="E157" s="19" t="s">
        <v>415</v>
      </c>
      <c r="F157" s="35">
        <v>95</v>
      </c>
      <c r="G157" s="35">
        <v>115</v>
      </c>
      <c r="H157" s="35">
        <f>115-95</f>
        <v>20</v>
      </c>
      <c r="I157" s="20">
        <v>300</v>
      </c>
      <c r="J157" s="21">
        <f t="shared" si="9"/>
        <v>6000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2"/>
        <v>22</v>
      </c>
      <c r="C158" s="18">
        <v>44760</v>
      </c>
      <c r="D158" s="19" t="s">
        <v>18</v>
      </c>
      <c r="E158" s="19" t="s">
        <v>428</v>
      </c>
      <c r="F158" s="35">
        <v>85</v>
      </c>
      <c r="G158" s="35">
        <v>115</v>
      </c>
      <c r="H158" s="35">
        <f>115-85</f>
        <v>30</v>
      </c>
      <c r="I158" s="20">
        <v>300</v>
      </c>
      <c r="J158" s="21">
        <f t="shared" si="9"/>
        <v>9000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2"/>
        <v>23</v>
      </c>
      <c r="C159" s="18">
        <v>44760</v>
      </c>
      <c r="D159" s="19" t="s">
        <v>18</v>
      </c>
      <c r="E159" s="19" t="s">
        <v>683</v>
      </c>
      <c r="F159" s="35">
        <v>85</v>
      </c>
      <c r="G159" s="35">
        <v>70</v>
      </c>
      <c r="H159" s="35">
        <v>-15</v>
      </c>
      <c r="I159" s="20">
        <v>300</v>
      </c>
      <c r="J159" s="21">
        <f t="shared" si="9"/>
        <v>-4500</v>
      </c>
      <c r="K159" s="7"/>
      <c r="V159" s="5">
        <f t="shared" si="10"/>
        <v>0</v>
      </c>
      <c r="W159" s="5">
        <f t="shared" si="11"/>
        <v>1</v>
      </c>
    </row>
    <row r="160" spans="1:23" s="36" customFormat="1" x14ac:dyDescent="0.3">
      <c r="A160" s="6"/>
      <c r="B160" s="17">
        <f>B159+1</f>
        <v>24</v>
      </c>
      <c r="C160" s="18">
        <v>44761</v>
      </c>
      <c r="D160" s="19" t="s">
        <v>18</v>
      </c>
      <c r="E160" s="19" t="s">
        <v>431</v>
      </c>
      <c r="F160" s="35">
        <v>85</v>
      </c>
      <c r="G160" s="35">
        <v>115</v>
      </c>
      <c r="H160" s="35">
        <f>115-85</f>
        <v>30</v>
      </c>
      <c r="I160" s="20">
        <v>300</v>
      </c>
      <c r="J160" s="21">
        <f t="shared" si="9"/>
        <v>9000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ref="B161:B182" si="13">B160+1</f>
        <v>25</v>
      </c>
      <c r="C161" s="18">
        <v>44761</v>
      </c>
      <c r="D161" s="19" t="s">
        <v>18</v>
      </c>
      <c r="E161" s="19" t="s">
        <v>429</v>
      </c>
      <c r="F161" s="35">
        <v>85</v>
      </c>
      <c r="G161" s="35">
        <v>97</v>
      </c>
      <c r="H161" s="35">
        <f>97-85</f>
        <v>12</v>
      </c>
      <c r="I161" s="20">
        <v>300</v>
      </c>
      <c r="J161" s="21">
        <f t="shared" si="9"/>
        <v>3600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26</v>
      </c>
      <c r="C162" s="18">
        <v>44762</v>
      </c>
      <c r="D162" s="19" t="s">
        <v>18</v>
      </c>
      <c r="E162" s="19" t="s">
        <v>662</v>
      </c>
      <c r="F162" s="35">
        <v>95</v>
      </c>
      <c r="G162" s="35">
        <v>125</v>
      </c>
      <c r="H162" s="35">
        <f>125-95</f>
        <v>30</v>
      </c>
      <c r="I162" s="20">
        <v>300</v>
      </c>
      <c r="J162" s="21">
        <f t="shared" si="9"/>
        <v>9000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27</v>
      </c>
      <c r="C163" s="18">
        <v>44762</v>
      </c>
      <c r="D163" s="19" t="s">
        <v>18</v>
      </c>
      <c r="E163" s="19" t="s">
        <v>433</v>
      </c>
      <c r="F163" s="35">
        <v>85</v>
      </c>
      <c r="G163" s="35">
        <v>100</v>
      </c>
      <c r="H163" s="35">
        <v>15</v>
      </c>
      <c r="I163" s="20">
        <v>300</v>
      </c>
      <c r="J163" s="21">
        <f t="shared" si="9"/>
        <v>4500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28</v>
      </c>
      <c r="C164" s="18">
        <v>44763</v>
      </c>
      <c r="D164" s="19" t="s">
        <v>18</v>
      </c>
      <c r="E164" s="19" t="s">
        <v>662</v>
      </c>
      <c r="F164" s="35">
        <v>65</v>
      </c>
      <c r="G164" s="35">
        <v>50</v>
      </c>
      <c r="H164" s="35">
        <v>-15</v>
      </c>
      <c r="I164" s="20">
        <v>300</v>
      </c>
      <c r="J164" s="21">
        <f t="shared" si="9"/>
        <v>-4500</v>
      </c>
      <c r="K164" s="7"/>
      <c r="V164" s="5">
        <f t="shared" si="10"/>
        <v>0</v>
      </c>
      <c r="W164" s="5">
        <f t="shared" si="11"/>
        <v>1</v>
      </c>
    </row>
    <row r="165" spans="1:23" s="36" customFormat="1" x14ac:dyDescent="0.3">
      <c r="A165" s="6"/>
      <c r="B165" s="17">
        <f t="shared" si="13"/>
        <v>29</v>
      </c>
      <c r="C165" s="18">
        <v>44763</v>
      </c>
      <c r="D165" s="19" t="s">
        <v>18</v>
      </c>
      <c r="E165" s="19" t="s">
        <v>432</v>
      </c>
      <c r="F165" s="35">
        <v>85</v>
      </c>
      <c r="G165" s="35">
        <v>115</v>
      </c>
      <c r="H165" s="35">
        <v>30</v>
      </c>
      <c r="I165" s="20">
        <v>300</v>
      </c>
      <c r="J165" s="21">
        <f t="shared" si="9"/>
        <v>9000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3"/>
        <v>30</v>
      </c>
      <c r="C166" s="18">
        <v>44764</v>
      </c>
      <c r="D166" s="19" t="s">
        <v>18</v>
      </c>
      <c r="E166" s="19" t="s">
        <v>701</v>
      </c>
      <c r="F166" s="35">
        <v>90</v>
      </c>
      <c r="G166" s="35">
        <v>75</v>
      </c>
      <c r="H166" s="35">
        <v>-15</v>
      </c>
      <c r="I166" s="20">
        <v>300</v>
      </c>
      <c r="J166" s="21">
        <f t="shared" si="9"/>
        <v>-4500</v>
      </c>
      <c r="K166" s="7"/>
      <c r="V166" s="5">
        <f t="shared" si="10"/>
        <v>0</v>
      </c>
      <c r="W166" s="5">
        <f t="shared" si="11"/>
        <v>1</v>
      </c>
    </row>
    <row r="167" spans="1:23" s="36" customFormat="1" x14ac:dyDescent="0.3">
      <c r="A167" s="6"/>
      <c r="B167" s="17">
        <f t="shared" si="13"/>
        <v>31</v>
      </c>
      <c r="C167" s="18">
        <v>44764</v>
      </c>
      <c r="D167" s="19" t="s">
        <v>18</v>
      </c>
      <c r="E167" s="19" t="s">
        <v>701</v>
      </c>
      <c r="F167" s="35">
        <v>85</v>
      </c>
      <c r="G167" s="35">
        <v>115</v>
      </c>
      <c r="H167" s="35">
        <v>30</v>
      </c>
      <c r="I167" s="20">
        <v>300</v>
      </c>
      <c r="J167" s="21">
        <f t="shared" si="9"/>
        <v>9000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3"/>
        <v>32</v>
      </c>
      <c r="C168" s="18">
        <v>44767</v>
      </c>
      <c r="D168" s="19" t="s">
        <v>18</v>
      </c>
      <c r="E168" s="19" t="s">
        <v>662</v>
      </c>
      <c r="F168" s="35">
        <v>100</v>
      </c>
      <c r="G168" s="35">
        <v>130</v>
      </c>
      <c r="H168" s="35">
        <v>30</v>
      </c>
      <c r="I168" s="20">
        <v>300</v>
      </c>
      <c r="J168" s="21">
        <f t="shared" si="9"/>
        <v>9000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3"/>
        <v>33</v>
      </c>
      <c r="C169" s="18">
        <v>44767</v>
      </c>
      <c r="D169" s="19" t="s">
        <v>18</v>
      </c>
      <c r="E169" s="19" t="s">
        <v>438</v>
      </c>
      <c r="F169" s="35">
        <v>95</v>
      </c>
      <c r="G169" s="35">
        <v>101</v>
      </c>
      <c r="H169" s="35">
        <f>101-95</f>
        <v>6</v>
      </c>
      <c r="I169" s="20">
        <v>300</v>
      </c>
      <c r="J169" s="21">
        <f t="shared" si="9"/>
        <v>1800</v>
      </c>
      <c r="K169" s="7"/>
      <c r="V169" s="5">
        <f t="shared" si="10"/>
        <v>1</v>
      </c>
      <c r="W169" s="5">
        <f t="shared" si="11"/>
        <v>0</v>
      </c>
    </row>
    <row r="170" spans="1:23" s="36" customFormat="1" x14ac:dyDescent="0.3">
      <c r="A170" s="6"/>
      <c r="B170" s="17">
        <f t="shared" si="13"/>
        <v>34</v>
      </c>
      <c r="C170" s="18">
        <v>44768</v>
      </c>
      <c r="D170" s="19" t="s">
        <v>18</v>
      </c>
      <c r="E170" s="19" t="s">
        <v>438</v>
      </c>
      <c r="F170" s="35">
        <v>100</v>
      </c>
      <c r="G170" s="35">
        <v>117.9</v>
      </c>
      <c r="H170" s="35">
        <v>17.899999999999999</v>
      </c>
      <c r="I170" s="20">
        <v>300</v>
      </c>
      <c r="J170" s="21">
        <f t="shared" si="9"/>
        <v>5370</v>
      </c>
      <c r="K170" s="7"/>
      <c r="V170" s="5">
        <f t="shared" si="10"/>
        <v>1</v>
      </c>
      <c r="W170" s="5">
        <f t="shared" si="11"/>
        <v>0</v>
      </c>
    </row>
    <row r="171" spans="1:23" s="36" customFormat="1" x14ac:dyDescent="0.3">
      <c r="A171" s="6"/>
      <c r="B171" s="17">
        <f t="shared" si="13"/>
        <v>35</v>
      </c>
      <c r="C171" s="18">
        <v>44768</v>
      </c>
      <c r="D171" s="19" t="s">
        <v>18</v>
      </c>
      <c r="E171" s="19" t="s">
        <v>438</v>
      </c>
      <c r="F171" s="35">
        <v>85</v>
      </c>
      <c r="G171" s="35">
        <v>115</v>
      </c>
      <c r="H171" s="35">
        <f>115-85</f>
        <v>30</v>
      </c>
      <c r="I171" s="20">
        <v>300</v>
      </c>
      <c r="J171" s="21">
        <f t="shared" si="9"/>
        <v>9000</v>
      </c>
      <c r="K171" s="7"/>
      <c r="V171" s="5">
        <f t="shared" si="10"/>
        <v>1</v>
      </c>
      <c r="W171" s="5">
        <f t="shared" si="11"/>
        <v>0</v>
      </c>
    </row>
    <row r="172" spans="1:23" s="36" customFormat="1" x14ac:dyDescent="0.3">
      <c r="A172" s="6"/>
      <c r="B172" s="17">
        <f t="shared" si="13"/>
        <v>36</v>
      </c>
      <c r="C172" s="18">
        <v>44769</v>
      </c>
      <c r="D172" s="19" t="s">
        <v>18</v>
      </c>
      <c r="E172" s="19" t="s">
        <v>437</v>
      </c>
      <c r="F172" s="35">
        <v>80</v>
      </c>
      <c r="G172" s="35">
        <v>65</v>
      </c>
      <c r="H172" s="35">
        <v>-15</v>
      </c>
      <c r="I172" s="20">
        <v>300</v>
      </c>
      <c r="J172" s="21">
        <f t="shared" si="9"/>
        <v>-4500</v>
      </c>
      <c r="K172" s="7"/>
      <c r="V172" s="5">
        <f t="shared" si="10"/>
        <v>0</v>
      </c>
      <c r="W172" s="5">
        <f t="shared" si="11"/>
        <v>1</v>
      </c>
    </row>
    <row r="173" spans="1:23" s="36" customFormat="1" x14ac:dyDescent="0.3">
      <c r="A173" s="6"/>
      <c r="B173" s="17">
        <f t="shared" si="13"/>
        <v>37</v>
      </c>
      <c r="C173" s="18">
        <v>44769</v>
      </c>
      <c r="D173" s="19" t="s">
        <v>18</v>
      </c>
      <c r="E173" s="19" t="s">
        <v>434</v>
      </c>
      <c r="F173" s="35">
        <v>85</v>
      </c>
      <c r="G173" s="35">
        <v>115</v>
      </c>
      <c r="H173" s="35">
        <f>115-85</f>
        <v>30</v>
      </c>
      <c r="I173" s="20">
        <v>300</v>
      </c>
      <c r="J173" s="21">
        <f t="shared" si="9"/>
        <v>9000</v>
      </c>
      <c r="K173" s="7"/>
      <c r="V173" s="5">
        <f t="shared" si="10"/>
        <v>1</v>
      </c>
      <c r="W173" s="5">
        <f t="shared" si="11"/>
        <v>0</v>
      </c>
    </row>
    <row r="174" spans="1:23" s="36" customFormat="1" x14ac:dyDescent="0.3">
      <c r="A174" s="6"/>
      <c r="B174" s="17">
        <f t="shared" si="13"/>
        <v>38</v>
      </c>
      <c r="C174" s="18">
        <v>44770</v>
      </c>
      <c r="D174" s="19" t="s">
        <v>18</v>
      </c>
      <c r="E174" s="19" t="s">
        <v>701</v>
      </c>
      <c r="F174" s="35">
        <v>95</v>
      </c>
      <c r="G174" s="35">
        <v>125</v>
      </c>
      <c r="H174" s="35">
        <v>30</v>
      </c>
      <c r="I174" s="20">
        <v>300</v>
      </c>
      <c r="J174" s="21">
        <f t="shared" si="9"/>
        <v>9000</v>
      </c>
      <c r="K174" s="7"/>
      <c r="V174" s="5">
        <f t="shared" si="10"/>
        <v>1</v>
      </c>
      <c r="W174" s="5">
        <f t="shared" si="11"/>
        <v>0</v>
      </c>
    </row>
    <row r="175" spans="1:23" s="36" customFormat="1" x14ac:dyDescent="0.3">
      <c r="A175" s="6"/>
      <c r="B175" s="17">
        <f t="shared" si="13"/>
        <v>39</v>
      </c>
      <c r="C175" s="18">
        <v>44770</v>
      </c>
      <c r="D175" s="19" t="s">
        <v>18</v>
      </c>
      <c r="E175" s="19" t="s">
        <v>645</v>
      </c>
      <c r="F175" s="35">
        <v>100</v>
      </c>
      <c r="G175" s="35">
        <v>128</v>
      </c>
      <c r="H175" s="35">
        <v>28</v>
      </c>
      <c r="I175" s="20">
        <v>300</v>
      </c>
      <c r="J175" s="21">
        <f t="shared" si="9"/>
        <v>8400</v>
      </c>
      <c r="K175" s="7"/>
      <c r="V175" s="5">
        <f t="shared" si="10"/>
        <v>1</v>
      </c>
      <c r="W175" s="5">
        <f t="shared" si="11"/>
        <v>0</v>
      </c>
    </row>
    <row r="176" spans="1:23" s="36" customFormat="1" x14ac:dyDescent="0.3">
      <c r="A176" s="6"/>
      <c r="B176" s="17">
        <f t="shared" si="13"/>
        <v>40</v>
      </c>
      <c r="C176" s="18">
        <v>44771</v>
      </c>
      <c r="D176" s="19" t="s">
        <v>18</v>
      </c>
      <c r="E176" s="19" t="s">
        <v>586</v>
      </c>
      <c r="F176" s="35">
        <v>100</v>
      </c>
      <c r="G176" s="35">
        <v>106</v>
      </c>
      <c r="H176" s="35">
        <v>6</v>
      </c>
      <c r="I176" s="20">
        <v>300</v>
      </c>
      <c r="J176" s="21">
        <f t="shared" si="9"/>
        <v>1800</v>
      </c>
      <c r="K176" s="7"/>
      <c r="V176" s="5">
        <f t="shared" si="10"/>
        <v>1</v>
      </c>
      <c r="W176" s="5">
        <f t="shared" si="11"/>
        <v>0</v>
      </c>
    </row>
    <row r="177" spans="1:23" s="36" customFormat="1" x14ac:dyDescent="0.3">
      <c r="A177" s="6"/>
      <c r="B177" s="17">
        <f t="shared" si="13"/>
        <v>41</v>
      </c>
      <c r="C177" s="18">
        <v>44771</v>
      </c>
      <c r="D177" s="19" t="s">
        <v>18</v>
      </c>
      <c r="E177" s="19" t="s">
        <v>642</v>
      </c>
      <c r="F177" s="35">
        <v>125</v>
      </c>
      <c r="G177" s="35">
        <v>138</v>
      </c>
      <c r="H177" s="35">
        <f>138-125</f>
        <v>13</v>
      </c>
      <c r="I177" s="20">
        <v>300</v>
      </c>
      <c r="J177" s="21">
        <f t="shared" si="9"/>
        <v>3900</v>
      </c>
      <c r="K177" s="7"/>
      <c r="V177" s="5">
        <f t="shared" si="10"/>
        <v>1</v>
      </c>
      <c r="W177" s="5">
        <f t="shared" si="11"/>
        <v>0</v>
      </c>
    </row>
    <row r="178" spans="1:23" s="36" customFormat="1" x14ac:dyDescent="0.3">
      <c r="A178" s="6"/>
      <c r="B178" s="17">
        <f t="shared" si="13"/>
        <v>42</v>
      </c>
      <c r="C178" s="18"/>
      <c r="D178" s="19"/>
      <c r="E178" s="19"/>
      <c r="F178" s="35"/>
      <c r="G178" s="35"/>
      <c r="H178" s="35"/>
      <c r="I178" s="20"/>
      <c r="J178" s="21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x14ac:dyDescent="0.3">
      <c r="A179" s="6"/>
      <c r="B179" s="17">
        <f t="shared" si="13"/>
        <v>43</v>
      </c>
      <c r="C179" s="18"/>
      <c r="D179" s="19"/>
      <c r="E179" s="19"/>
      <c r="F179" s="35"/>
      <c r="G179" s="35"/>
      <c r="H179" s="35"/>
      <c r="I179" s="20"/>
      <c r="J179" s="21">
        <f t="shared" si="9"/>
        <v>0</v>
      </c>
      <c r="K179" s="7"/>
      <c r="V179" s="5">
        <f t="shared" si="10"/>
        <v>0</v>
      </c>
      <c r="W179" s="5">
        <f t="shared" si="11"/>
        <v>0</v>
      </c>
    </row>
    <row r="180" spans="1:23" s="36" customFormat="1" x14ac:dyDescent="0.3">
      <c r="A180" s="6"/>
      <c r="B180" s="17">
        <f t="shared" si="13"/>
        <v>44</v>
      </c>
      <c r="C180" s="18"/>
      <c r="D180" s="19"/>
      <c r="E180" s="19"/>
      <c r="F180" s="35"/>
      <c r="G180" s="35"/>
      <c r="H180" s="35"/>
      <c r="I180" s="20"/>
      <c r="J180" s="21">
        <f t="shared" si="9"/>
        <v>0</v>
      </c>
      <c r="K180" s="7"/>
      <c r="V180" s="5">
        <f t="shared" si="10"/>
        <v>0</v>
      </c>
      <c r="W180" s="5">
        <f t="shared" si="11"/>
        <v>0</v>
      </c>
    </row>
    <row r="181" spans="1:23" s="36" customFormat="1" x14ac:dyDescent="0.3">
      <c r="A181" s="6"/>
      <c r="B181" s="17">
        <f t="shared" si="13"/>
        <v>45</v>
      </c>
      <c r="C181" s="18"/>
      <c r="D181" s="19"/>
      <c r="E181" s="19"/>
      <c r="F181" s="35"/>
      <c r="G181" s="35"/>
      <c r="H181" s="35"/>
      <c r="I181" s="20"/>
      <c r="J181" s="21">
        <f t="shared" si="9"/>
        <v>0</v>
      </c>
      <c r="K181" s="7"/>
      <c r="V181" s="5">
        <f t="shared" si="10"/>
        <v>0</v>
      </c>
      <c r="W181" s="5">
        <f t="shared" si="11"/>
        <v>0</v>
      </c>
    </row>
    <row r="182" spans="1:23" s="36" customFormat="1" ht="15" thickBot="1" x14ac:dyDescent="0.35">
      <c r="A182" s="6"/>
      <c r="B182" s="95">
        <f t="shared" si="13"/>
        <v>46</v>
      </c>
      <c r="C182" s="79"/>
      <c r="D182" s="80"/>
      <c r="E182" s="80"/>
      <c r="F182" s="96"/>
      <c r="G182" s="96"/>
      <c r="H182" s="96"/>
      <c r="I182" s="81"/>
      <c r="J182" s="82">
        <f t="shared" si="9"/>
        <v>0</v>
      </c>
      <c r="K182" s="7"/>
      <c r="V182" s="5">
        <f t="shared" si="10"/>
        <v>0</v>
      </c>
      <c r="W182" s="5">
        <f t="shared" si="11"/>
        <v>0</v>
      </c>
    </row>
    <row r="183" spans="1:23" s="36" customFormat="1" ht="24" thickBot="1" x14ac:dyDescent="0.5">
      <c r="A183" s="6"/>
      <c r="B183" s="165" t="s">
        <v>22</v>
      </c>
      <c r="C183" s="166"/>
      <c r="D183" s="166"/>
      <c r="E183" s="166"/>
      <c r="F183" s="166"/>
      <c r="G183" s="166"/>
      <c r="H183" s="167"/>
      <c r="I183" s="83" t="s">
        <v>23</v>
      </c>
      <c r="J183" s="84">
        <f>SUM(J137:J182)</f>
        <v>153240</v>
      </c>
      <c r="K183" s="7"/>
      <c r="L183" s="5"/>
      <c r="M183" s="5"/>
      <c r="N183" s="5"/>
      <c r="O183" s="5"/>
      <c r="P183" s="5"/>
      <c r="Q183" s="5"/>
      <c r="R183" s="5"/>
      <c r="V183" s="36">
        <f>SUM(V137:V182)</f>
        <v>31</v>
      </c>
      <c r="W183" s="36">
        <f>SUM(W137:W182)</f>
        <v>10</v>
      </c>
    </row>
    <row r="184" spans="1:23" s="36" customFormat="1" ht="30" customHeight="1" thickBot="1" x14ac:dyDescent="0.35">
      <c r="A184" s="30"/>
      <c r="B184" s="31"/>
      <c r="C184" s="31"/>
      <c r="D184" s="31"/>
      <c r="E184" s="31"/>
      <c r="F184" s="31"/>
      <c r="G184" s="31"/>
      <c r="H184" s="32"/>
      <c r="I184" s="31"/>
      <c r="J184" s="32"/>
      <c r="K184" s="33"/>
      <c r="L184" s="5"/>
      <c r="M184" s="5"/>
      <c r="N184" s="5"/>
      <c r="O184" s="5"/>
      <c r="P184" s="5"/>
      <c r="Q184" s="5"/>
      <c r="R184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B129:H129"/>
    <mergeCell ref="B133:J133"/>
    <mergeCell ref="B134:J134"/>
    <mergeCell ref="B135:J135"/>
    <mergeCell ref="B183:H183"/>
  </mergeCells>
  <hyperlinks>
    <hyperlink ref="B59" r:id="rId1" xr:uid="{00000000-0004-0000-1800-000000000000}"/>
    <hyperlink ref="B129" r:id="rId2" xr:uid="{00000000-0004-0000-1800-000001000000}"/>
    <hyperlink ref="B183" r:id="rId3" xr:uid="{00000000-0004-0000-1800-000002000000}"/>
    <hyperlink ref="M1" location="MASTER!A1" display="Back" xr:uid="{00000000-0004-0000-1800-000003000000}"/>
    <hyperlink ref="M6:M7" location="'MAR 2022'!A70" display="EXTRA STOCK FUTURE" xr:uid="{00000000-0004-0000-1800-000004000000}"/>
    <hyperlink ref="M8:M9" location="'MAR 2022'!A140" display="EXTRA NIFTY OPTION" xr:uid="{00000000-0004-0000-1800-000005000000}"/>
  </hyperlinks>
  <pageMargins left="0" right="0" top="0" bottom="0" header="0" footer="0"/>
  <pageSetup paperSize="9" orientation="portrait" r:id="rId4"/>
  <drawing r:id="rId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184"/>
  <sheetViews>
    <sheetView zoomScaleNormal="100" workbookViewId="0"/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44774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95" t="s">
        <v>107</v>
      </c>
      <c r="N4" s="111">
        <f>COUNT(C6:C58)</f>
        <v>36</v>
      </c>
      <c r="O4" s="113">
        <f>V59</f>
        <v>31</v>
      </c>
      <c r="P4" s="113">
        <v>5</v>
      </c>
      <c r="Q4" s="197">
        <f>N4-O4-P4</f>
        <v>0</v>
      </c>
      <c r="R4" s="199">
        <f>O4/N4</f>
        <v>0.86111111111111116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96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44774</v>
      </c>
      <c r="D6" s="90" t="s">
        <v>18</v>
      </c>
      <c r="E6" s="90" t="s">
        <v>614</v>
      </c>
      <c r="F6" s="90">
        <v>120</v>
      </c>
      <c r="G6" s="90">
        <v>145</v>
      </c>
      <c r="H6" s="91">
        <v>25</v>
      </c>
      <c r="I6" s="90">
        <v>100</v>
      </c>
      <c r="J6" s="92">
        <f t="shared" ref="J6:J58" si="0">H6*I6</f>
        <v>2500</v>
      </c>
      <c r="K6" s="7"/>
      <c r="M6" s="213" t="s">
        <v>108</v>
      </c>
      <c r="N6" s="112">
        <f>COUNT(C67:C128)</f>
        <v>34</v>
      </c>
      <c r="O6" s="113">
        <v>33</v>
      </c>
      <c r="P6" s="113">
        <v>1</v>
      </c>
      <c r="Q6" s="198">
        <v>0</v>
      </c>
      <c r="R6" s="203">
        <f t="shared" ref="R6" si="1">O6/N6</f>
        <v>0.97058823529411764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ht="15" thickBot="1" x14ac:dyDescent="0.35">
      <c r="A7" s="6"/>
      <c r="B7" s="17">
        <v>2</v>
      </c>
      <c r="C7" s="85">
        <v>44774</v>
      </c>
      <c r="D7" s="86" t="s">
        <v>18</v>
      </c>
      <c r="E7" s="86" t="s">
        <v>622</v>
      </c>
      <c r="F7" s="86">
        <v>130</v>
      </c>
      <c r="G7" s="86">
        <v>147</v>
      </c>
      <c r="H7" s="87">
        <v>17</v>
      </c>
      <c r="I7" s="86">
        <v>100</v>
      </c>
      <c r="J7" s="21">
        <f t="shared" si="0"/>
        <v>1700</v>
      </c>
      <c r="K7" s="7"/>
      <c r="M7" s="213"/>
      <c r="N7" s="112"/>
      <c r="O7" s="114"/>
      <c r="P7" s="114"/>
      <c r="Q7" s="198"/>
      <c r="R7" s="200"/>
      <c r="V7" s="5">
        <f t="shared" si="2"/>
        <v>1</v>
      </c>
      <c r="W7" s="5">
        <f t="shared" si="3"/>
        <v>0</v>
      </c>
    </row>
    <row r="8" spans="1:23" x14ac:dyDescent="0.3">
      <c r="A8" s="6"/>
      <c r="B8" s="88">
        <v>3</v>
      </c>
      <c r="C8" s="85">
        <v>44775</v>
      </c>
      <c r="D8" s="86" t="s">
        <v>18</v>
      </c>
      <c r="E8" s="86" t="s">
        <v>571</v>
      </c>
      <c r="F8" s="86">
        <v>150</v>
      </c>
      <c r="G8" s="86">
        <v>160</v>
      </c>
      <c r="H8" s="87">
        <v>10</v>
      </c>
      <c r="I8" s="86">
        <v>100</v>
      </c>
      <c r="J8" s="21">
        <f t="shared" si="0"/>
        <v>1000</v>
      </c>
      <c r="K8" s="7"/>
      <c r="M8" s="214" t="s">
        <v>194</v>
      </c>
      <c r="N8" s="112">
        <f>COUNT(C137:C182)</f>
        <v>32</v>
      </c>
      <c r="O8" s="114">
        <f>V183</f>
        <v>30</v>
      </c>
      <c r="P8" s="113">
        <v>2</v>
      </c>
      <c r="Q8" s="198">
        <v>0</v>
      </c>
      <c r="R8" s="203">
        <f t="shared" ref="R8:R10" si="4">O8/N8</f>
        <v>0.9375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44775</v>
      </c>
      <c r="D9" s="86" t="s">
        <v>18</v>
      </c>
      <c r="E9" s="86" t="s">
        <v>505</v>
      </c>
      <c r="F9" s="86">
        <v>140</v>
      </c>
      <c r="G9" s="86">
        <v>179</v>
      </c>
      <c r="H9" s="87">
        <v>39</v>
      </c>
      <c r="I9" s="86">
        <v>100</v>
      </c>
      <c r="J9" s="21">
        <f t="shared" si="0"/>
        <v>3900</v>
      </c>
      <c r="K9" s="7"/>
      <c r="M9" s="215"/>
      <c r="N9" s="184"/>
      <c r="O9" s="172"/>
      <c r="P9" s="114"/>
      <c r="Q9" s="174"/>
      <c r="R9" s="204"/>
      <c r="V9" s="5">
        <f t="shared" si="2"/>
        <v>1</v>
      </c>
      <c r="W9" s="5">
        <f t="shared" si="3"/>
        <v>0</v>
      </c>
    </row>
    <row r="10" spans="1:23" ht="16.5" customHeight="1" x14ac:dyDescent="0.3">
      <c r="A10" s="6"/>
      <c r="B10" s="88">
        <v>5</v>
      </c>
      <c r="C10" s="85">
        <v>44775</v>
      </c>
      <c r="D10" s="86" t="s">
        <v>18</v>
      </c>
      <c r="E10" s="86" t="s">
        <v>571</v>
      </c>
      <c r="F10" s="86">
        <v>150</v>
      </c>
      <c r="G10" s="86">
        <v>100</v>
      </c>
      <c r="H10" s="87">
        <v>-50</v>
      </c>
      <c r="I10" s="86">
        <v>100</v>
      </c>
      <c r="J10" s="21">
        <f t="shared" si="0"/>
        <v>-5000</v>
      </c>
      <c r="K10" s="7"/>
      <c r="M10" s="207" t="s">
        <v>19</v>
      </c>
      <c r="N10" s="149">
        <f>SUM(N4:N9)</f>
        <v>102</v>
      </c>
      <c r="O10" s="209">
        <f>SUM(O4:O9)</f>
        <v>94</v>
      </c>
      <c r="P10" s="209">
        <f>SUM(P4:P9)</f>
        <v>8</v>
      </c>
      <c r="Q10" s="211">
        <f>SUM(Q4:Q9)</f>
        <v>0</v>
      </c>
      <c r="R10" s="199">
        <f t="shared" si="4"/>
        <v>0.92156862745098034</v>
      </c>
      <c r="V10" s="5">
        <f t="shared" si="2"/>
        <v>0</v>
      </c>
      <c r="W10" s="5">
        <f t="shared" si="3"/>
        <v>1</v>
      </c>
    </row>
    <row r="11" spans="1:23" ht="15.75" customHeight="1" thickBot="1" x14ac:dyDescent="0.35">
      <c r="A11" s="6"/>
      <c r="B11" s="17">
        <v>6</v>
      </c>
      <c r="C11" s="85">
        <v>44776</v>
      </c>
      <c r="D11" s="86" t="s">
        <v>18</v>
      </c>
      <c r="E11" s="86" t="s">
        <v>465</v>
      </c>
      <c r="F11" s="86">
        <v>140</v>
      </c>
      <c r="G11" s="86">
        <v>190</v>
      </c>
      <c r="H11" s="87">
        <v>50</v>
      </c>
      <c r="I11" s="86">
        <v>100</v>
      </c>
      <c r="J11" s="21">
        <f t="shared" si="0"/>
        <v>5000</v>
      </c>
      <c r="K11" s="7"/>
      <c r="M11" s="208"/>
      <c r="N11" s="150"/>
      <c r="O11" s="210"/>
      <c r="P11" s="210"/>
      <c r="Q11" s="212"/>
      <c r="R11" s="204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44776</v>
      </c>
      <c r="D12" s="86" t="s">
        <v>18</v>
      </c>
      <c r="E12" s="86" t="s">
        <v>465</v>
      </c>
      <c r="F12" s="86">
        <v>150</v>
      </c>
      <c r="G12" s="86">
        <v>184</v>
      </c>
      <c r="H12" s="87">
        <v>34</v>
      </c>
      <c r="I12" s="86">
        <v>100</v>
      </c>
      <c r="J12" s="21">
        <f t="shared" si="0"/>
        <v>3400</v>
      </c>
      <c r="K12" s="7"/>
      <c r="M12" s="126" t="s">
        <v>20</v>
      </c>
      <c r="N12" s="130"/>
      <c r="O12" s="131"/>
      <c r="P12" s="138">
        <f>R10</f>
        <v>0.92156862745098034</v>
      </c>
      <c r="Q12" s="139"/>
      <c r="R12" s="137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44777</v>
      </c>
      <c r="D13" s="86" t="s">
        <v>18</v>
      </c>
      <c r="E13" s="86" t="s">
        <v>505</v>
      </c>
      <c r="F13" s="86">
        <v>150</v>
      </c>
      <c r="G13" s="86">
        <v>100</v>
      </c>
      <c r="H13" s="87">
        <v>-50</v>
      </c>
      <c r="I13" s="86">
        <v>100</v>
      </c>
      <c r="J13" s="21">
        <f t="shared" si="0"/>
        <v>-5000</v>
      </c>
      <c r="K13" s="7"/>
      <c r="M13" s="129"/>
      <c r="N13" s="130"/>
      <c r="O13" s="131"/>
      <c r="P13" s="138"/>
      <c r="Q13" s="139"/>
      <c r="R13" s="140"/>
      <c r="V13" s="5">
        <f t="shared" si="2"/>
        <v>0</v>
      </c>
      <c r="W13" s="5">
        <f t="shared" si="3"/>
        <v>1</v>
      </c>
    </row>
    <row r="14" spans="1:23" ht="15.75" customHeight="1" thickBot="1" x14ac:dyDescent="0.35">
      <c r="A14" s="6"/>
      <c r="B14" s="88">
        <v>9</v>
      </c>
      <c r="C14" s="85">
        <v>44778</v>
      </c>
      <c r="D14" s="86" t="s">
        <v>18</v>
      </c>
      <c r="E14" s="86" t="s">
        <v>457</v>
      </c>
      <c r="F14" s="86">
        <v>140</v>
      </c>
      <c r="G14" s="86">
        <v>172</v>
      </c>
      <c r="H14" s="87">
        <v>32</v>
      </c>
      <c r="I14" s="86">
        <v>100</v>
      </c>
      <c r="J14" s="21">
        <f t="shared" si="0"/>
        <v>3200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44778</v>
      </c>
      <c r="D15" s="86" t="s">
        <v>18</v>
      </c>
      <c r="E15" s="86" t="s">
        <v>615</v>
      </c>
      <c r="F15" s="86">
        <v>150</v>
      </c>
      <c r="G15" s="86">
        <v>177</v>
      </c>
      <c r="H15" s="87">
        <v>27</v>
      </c>
      <c r="I15" s="86">
        <v>100</v>
      </c>
      <c r="J15" s="21">
        <f t="shared" si="0"/>
        <v>2700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18">
        <v>44781</v>
      </c>
      <c r="D16" s="19" t="s">
        <v>18</v>
      </c>
      <c r="E16" s="19" t="s">
        <v>571</v>
      </c>
      <c r="F16" s="35">
        <v>140</v>
      </c>
      <c r="G16" s="35">
        <v>240</v>
      </c>
      <c r="H16" s="35">
        <v>100</v>
      </c>
      <c r="I16" s="20">
        <v>100</v>
      </c>
      <c r="J16" s="21">
        <f t="shared" si="0"/>
        <v>10000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18">
        <v>44781</v>
      </c>
      <c r="D17" s="19" t="s">
        <v>18</v>
      </c>
      <c r="E17" s="19" t="s">
        <v>461</v>
      </c>
      <c r="F17" s="35">
        <v>120</v>
      </c>
      <c r="G17" s="35">
        <v>220</v>
      </c>
      <c r="H17" s="35">
        <v>100</v>
      </c>
      <c r="I17" s="20">
        <v>100</v>
      </c>
      <c r="J17" s="21">
        <f t="shared" si="0"/>
        <v>10000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18">
        <v>44783</v>
      </c>
      <c r="D18" s="19" t="s">
        <v>18</v>
      </c>
      <c r="E18" s="19" t="s">
        <v>635</v>
      </c>
      <c r="F18" s="35">
        <v>150</v>
      </c>
      <c r="G18" s="35">
        <v>169</v>
      </c>
      <c r="H18" s="35">
        <v>19</v>
      </c>
      <c r="I18" s="20">
        <v>100</v>
      </c>
      <c r="J18" s="21">
        <f t="shared" si="0"/>
        <v>1900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18">
        <v>44783</v>
      </c>
      <c r="D19" s="19" t="s">
        <v>18</v>
      </c>
      <c r="E19" s="19" t="s">
        <v>461</v>
      </c>
      <c r="F19" s="35">
        <v>120</v>
      </c>
      <c r="G19" s="35">
        <v>138</v>
      </c>
      <c r="H19" s="35">
        <v>18</v>
      </c>
      <c r="I19" s="20">
        <v>100</v>
      </c>
      <c r="J19" s="21">
        <f t="shared" si="0"/>
        <v>1800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18">
        <v>44785</v>
      </c>
      <c r="D20" s="19" t="s">
        <v>18</v>
      </c>
      <c r="E20" s="19" t="s">
        <v>705</v>
      </c>
      <c r="F20" s="35">
        <v>130</v>
      </c>
      <c r="G20" s="35">
        <v>180</v>
      </c>
      <c r="H20" s="78">
        <v>50</v>
      </c>
      <c r="I20" s="20">
        <v>100</v>
      </c>
      <c r="J20" s="21">
        <f t="shared" si="0"/>
        <v>5000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18">
        <v>44785</v>
      </c>
      <c r="D21" s="19" t="s">
        <v>18</v>
      </c>
      <c r="E21" s="19" t="s">
        <v>554</v>
      </c>
      <c r="F21" s="35">
        <v>140</v>
      </c>
      <c r="G21" s="35">
        <v>120</v>
      </c>
      <c r="H21" s="35">
        <v>-20</v>
      </c>
      <c r="I21" s="20">
        <v>100</v>
      </c>
      <c r="J21" s="21">
        <f t="shared" si="0"/>
        <v>-2000</v>
      </c>
      <c r="K21" s="7"/>
      <c r="O21" s="22"/>
      <c r="P21" s="22"/>
      <c r="Q21" s="22"/>
      <c r="R21" s="22"/>
      <c r="V21" s="5">
        <f t="shared" si="2"/>
        <v>0</v>
      </c>
      <c r="W21" s="5">
        <f t="shared" si="3"/>
        <v>1</v>
      </c>
    </row>
    <row r="22" spans="1:23" x14ac:dyDescent="0.3">
      <c r="A22" s="6"/>
      <c r="B22" s="88">
        <v>17</v>
      </c>
      <c r="C22" s="18">
        <v>44789</v>
      </c>
      <c r="D22" s="19" t="s">
        <v>18</v>
      </c>
      <c r="E22" s="19" t="s">
        <v>710</v>
      </c>
      <c r="F22" s="35">
        <v>130</v>
      </c>
      <c r="G22" s="35">
        <v>222</v>
      </c>
      <c r="H22" s="35">
        <f>222-130</f>
        <v>92</v>
      </c>
      <c r="I22" s="20">
        <v>100</v>
      </c>
      <c r="J22" s="21">
        <f t="shared" si="0"/>
        <v>9200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44789</v>
      </c>
      <c r="D23" s="19" t="s">
        <v>18</v>
      </c>
      <c r="E23" s="19" t="s">
        <v>711</v>
      </c>
      <c r="F23" s="35">
        <v>150</v>
      </c>
      <c r="G23" s="35">
        <v>199</v>
      </c>
      <c r="H23" s="35">
        <f>199-150</f>
        <v>49</v>
      </c>
      <c r="I23" s="20">
        <v>100</v>
      </c>
      <c r="J23" s="21">
        <f t="shared" si="0"/>
        <v>4900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44790</v>
      </c>
      <c r="D24" s="19" t="s">
        <v>18</v>
      </c>
      <c r="E24" s="19" t="s">
        <v>554</v>
      </c>
      <c r="F24" s="35">
        <v>150</v>
      </c>
      <c r="G24" s="35">
        <v>220</v>
      </c>
      <c r="H24" s="35">
        <f>220-150</f>
        <v>70</v>
      </c>
      <c r="I24" s="20">
        <v>100</v>
      </c>
      <c r="J24" s="21">
        <f t="shared" si="0"/>
        <v>7000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44790</v>
      </c>
      <c r="D25" s="19" t="s">
        <v>18</v>
      </c>
      <c r="E25" s="19" t="s">
        <v>711</v>
      </c>
      <c r="F25" s="35">
        <v>130</v>
      </c>
      <c r="G25" s="35">
        <v>150</v>
      </c>
      <c r="H25" s="35">
        <v>20</v>
      </c>
      <c r="I25" s="20">
        <v>100</v>
      </c>
      <c r="J25" s="21">
        <f t="shared" si="0"/>
        <v>2000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44791</v>
      </c>
      <c r="D26" s="19" t="s">
        <v>18</v>
      </c>
      <c r="E26" s="19" t="s">
        <v>712</v>
      </c>
      <c r="F26" s="35">
        <v>100</v>
      </c>
      <c r="G26" s="35">
        <v>198</v>
      </c>
      <c r="H26" s="35">
        <v>98</v>
      </c>
      <c r="I26" s="20">
        <v>100</v>
      </c>
      <c r="J26" s="21">
        <f t="shared" si="0"/>
        <v>9800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44791</v>
      </c>
      <c r="D27" s="19" t="s">
        <v>18</v>
      </c>
      <c r="E27" s="19" t="s">
        <v>712</v>
      </c>
      <c r="F27" s="35">
        <v>70</v>
      </c>
      <c r="G27" s="35">
        <v>150</v>
      </c>
      <c r="H27" s="19">
        <f>150-70</f>
        <v>80</v>
      </c>
      <c r="I27" s="20">
        <v>100</v>
      </c>
      <c r="J27" s="21">
        <f t="shared" si="0"/>
        <v>8000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44792</v>
      </c>
      <c r="D28" s="19" t="s">
        <v>18</v>
      </c>
      <c r="E28" s="19" t="s">
        <v>713</v>
      </c>
      <c r="F28" s="35">
        <v>150</v>
      </c>
      <c r="G28" s="35">
        <v>250</v>
      </c>
      <c r="H28" s="19">
        <v>100</v>
      </c>
      <c r="I28" s="20">
        <v>100</v>
      </c>
      <c r="J28" s="21">
        <f t="shared" si="0"/>
        <v>10000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44792</v>
      </c>
      <c r="D29" s="19" t="s">
        <v>18</v>
      </c>
      <c r="E29" s="19" t="s">
        <v>711</v>
      </c>
      <c r="F29" s="20">
        <v>150</v>
      </c>
      <c r="G29" s="20">
        <v>250</v>
      </c>
      <c r="H29" s="19">
        <v>100</v>
      </c>
      <c r="I29" s="20">
        <v>100</v>
      </c>
      <c r="J29" s="21">
        <f t="shared" si="0"/>
        <v>10000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44795</v>
      </c>
      <c r="D30" s="25" t="s">
        <v>18</v>
      </c>
      <c r="E30" s="25" t="s">
        <v>557</v>
      </c>
      <c r="F30" s="26">
        <v>140</v>
      </c>
      <c r="G30" s="61">
        <v>190</v>
      </c>
      <c r="H30" s="61">
        <v>50</v>
      </c>
      <c r="I30" s="26">
        <v>100</v>
      </c>
      <c r="J30" s="21">
        <f t="shared" si="0"/>
        <v>5000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44795</v>
      </c>
      <c r="D31" s="25" t="s">
        <v>18</v>
      </c>
      <c r="E31" s="25" t="s">
        <v>635</v>
      </c>
      <c r="F31" s="26">
        <v>150</v>
      </c>
      <c r="G31" s="61">
        <v>175</v>
      </c>
      <c r="H31" s="61">
        <v>25</v>
      </c>
      <c r="I31" s="26">
        <v>100</v>
      </c>
      <c r="J31" s="21">
        <f t="shared" si="0"/>
        <v>2500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44796</v>
      </c>
      <c r="D32" s="25" t="s">
        <v>18</v>
      </c>
      <c r="E32" s="25" t="s">
        <v>463</v>
      </c>
      <c r="F32" s="26">
        <v>150</v>
      </c>
      <c r="G32" s="61">
        <v>220</v>
      </c>
      <c r="H32" s="61">
        <f>220-150</f>
        <v>70</v>
      </c>
      <c r="I32" s="26">
        <v>100</v>
      </c>
      <c r="J32" s="21">
        <f t="shared" si="0"/>
        <v>7000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44796</v>
      </c>
      <c r="D33" s="25" t="s">
        <v>18</v>
      </c>
      <c r="E33" s="25" t="s">
        <v>462</v>
      </c>
      <c r="F33" s="26">
        <v>130</v>
      </c>
      <c r="G33" s="61">
        <v>172</v>
      </c>
      <c r="H33" s="61">
        <f>172-130</f>
        <v>42</v>
      </c>
      <c r="I33" s="26">
        <v>100</v>
      </c>
      <c r="J33" s="21">
        <f t="shared" si="0"/>
        <v>4200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44797</v>
      </c>
      <c r="D34" s="25" t="s">
        <v>18</v>
      </c>
      <c r="E34" s="25" t="s">
        <v>637</v>
      </c>
      <c r="F34" s="26">
        <v>120</v>
      </c>
      <c r="G34" s="61">
        <v>70</v>
      </c>
      <c r="H34" s="61">
        <v>-50</v>
      </c>
      <c r="I34" s="26">
        <v>100</v>
      </c>
      <c r="J34" s="21">
        <f t="shared" si="0"/>
        <v>-5000</v>
      </c>
      <c r="K34" s="7"/>
      <c r="V34" s="5">
        <f t="shared" si="2"/>
        <v>0</v>
      </c>
      <c r="W34" s="5">
        <f t="shared" si="3"/>
        <v>1</v>
      </c>
    </row>
    <row r="35" spans="1:23" x14ac:dyDescent="0.3">
      <c r="A35" s="6"/>
      <c r="B35" s="17">
        <v>30</v>
      </c>
      <c r="C35" s="24">
        <v>44797</v>
      </c>
      <c r="D35" s="25" t="s">
        <v>18</v>
      </c>
      <c r="E35" s="25" t="s">
        <v>616</v>
      </c>
      <c r="F35" s="26">
        <v>120</v>
      </c>
      <c r="G35" s="61">
        <v>177</v>
      </c>
      <c r="H35" s="61">
        <f>177-120</f>
        <v>57</v>
      </c>
      <c r="I35" s="26">
        <v>100</v>
      </c>
      <c r="J35" s="21">
        <f t="shared" si="0"/>
        <v>5700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44798</v>
      </c>
      <c r="D36" s="25" t="s">
        <v>18</v>
      </c>
      <c r="E36" s="25" t="s">
        <v>511</v>
      </c>
      <c r="F36" s="26">
        <v>140</v>
      </c>
      <c r="G36" s="61">
        <v>90</v>
      </c>
      <c r="H36" s="61">
        <f>140-90</f>
        <v>50</v>
      </c>
      <c r="I36" s="26">
        <v>100</v>
      </c>
      <c r="J36" s="21">
        <f t="shared" si="0"/>
        <v>5000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44798</v>
      </c>
      <c r="D37" s="25" t="s">
        <v>18</v>
      </c>
      <c r="E37" s="25" t="s">
        <v>705</v>
      </c>
      <c r="F37" s="26">
        <v>120</v>
      </c>
      <c r="G37" s="61">
        <v>168</v>
      </c>
      <c r="H37" s="61">
        <f>168-120</f>
        <v>48</v>
      </c>
      <c r="I37" s="26">
        <v>100</v>
      </c>
      <c r="J37" s="21">
        <f t="shared" si="0"/>
        <v>4800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44799</v>
      </c>
      <c r="D38" s="25" t="s">
        <v>18</v>
      </c>
      <c r="E38" s="25" t="s">
        <v>638</v>
      </c>
      <c r="F38" s="26">
        <v>130</v>
      </c>
      <c r="G38" s="61">
        <v>230</v>
      </c>
      <c r="H38" s="61">
        <v>100</v>
      </c>
      <c r="I38" s="26">
        <v>100</v>
      </c>
      <c r="J38" s="21">
        <f t="shared" si="0"/>
        <v>10000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44799</v>
      </c>
      <c r="D39" s="25" t="s">
        <v>18</v>
      </c>
      <c r="E39" s="25" t="s">
        <v>714</v>
      </c>
      <c r="F39" s="26">
        <v>140</v>
      </c>
      <c r="G39" s="61">
        <v>90</v>
      </c>
      <c r="H39" s="61">
        <v>-50</v>
      </c>
      <c r="I39" s="26">
        <v>100</v>
      </c>
      <c r="J39" s="21">
        <f t="shared" si="0"/>
        <v>-5000</v>
      </c>
      <c r="K39" s="7"/>
      <c r="V39" s="5">
        <f t="shared" si="2"/>
        <v>0</v>
      </c>
      <c r="W39" s="5">
        <f t="shared" si="3"/>
        <v>1</v>
      </c>
    </row>
    <row r="40" spans="1:23" x14ac:dyDescent="0.3">
      <c r="A40" s="6"/>
      <c r="B40" s="88">
        <v>35</v>
      </c>
      <c r="C40" s="24">
        <v>44802</v>
      </c>
      <c r="D40" s="25" t="s">
        <v>18</v>
      </c>
      <c r="E40" s="25" t="s">
        <v>465</v>
      </c>
      <c r="F40" s="26">
        <v>130</v>
      </c>
      <c r="G40" s="61">
        <v>144</v>
      </c>
      <c r="H40" s="61">
        <f>144-130</f>
        <v>14</v>
      </c>
      <c r="I40" s="26">
        <v>100</v>
      </c>
      <c r="J40" s="21">
        <f t="shared" si="0"/>
        <v>1400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24">
        <v>44802</v>
      </c>
      <c r="D41" s="25" t="s">
        <v>18</v>
      </c>
      <c r="E41" s="25" t="s">
        <v>636</v>
      </c>
      <c r="F41" s="26">
        <v>140</v>
      </c>
      <c r="G41" s="61">
        <v>170</v>
      </c>
      <c r="H41" s="61">
        <v>30</v>
      </c>
      <c r="I41" s="26">
        <v>100</v>
      </c>
      <c r="J41" s="21">
        <f t="shared" si="0"/>
        <v>3000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24"/>
      <c r="D42" s="25"/>
      <c r="E42" s="25"/>
      <c r="F42" s="26"/>
      <c r="G42" s="61"/>
      <c r="H42" s="61"/>
      <c r="I42" s="26"/>
      <c r="J42" s="21">
        <f t="shared" si="0"/>
        <v>0</v>
      </c>
      <c r="K42" s="7"/>
      <c r="V42" s="5">
        <f t="shared" si="2"/>
        <v>0</v>
      </c>
      <c r="W42" s="5">
        <f t="shared" si="3"/>
        <v>0</v>
      </c>
    </row>
    <row r="43" spans="1:23" x14ac:dyDescent="0.3">
      <c r="A43" s="6"/>
      <c r="B43" s="17">
        <v>38</v>
      </c>
      <c r="C43" s="24"/>
      <c r="D43" s="25"/>
      <c r="E43" s="25"/>
      <c r="F43" s="26"/>
      <c r="G43" s="61"/>
      <c r="H43" s="61"/>
      <c r="I43" s="26"/>
      <c r="J43" s="21">
        <f t="shared" si="0"/>
        <v>0</v>
      </c>
      <c r="K43" s="7"/>
      <c r="V43" s="5">
        <f t="shared" si="2"/>
        <v>0</v>
      </c>
      <c r="W43" s="5">
        <f t="shared" si="3"/>
        <v>0</v>
      </c>
    </row>
    <row r="44" spans="1:23" x14ac:dyDescent="0.3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x14ac:dyDescent="0.3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x14ac:dyDescent="0.3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x14ac:dyDescent="0.3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x14ac:dyDescent="0.3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139600</v>
      </c>
      <c r="K59" s="7"/>
      <c r="V59" s="5">
        <f>SUM(V6:V58)</f>
        <v>31</v>
      </c>
      <c r="W59" s="5">
        <f>SUM(W6:W58)</f>
        <v>5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704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44774</v>
      </c>
      <c r="D67" s="67" t="s">
        <v>69</v>
      </c>
      <c r="E67" s="67" t="s">
        <v>302</v>
      </c>
      <c r="F67" s="68">
        <v>806</v>
      </c>
      <c r="G67" s="68">
        <v>803</v>
      </c>
      <c r="H67" s="97">
        <v>3</v>
      </c>
      <c r="I67" s="68">
        <v>900</v>
      </c>
      <c r="J67" s="92">
        <f>H67*I67</f>
        <v>2700</v>
      </c>
      <c r="K67" s="7"/>
      <c r="V67" s="5">
        <f t="shared" ref="V67:V128" si="5">IF($J67&gt;0,1,0)</f>
        <v>1</v>
      </c>
      <c r="W67" s="5">
        <f t="shared" ref="W67:W128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44775</v>
      </c>
      <c r="D68" s="67" t="s">
        <v>18</v>
      </c>
      <c r="E68" s="67" t="s">
        <v>142</v>
      </c>
      <c r="F68" s="97">
        <v>1395</v>
      </c>
      <c r="G68" s="97">
        <v>1404.5</v>
      </c>
      <c r="H68" s="97">
        <f>1404.5-1395</f>
        <v>9.5</v>
      </c>
      <c r="I68" s="20">
        <v>600</v>
      </c>
      <c r="J68" s="21">
        <f>H68*I68</f>
        <v>5700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8" si="7">B68+1</f>
        <v>3</v>
      </c>
      <c r="C69" s="18">
        <v>44775</v>
      </c>
      <c r="D69" s="19" t="s">
        <v>18</v>
      </c>
      <c r="E69" s="19" t="s">
        <v>291</v>
      </c>
      <c r="F69" s="35">
        <v>809</v>
      </c>
      <c r="G69" s="97">
        <v>812</v>
      </c>
      <c r="H69" s="35">
        <v>3</v>
      </c>
      <c r="I69" s="20">
        <v>1250</v>
      </c>
      <c r="J69" s="21">
        <f>H69*I69</f>
        <v>3750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44776</v>
      </c>
      <c r="D70" s="19" t="s">
        <v>18</v>
      </c>
      <c r="E70" s="19" t="s">
        <v>448</v>
      </c>
      <c r="F70" s="35">
        <v>2010</v>
      </c>
      <c r="G70" s="97">
        <v>1990</v>
      </c>
      <c r="H70" s="35">
        <v>-20</v>
      </c>
      <c r="I70" s="20">
        <v>250</v>
      </c>
      <c r="J70" s="21">
        <f>H70*I70</f>
        <v>-5000</v>
      </c>
      <c r="K70" s="7"/>
      <c r="V70" s="5">
        <f t="shared" si="5"/>
        <v>0</v>
      </c>
      <c r="W70" s="5">
        <f t="shared" si="6"/>
        <v>1</v>
      </c>
    </row>
    <row r="71" spans="1:23" s="36" customFormat="1" x14ac:dyDescent="0.3">
      <c r="A71" s="6"/>
      <c r="B71" s="17">
        <f t="shared" si="7"/>
        <v>5</v>
      </c>
      <c r="C71" s="18">
        <v>44777</v>
      </c>
      <c r="D71" s="19" t="s">
        <v>69</v>
      </c>
      <c r="E71" s="19" t="s">
        <v>71</v>
      </c>
      <c r="F71" s="35">
        <v>2595</v>
      </c>
      <c r="G71" s="97">
        <v>2555</v>
      </c>
      <c r="H71" s="35">
        <f>2595-2555</f>
        <v>40</v>
      </c>
      <c r="I71" s="20">
        <v>250</v>
      </c>
      <c r="J71" s="21">
        <f>H71*I71</f>
        <v>10000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44778</v>
      </c>
      <c r="D72" s="19" t="s">
        <v>18</v>
      </c>
      <c r="E72" s="19" t="s">
        <v>312</v>
      </c>
      <c r="F72" s="20">
        <v>1620</v>
      </c>
      <c r="G72" s="97">
        <v>1629.9</v>
      </c>
      <c r="H72" s="35">
        <v>9.9</v>
      </c>
      <c r="I72" s="20">
        <v>300</v>
      </c>
      <c r="J72" s="21">
        <f t="shared" ref="J72:J128" si="8">I72*H72</f>
        <v>2970</v>
      </c>
      <c r="K72" s="7"/>
      <c r="V72" s="5">
        <f t="shared" si="5"/>
        <v>1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>
        <v>44778</v>
      </c>
      <c r="D73" s="19" t="s">
        <v>18</v>
      </c>
      <c r="E73" s="19" t="s">
        <v>181</v>
      </c>
      <c r="F73" s="35">
        <v>2075</v>
      </c>
      <c r="G73" s="97">
        <v>2115</v>
      </c>
      <c r="H73" s="35">
        <f>2115-2075</f>
        <v>40</v>
      </c>
      <c r="I73" s="20">
        <v>300</v>
      </c>
      <c r="J73" s="21">
        <f t="shared" si="8"/>
        <v>12000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44781</v>
      </c>
      <c r="D74" s="19" t="s">
        <v>18</v>
      </c>
      <c r="E74" s="19" t="s">
        <v>71</v>
      </c>
      <c r="F74" s="35">
        <v>2570</v>
      </c>
      <c r="G74" s="97">
        <v>2584</v>
      </c>
      <c r="H74" s="35">
        <v>14</v>
      </c>
      <c r="I74" s="20">
        <v>250</v>
      </c>
      <c r="J74" s="21">
        <f t="shared" si="8"/>
        <v>3500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44783</v>
      </c>
      <c r="D75" s="19" t="s">
        <v>18</v>
      </c>
      <c r="E75" s="19" t="s">
        <v>390</v>
      </c>
      <c r="F75" s="35">
        <v>4490</v>
      </c>
      <c r="G75" s="97">
        <v>4580</v>
      </c>
      <c r="H75" s="35">
        <f>4580-4490</f>
        <v>90</v>
      </c>
      <c r="I75" s="20">
        <v>125</v>
      </c>
      <c r="J75" s="21">
        <f t="shared" si="8"/>
        <v>11250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44783</v>
      </c>
      <c r="D76" s="19" t="s">
        <v>18</v>
      </c>
      <c r="E76" s="19" t="s">
        <v>630</v>
      </c>
      <c r="F76" s="35">
        <v>915</v>
      </c>
      <c r="G76" s="97">
        <v>925</v>
      </c>
      <c r="H76" s="35">
        <v>10</v>
      </c>
      <c r="I76" s="20">
        <v>700</v>
      </c>
      <c r="J76" s="21">
        <f t="shared" si="8"/>
        <v>7000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>
        <v>44785</v>
      </c>
      <c r="D77" s="19" t="s">
        <v>18</v>
      </c>
      <c r="E77" s="19" t="s">
        <v>123</v>
      </c>
      <c r="F77" s="19">
        <v>893</v>
      </c>
      <c r="G77" s="97">
        <v>903</v>
      </c>
      <c r="H77" s="35">
        <f>903-893</f>
        <v>10</v>
      </c>
      <c r="I77" s="20">
        <v>800</v>
      </c>
      <c r="J77" s="21">
        <f t="shared" si="8"/>
        <v>8000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>
        <v>44785</v>
      </c>
      <c r="D78" s="19" t="s">
        <v>18</v>
      </c>
      <c r="E78" s="19" t="s">
        <v>602</v>
      </c>
      <c r="F78" s="35">
        <v>818</v>
      </c>
      <c r="G78" s="97">
        <v>824.4</v>
      </c>
      <c r="H78" s="35">
        <f>824.4-818</f>
        <v>6.3999999999999773</v>
      </c>
      <c r="I78" s="20">
        <v>850</v>
      </c>
      <c r="J78" s="21">
        <f t="shared" si="8"/>
        <v>5439.9999999999809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44789</v>
      </c>
      <c r="D79" s="19" t="s">
        <v>18</v>
      </c>
      <c r="E79" s="19" t="s">
        <v>706</v>
      </c>
      <c r="F79" s="35">
        <v>432</v>
      </c>
      <c r="G79" s="97">
        <v>432</v>
      </c>
      <c r="H79" s="35">
        <v>0</v>
      </c>
      <c r="I79" s="20">
        <v>1075</v>
      </c>
      <c r="J79" s="21">
        <f t="shared" si="8"/>
        <v>0</v>
      </c>
      <c r="K79" s="7"/>
      <c r="V79" s="5">
        <f t="shared" si="5"/>
        <v>0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44789</v>
      </c>
      <c r="D80" s="19" t="s">
        <v>18</v>
      </c>
      <c r="E80" s="19" t="s">
        <v>444</v>
      </c>
      <c r="F80" s="77">
        <v>3275</v>
      </c>
      <c r="G80" s="97">
        <v>3345</v>
      </c>
      <c r="H80" s="78">
        <f>3345-3275</f>
        <v>70</v>
      </c>
      <c r="I80" s="20">
        <v>350</v>
      </c>
      <c r="J80" s="21">
        <f t="shared" si="8"/>
        <v>24500</v>
      </c>
      <c r="K80" s="7"/>
      <c r="V80" s="5">
        <f t="shared" si="5"/>
        <v>1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>
        <v>44790</v>
      </c>
      <c r="D81" s="19" t="s">
        <v>18</v>
      </c>
      <c r="E81" s="19" t="s">
        <v>707</v>
      </c>
      <c r="F81" s="35">
        <v>4500</v>
      </c>
      <c r="G81" s="97">
        <v>4518</v>
      </c>
      <c r="H81" s="78">
        <v>18</v>
      </c>
      <c r="I81" s="20">
        <v>125</v>
      </c>
      <c r="J81" s="21">
        <f t="shared" si="8"/>
        <v>2250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>
        <v>44790</v>
      </c>
      <c r="D82" s="19" t="s">
        <v>18</v>
      </c>
      <c r="E82" s="19" t="s">
        <v>71</v>
      </c>
      <c r="F82" s="35">
        <v>2660</v>
      </c>
      <c r="G82" s="97">
        <v>2668</v>
      </c>
      <c r="H82" s="78">
        <v>8</v>
      </c>
      <c r="I82" s="20">
        <v>250</v>
      </c>
      <c r="J82" s="21">
        <f t="shared" si="8"/>
        <v>2000</v>
      </c>
      <c r="K82" s="7"/>
      <c r="V82" s="5">
        <f t="shared" si="5"/>
        <v>1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>
        <v>44791</v>
      </c>
      <c r="D83" s="19" t="s">
        <v>18</v>
      </c>
      <c r="E83" s="19" t="s">
        <v>708</v>
      </c>
      <c r="F83" s="35">
        <v>398</v>
      </c>
      <c r="G83" s="97">
        <v>401.35</v>
      </c>
      <c r="H83" s="35">
        <f>401.35-398</f>
        <v>3.3500000000000227</v>
      </c>
      <c r="I83" s="20">
        <v>1500</v>
      </c>
      <c r="J83" s="21">
        <f t="shared" si="8"/>
        <v>5025.0000000000346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>
        <v>44791</v>
      </c>
      <c r="D84" s="19" t="s">
        <v>18</v>
      </c>
      <c r="E84" s="19" t="s">
        <v>176</v>
      </c>
      <c r="F84" s="35">
        <v>2494</v>
      </c>
      <c r="G84" s="97">
        <v>2504</v>
      </c>
      <c r="H84" s="35">
        <f>2504-2494</f>
        <v>10</v>
      </c>
      <c r="I84" s="20">
        <v>300</v>
      </c>
      <c r="J84" s="21">
        <f t="shared" si="8"/>
        <v>3000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>
        <v>44792</v>
      </c>
      <c r="D85" s="19" t="s">
        <v>18</v>
      </c>
      <c r="E85" s="19" t="s">
        <v>377</v>
      </c>
      <c r="F85" s="35">
        <v>2345</v>
      </c>
      <c r="G85" s="97">
        <v>2365</v>
      </c>
      <c r="H85" s="35">
        <v>20</v>
      </c>
      <c r="I85" s="20">
        <v>250</v>
      </c>
      <c r="J85" s="21">
        <f t="shared" si="8"/>
        <v>5000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>
        <v>44792</v>
      </c>
      <c r="D86" s="19" t="s">
        <v>18</v>
      </c>
      <c r="E86" s="19" t="s">
        <v>623</v>
      </c>
      <c r="F86" s="35">
        <v>2055</v>
      </c>
      <c r="G86" s="97">
        <v>2068</v>
      </c>
      <c r="H86" s="35">
        <f>2068-2055</f>
        <v>13</v>
      </c>
      <c r="I86" s="20">
        <v>275</v>
      </c>
      <c r="J86" s="21">
        <f t="shared" si="8"/>
        <v>3575</v>
      </c>
      <c r="K86" s="7"/>
      <c r="V86" s="5">
        <f t="shared" si="5"/>
        <v>1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>
        <v>44795</v>
      </c>
      <c r="D87" s="19" t="s">
        <v>69</v>
      </c>
      <c r="E87" s="19" t="s">
        <v>93</v>
      </c>
      <c r="F87" s="35">
        <v>1473</v>
      </c>
      <c r="G87" s="97">
        <v>1476</v>
      </c>
      <c r="H87" s="35">
        <v>3</v>
      </c>
      <c r="I87" s="20">
        <v>550</v>
      </c>
      <c r="J87" s="21">
        <f t="shared" si="8"/>
        <v>1650</v>
      </c>
      <c r="K87" s="7"/>
      <c r="V87" s="5">
        <f t="shared" si="5"/>
        <v>1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>
        <v>44795</v>
      </c>
      <c r="D88" s="19" t="s">
        <v>69</v>
      </c>
      <c r="E88" s="19" t="s">
        <v>87</v>
      </c>
      <c r="F88" s="35">
        <v>1052</v>
      </c>
      <c r="G88" s="97">
        <v>1048.5</v>
      </c>
      <c r="H88" s="35">
        <f>1052-1048.5</f>
        <v>3.5</v>
      </c>
      <c r="I88" s="20">
        <v>900</v>
      </c>
      <c r="J88" s="21">
        <f t="shared" si="8"/>
        <v>3150</v>
      </c>
      <c r="K88" s="7"/>
      <c r="V88" s="5">
        <f t="shared" si="5"/>
        <v>1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>
        <v>44796</v>
      </c>
      <c r="D89" s="19" t="s">
        <v>18</v>
      </c>
      <c r="E89" s="19" t="s">
        <v>71</v>
      </c>
      <c r="F89" s="35">
        <v>2620</v>
      </c>
      <c r="G89" s="97">
        <v>2650</v>
      </c>
      <c r="H89" s="35">
        <v>30</v>
      </c>
      <c r="I89" s="20">
        <v>250</v>
      </c>
      <c r="J89" s="21">
        <f t="shared" si="8"/>
        <v>7500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>
        <v>44796</v>
      </c>
      <c r="D90" s="19" t="s">
        <v>18</v>
      </c>
      <c r="E90" s="19" t="s">
        <v>565</v>
      </c>
      <c r="F90" s="35">
        <v>730</v>
      </c>
      <c r="G90" s="97">
        <v>736.1</v>
      </c>
      <c r="H90" s="35">
        <v>6.1</v>
      </c>
      <c r="I90" s="20">
        <v>1000</v>
      </c>
      <c r="J90" s="21">
        <f t="shared" si="8"/>
        <v>6100</v>
      </c>
      <c r="K90" s="7"/>
      <c r="V90" s="5">
        <f t="shared" si="5"/>
        <v>1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>
        <v>44797</v>
      </c>
      <c r="D91" s="19" t="s">
        <v>18</v>
      </c>
      <c r="E91" s="19" t="s">
        <v>548</v>
      </c>
      <c r="F91" s="35">
        <v>794</v>
      </c>
      <c r="G91" s="97">
        <v>800</v>
      </c>
      <c r="H91" s="35">
        <f>800-794</f>
        <v>6</v>
      </c>
      <c r="I91" s="20">
        <v>1250</v>
      </c>
      <c r="J91" s="21">
        <f t="shared" si="8"/>
        <v>7500</v>
      </c>
      <c r="K91" s="7"/>
      <c r="V91" s="5">
        <f t="shared" si="5"/>
        <v>1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>
        <v>44797</v>
      </c>
      <c r="D92" s="19" t="s">
        <v>18</v>
      </c>
      <c r="E92" s="19" t="s">
        <v>81</v>
      </c>
      <c r="F92" s="35">
        <v>1753</v>
      </c>
      <c r="G92" s="97">
        <v>1762</v>
      </c>
      <c r="H92" s="35">
        <f>1762-1753</f>
        <v>9</v>
      </c>
      <c r="I92" s="20">
        <v>550</v>
      </c>
      <c r="J92" s="21">
        <f t="shared" si="8"/>
        <v>4950</v>
      </c>
      <c r="K92" s="7"/>
      <c r="V92" s="5">
        <f t="shared" si="5"/>
        <v>1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>
        <v>44798</v>
      </c>
      <c r="D93" s="19" t="s">
        <v>18</v>
      </c>
      <c r="E93" s="19" t="s">
        <v>623</v>
      </c>
      <c r="F93" s="35">
        <v>2125</v>
      </c>
      <c r="G93" s="97">
        <v>2145</v>
      </c>
      <c r="H93" s="35">
        <v>20</v>
      </c>
      <c r="I93" s="20">
        <v>275</v>
      </c>
      <c r="J93" s="21">
        <f t="shared" si="8"/>
        <v>5500</v>
      </c>
      <c r="K93" s="7"/>
      <c r="V93" s="5">
        <f t="shared" si="5"/>
        <v>1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>
        <v>44798</v>
      </c>
      <c r="D94" s="19" t="s">
        <v>18</v>
      </c>
      <c r="E94" s="19" t="s">
        <v>715</v>
      </c>
      <c r="F94" s="35">
        <v>1483</v>
      </c>
      <c r="G94" s="97">
        <v>1475</v>
      </c>
      <c r="H94" s="35">
        <v>-8</v>
      </c>
      <c r="I94" s="20">
        <v>550</v>
      </c>
      <c r="J94" s="21">
        <f t="shared" si="8"/>
        <v>-4400</v>
      </c>
      <c r="K94" s="7"/>
      <c r="V94" s="5">
        <f t="shared" si="5"/>
        <v>0</v>
      </c>
      <c r="W94" s="5">
        <f t="shared" si="6"/>
        <v>1</v>
      </c>
    </row>
    <row r="95" spans="1:23" s="36" customFormat="1" x14ac:dyDescent="0.3">
      <c r="A95" s="6"/>
      <c r="B95" s="17">
        <f t="shared" si="7"/>
        <v>29</v>
      </c>
      <c r="C95" s="18">
        <v>44799</v>
      </c>
      <c r="D95" s="19" t="s">
        <v>18</v>
      </c>
      <c r="E95" s="19" t="s">
        <v>716</v>
      </c>
      <c r="F95" s="35">
        <v>217.5</v>
      </c>
      <c r="G95" s="97">
        <v>218.5</v>
      </c>
      <c r="H95" s="35">
        <v>1</v>
      </c>
      <c r="I95" s="20">
        <v>2300</v>
      </c>
      <c r="J95" s="21">
        <f t="shared" si="8"/>
        <v>2300</v>
      </c>
      <c r="K95" s="7"/>
      <c r="V95" s="5">
        <f t="shared" si="5"/>
        <v>1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>
        <v>44799</v>
      </c>
      <c r="D96" s="19" t="s">
        <v>18</v>
      </c>
      <c r="E96" s="19" t="s">
        <v>125</v>
      </c>
      <c r="F96" s="35">
        <v>2980</v>
      </c>
      <c r="G96" s="97">
        <v>2987</v>
      </c>
      <c r="H96" s="35">
        <v>7</v>
      </c>
      <c r="I96" s="20">
        <v>275</v>
      </c>
      <c r="J96" s="21">
        <f t="shared" si="8"/>
        <v>1925</v>
      </c>
      <c r="K96" s="7"/>
      <c r="V96" s="5">
        <f t="shared" si="5"/>
        <v>1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>
        <v>44802</v>
      </c>
      <c r="D97" s="19" t="s">
        <v>18</v>
      </c>
      <c r="E97" s="19" t="s">
        <v>691</v>
      </c>
      <c r="F97" s="35">
        <v>2895</v>
      </c>
      <c r="G97" s="97">
        <v>2915</v>
      </c>
      <c r="H97" s="35">
        <f>2915-2895</f>
        <v>20</v>
      </c>
      <c r="I97" s="20">
        <v>200</v>
      </c>
      <c r="J97" s="21">
        <f t="shared" si="8"/>
        <v>4000</v>
      </c>
      <c r="K97" s="7"/>
      <c r="V97" s="5">
        <f t="shared" si="5"/>
        <v>1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>
        <v>44802</v>
      </c>
      <c r="D98" s="19" t="s">
        <v>18</v>
      </c>
      <c r="E98" s="19" t="s">
        <v>717</v>
      </c>
      <c r="F98" s="35">
        <v>3420</v>
      </c>
      <c r="G98" s="97">
        <v>3440</v>
      </c>
      <c r="H98" s="35">
        <v>20</v>
      </c>
      <c r="I98" s="20">
        <v>150</v>
      </c>
      <c r="J98" s="21">
        <f t="shared" si="8"/>
        <v>3000</v>
      </c>
      <c r="K98" s="7"/>
      <c r="V98" s="5">
        <f t="shared" si="5"/>
        <v>1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>
        <v>44803</v>
      </c>
      <c r="D99" s="19" t="s">
        <v>18</v>
      </c>
      <c r="E99" s="19" t="s">
        <v>489</v>
      </c>
      <c r="F99" s="35">
        <v>703</v>
      </c>
      <c r="G99" s="97">
        <v>710</v>
      </c>
      <c r="H99" s="35">
        <v>7</v>
      </c>
      <c r="I99" s="20">
        <v>875</v>
      </c>
      <c r="J99" s="21">
        <f t="shared" si="8"/>
        <v>6125</v>
      </c>
      <c r="K99" s="7"/>
      <c r="V99" s="5">
        <f t="shared" si="5"/>
        <v>1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>
        <v>44803</v>
      </c>
      <c r="D100" s="19" t="s">
        <v>18</v>
      </c>
      <c r="E100" s="19" t="s">
        <v>71</v>
      </c>
      <c r="F100" s="35">
        <v>2600</v>
      </c>
      <c r="G100" s="97">
        <v>2588</v>
      </c>
      <c r="H100" s="35">
        <f>2600-2588</f>
        <v>12</v>
      </c>
      <c r="I100" s="20">
        <v>250</v>
      </c>
      <c r="J100" s="21">
        <f t="shared" si="8"/>
        <v>3000</v>
      </c>
      <c r="K100" s="7"/>
      <c r="V100" s="5">
        <f t="shared" si="5"/>
        <v>1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ht="15" thickBot="1" x14ac:dyDescent="0.35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ht="15" hidden="1" thickBot="1" x14ac:dyDescent="0.35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t="15" hidden="1" thickBot="1" x14ac:dyDescent="0.35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t="15" hidden="1" thickBot="1" x14ac:dyDescent="0.35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t="15" hidden="1" thickBot="1" x14ac:dyDescent="0.35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t="15" hidden="1" thickBot="1" x14ac:dyDescent="0.35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t="15" hidden="1" thickBot="1" x14ac:dyDescent="0.35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t="15" hidden="1" thickBot="1" x14ac:dyDescent="0.35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t="15" hidden="1" thickBot="1" x14ac:dyDescent="0.35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t="15" hidden="1" thickBot="1" x14ac:dyDescent="0.35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t="15" hidden="1" thickBot="1" x14ac:dyDescent="0.35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hidden="1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15" hidden="1" thickBot="1" x14ac:dyDescent="0.35">
      <c r="A121" s="6"/>
      <c r="B121" s="17">
        <f t="shared" si="7"/>
        <v>51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52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15" hidden="1" thickBot="1" x14ac:dyDescent="0.35">
      <c r="A123" s="6"/>
      <c r="B123" s="17">
        <f t="shared" si="7"/>
        <v>53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hidden="1" thickBot="1" x14ac:dyDescent="0.35">
      <c r="A124" s="6"/>
      <c r="B124" s="17">
        <f t="shared" si="7"/>
        <v>54</v>
      </c>
      <c r="C124" s="18"/>
      <c r="D124" s="19"/>
      <c r="E124" s="19"/>
      <c r="F124" s="35"/>
      <c r="G124" s="35"/>
      <c r="H124" s="35"/>
      <c r="I124" s="20"/>
      <c r="J124" s="21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15" hidden="1" thickBot="1" x14ac:dyDescent="0.35">
      <c r="A125" s="6"/>
      <c r="B125" s="17">
        <f t="shared" si="7"/>
        <v>55</v>
      </c>
      <c r="C125" s="18"/>
      <c r="D125" s="19"/>
      <c r="E125" s="19"/>
      <c r="F125" s="35"/>
      <c r="G125" s="35"/>
      <c r="H125" s="35"/>
      <c r="I125" s="20"/>
      <c r="J125" s="21">
        <f t="shared" si="8"/>
        <v>0</v>
      </c>
      <c r="K125" s="7"/>
      <c r="V125" s="5">
        <f t="shared" si="5"/>
        <v>0</v>
      </c>
      <c r="W125" s="5">
        <f t="shared" si="6"/>
        <v>0</v>
      </c>
    </row>
    <row r="126" spans="1:23" s="36" customFormat="1" ht="15" hidden="1" thickBot="1" x14ac:dyDescent="0.35">
      <c r="A126" s="6"/>
      <c r="B126" s="17">
        <f t="shared" si="7"/>
        <v>56</v>
      </c>
      <c r="C126" s="18"/>
      <c r="D126" s="19"/>
      <c r="E126" s="19"/>
      <c r="F126" s="35"/>
      <c r="G126" s="35"/>
      <c r="H126" s="35"/>
      <c r="I126" s="20"/>
      <c r="J126" s="21">
        <f t="shared" si="8"/>
        <v>0</v>
      </c>
      <c r="K126" s="7"/>
      <c r="V126" s="5">
        <f t="shared" si="5"/>
        <v>0</v>
      </c>
      <c r="W126" s="5">
        <f t="shared" si="6"/>
        <v>0</v>
      </c>
    </row>
    <row r="127" spans="1:23" s="36" customFormat="1" ht="15" hidden="1" thickBot="1" x14ac:dyDescent="0.35">
      <c r="A127" s="6"/>
      <c r="B127" s="17">
        <f t="shared" si="7"/>
        <v>57</v>
      </c>
      <c r="C127" s="18"/>
      <c r="D127" s="19"/>
      <c r="E127" s="19"/>
      <c r="F127" s="35"/>
      <c r="G127" s="35"/>
      <c r="H127" s="35"/>
      <c r="I127" s="20"/>
      <c r="J127" s="21">
        <f t="shared" si="8"/>
        <v>0</v>
      </c>
      <c r="K127" s="7"/>
      <c r="V127" s="5">
        <f t="shared" si="5"/>
        <v>0</v>
      </c>
      <c r="W127" s="5">
        <f t="shared" si="6"/>
        <v>0</v>
      </c>
    </row>
    <row r="128" spans="1:23" s="36" customFormat="1" ht="15" hidden="1" thickBot="1" x14ac:dyDescent="0.35">
      <c r="A128" s="6"/>
      <c r="B128" s="17">
        <f t="shared" si="7"/>
        <v>58</v>
      </c>
      <c r="C128" s="79"/>
      <c r="D128" s="80"/>
      <c r="E128" s="80"/>
      <c r="F128" s="81"/>
      <c r="G128" s="81"/>
      <c r="H128" s="80"/>
      <c r="I128" s="81"/>
      <c r="J128" s="82">
        <f t="shared" si="8"/>
        <v>0</v>
      </c>
      <c r="K128" s="7"/>
      <c r="V128" s="5">
        <f t="shared" si="5"/>
        <v>0</v>
      </c>
      <c r="W128" s="5">
        <f t="shared" si="6"/>
        <v>0</v>
      </c>
    </row>
    <row r="129" spans="1:23" s="36" customFormat="1" ht="24" thickBot="1" x14ac:dyDescent="0.5">
      <c r="A129" s="6"/>
      <c r="B129" s="144" t="s">
        <v>22</v>
      </c>
      <c r="C129" s="145"/>
      <c r="D129" s="145"/>
      <c r="E129" s="145"/>
      <c r="F129" s="145"/>
      <c r="G129" s="145"/>
      <c r="H129" s="146"/>
      <c r="I129" s="83" t="s">
        <v>23</v>
      </c>
      <c r="J129" s="84">
        <f>SUM(J67:J128)</f>
        <v>164960</v>
      </c>
      <c r="K129" s="7"/>
      <c r="L129" s="5"/>
      <c r="M129" s="5"/>
      <c r="N129" s="5"/>
      <c r="O129" s="5"/>
      <c r="P129" s="5"/>
      <c r="Q129" s="5"/>
      <c r="R129" s="5"/>
      <c r="V129" s="36">
        <f>SUM(V67:V128)</f>
        <v>31</v>
      </c>
      <c r="W129" s="36">
        <f>SUM(W67:W128)</f>
        <v>2</v>
      </c>
    </row>
    <row r="130" spans="1:23" s="36" customFormat="1" ht="30" customHeight="1" thickBot="1" x14ac:dyDescent="0.35">
      <c r="A130" s="30"/>
      <c r="B130" s="31"/>
      <c r="C130" s="31"/>
      <c r="D130" s="31"/>
      <c r="E130" s="31"/>
      <c r="F130" s="31"/>
      <c r="G130" s="31"/>
      <c r="H130" s="32"/>
      <c r="I130" s="31"/>
      <c r="J130" s="32"/>
      <c r="K130" s="33"/>
      <c r="L130" s="5"/>
      <c r="M130" s="5"/>
      <c r="N130" s="5"/>
      <c r="O130" s="5"/>
      <c r="P130" s="5"/>
      <c r="Q130" s="5"/>
      <c r="R130" s="5"/>
    </row>
    <row r="131" spans="1:23" ht="15" thickBot="1" x14ac:dyDescent="0.35"/>
    <row r="132" spans="1:23" s="36" customFormat="1" ht="30" customHeight="1" thickBot="1" x14ac:dyDescent="0.35">
      <c r="A132" s="1"/>
      <c r="B132" s="2"/>
      <c r="C132" s="2"/>
      <c r="D132" s="2"/>
      <c r="E132" s="2"/>
      <c r="F132" s="2"/>
      <c r="G132" s="2"/>
      <c r="H132" s="3"/>
      <c r="I132" s="2"/>
      <c r="J132" s="3"/>
      <c r="K132" s="4"/>
    </row>
    <row r="133" spans="1:23" s="36" customFormat="1" ht="25.2" thickBot="1" x14ac:dyDescent="0.35">
      <c r="A133" s="6" t="s">
        <v>1</v>
      </c>
      <c r="B133" s="119" t="s">
        <v>2</v>
      </c>
      <c r="C133" s="120"/>
      <c r="D133" s="120"/>
      <c r="E133" s="120"/>
      <c r="F133" s="120"/>
      <c r="G133" s="120"/>
      <c r="H133" s="120"/>
      <c r="I133" s="120"/>
      <c r="J133" s="121"/>
      <c r="K133" s="7"/>
    </row>
    <row r="134" spans="1:23" s="36" customFormat="1" ht="16.2" thickBot="1" x14ac:dyDescent="0.35">
      <c r="A134" s="6"/>
      <c r="B134" s="216">
        <v>44774</v>
      </c>
      <c r="C134" s="169"/>
      <c r="D134" s="169"/>
      <c r="E134" s="169"/>
      <c r="F134" s="169"/>
      <c r="G134" s="169"/>
      <c r="H134" s="169"/>
      <c r="I134" s="169"/>
      <c r="J134" s="170"/>
      <c r="K134" s="7"/>
      <c r="L134" s="22"/>
    </row>
    <row r="135" spans="1:23" s="36" customFormat="1" ht="16.2" thickBot="1" x14ac:dyDescent="0.35">
      <c r="A135" s="6"/>
      <c r="B135" s="106" t="s">
        <v>699</v>
      </c>
      <c r="C135" s="107"/>
      <c r="D135" s="107"/>
      <c r="E135" s="107"/>
      <c r="F135" s="107"/>
      <c r="G135" s="107"/>
      <c r="H135" s="107"/>
      <c r="I135" s="107"/>
      <c r="J135" s="108"/>
      <c r="K135" s="7"/>
    </row>
    <row r="136" spans="1:23" s="22" customFormat="1" ht="15" thickBot="1" x14ac:dyDescent="0.35">
      <c r="A136" s="69"/>
      <c r="B136" s="70" t="s">
        <v>9</v>
      </c>
      <c r="C136" s="71" t="s">
        <v>10</v>
      </c>
      <c r="D136" s="72" t="s">
        <v>11</v>
      </c>
      <c r="E136" s="72" t="s">
        <v>12</v>
      </c>
      <c r="F136" s="73" t="s">
        <v>65</v>
      </c>
      <c r="G136" s="73" t="s">
        <v>66</v>
      </c>
      <c r="H136" s="74" t="s">
        <v>67</v>
      </c>
      <c r="I136" s="73" t="s">
        <v>68</v>
      </c>
      <c r="J136" s="75" t="s">
        <v>17</v>
      </c>
      <c r="K136" s="76"/>
      <c r="L136" s="36"/>
      <c r="M136" s="36"/>
      <c r="N136" s="36"/>
      <c r="O136" s="36" t="s">
        <v>21</v>
      </c>
      <c r="P136" s="36"/>
      <c r="Q136" s="36"/>
      <c r="R136" s="36"/>
      <c r="V136" s="5" t="s">
        <v>5</v>
      </c>
      <c r="W136" s="5" t="s">
        <v>6</v>
      </c>
    </row>
    <row r="137" spans="1:23" s="36" customFormat="1" x14ac:dyDescent="0.3">
      <c r="A137" s="6"/>
      <c r="B137" s="14">
        <v>1</v>
      </c>
      <c r="C137" s="93">
        <v>44774</v>
      </c>
      <c r="D137" s="94" t="s">
        <v>18</v>
      </c>
      <c r="E137" s="94" t="s">
        <v>578</v>
      </c>
      <c r="F137" s="60">
        <v>100</v>
      </c>
      <c r="G137" s="60">
        <v>120</v>
      </c>
      <c r="H137" s="60">
        <v>10</v>
      </c>
      <c r="I137" s="15">
        <v>300</v>
      </c>
      <c r="J137" s="16">
        <f t="shared" ref="J137:J182" si="9">I137*H137</f>
        <v>3000</v>
      </c>
      <c r="K137" s="7"/>
      <c r="V137" s="5">
        <f t="shared" ref="V137:V182" si="10">IF($J137&gt;0,1,0)</f>
        <v>1</v>
      </c>
      <c r="W137" s="5">
        <f t="shared" ref="W137:W182" si="11">IF($J137&lt;0,1,0)</f>
        <v>0</v>
      </c>
    </row>
    <row r="138" spans="1:23" s="36" customFormat="1" x14ac:dyDescent="0.3">
      <c r="A138" s="6"/>
      <c r="B138" s="17">
        <f>B137+1</f>
        <v>2</v>
      </c>
      <c r="C138" s="18">
        <v>44775</v>
      </c>
      <c r="D138" s="19" t="s">
        <v>18</v>
      </c>
      <c r="E138" s="19" t="s">
        <v>578</v>
      </c>
      <c r="F138" s="35">
        <v>100</v>
      </c>
      <c r="G138" s="35">
        <v>115</v>
      </c>
      <c r="H138" s="35">
        <v>15</v>
      </c>
      <c r="I138" s="20">
        <v>300</v>
      </c>
      <c r="J138" s="21">
        <f t="shared" si="9"/>
        <v>4500</v>
      </c>
      <c r="K138" s="7"/>
      <c r="L138" s="36" t="s">
        <v>21</v>
      </c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ref="B139:B159" si="12">B138+1</f>
        <v>3</v>
      </c>
      <c r="C139" s="18">
        <v>44775</v>
      </c>
      <c r="D139" s="19" t="s">
        <v>18</v>
      </c>
      <c r="E139" s="19" t="s">
        <v>578</v>
      </c>
      <c r="F139" s="35">
        <v>90</v>
      </c>
      <c r="G139" s="35">
        <v>120</v>
      </c>
      <c r="H139" s="35">
        <f>120-90</f>
        <v>30</v>
      </c>
      <c r="I139" s="20">
        <v>300</v>
      </c>
      <c r="J139" s="21">
        <f t="shared" si="9"/>
        <v>9000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4</v>
      </c>
      <c r="C140" s="18">
        <v>44776</v>
      </c>
      <c r="D140" s="19" t="s">
        <v>18</v>
      </c>
      <c r="E140" s="19" t="s">
        <v>471</v>
      </c>
      <c r="F140" s="35">
        <v>100</v>
      </c>
      <c r="G140" s="35">
        <v>130</v>
      </c>
      <c r="H140" s="35">
        <v>30</v>
      </c>
      <c r="I140" s="20">
        <v>300</v>
      </c>
      <c r="J140" s="21">
        <f t="shared" si="9"/>
        <v>9000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5</v>
      </c>
      <c r="C141" s="18">
        <v>44776</v>
      </c>
      <c r="D141" s="19" t="s">
        <v>18</v>
      </c>
      <c r="E141" s="19" t="s">
        <v>472</v>
      </c>
      <c r="F141" s="35">
        <v>105</v>
      </c>
      <c r="G141" s="35">
        <v>128</v>
      </c>
      <c r="H141" s="35">
        <f>128-105</f>
        <v>23</v>
      </c>
      <c r="I141" s="20">
        <v>300</v>
      </c>
      <c r="J141" s="21">
        <f t="shared" si="9"/>
        <v>6900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6</v>
      </c>
      <c r="C142" s="18">
        <v>44777</v>
      </c>
      <c r="D142" s="19" t="s">
        <v>18</v>
      </c>
      <c r="E142" s="19" t="s">
        <v>474</v>
      </c>
      <c r="F142" s="20">
        <v>95</v>
      </c>
      <c r="G142" s="35">
        <v>105</v>
      </c>
      <c r="H142" s="35">
        <f>105-95</f>
        <v>10</v>
      </c>
      <c r="I142" s="20">
        <v>300</v>
      </c>
      <c r="J142" s="21">
        <f t="shared" si="9"/>
        <v>3000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7</v>
      </c>
      <c r="C143" s="18">
        <v>44778</v>
      </c>
      <c r="D143" s="19" t="s">
        <v>18</v>
      </c>
      <c r="E143" s="19" t="s">
        <v>471</v>
      </c>
      <c r="F143" s="35">
        <v>115</v>
      </c>
      <c r="G143" s="35">
        <v>125</v>
      </c>
      <c r="H143" s="35">
        <v>10</v>
      </c>
      <c r="I143" s="20">
        <v>300</v>
      </c>
      <c r="J143" s="21">
        <f t="shared" si="9"/>
        <v>3000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8</v>
      </c>
      <c r="C144" s="18">
        <v>44778</v>
      </c>
      <c r="D144" s="19" t="s">
        <v>18</v>
      </c>
      <c r="E144" s="19" t="s">
        <v>479</v>
      </c>
      <c r="F144" s="35">
        <v>100</v>
      </c>
      <c r="G144" s="35">
        <v>115</v>
      </c>
      <c r="H144" s="35">
        <v>15</v>
      </c>
      <c r="I144" s="20">
        <v>300</v>
      </c>
      <c r="J144" s="21">
        <f t="shared" si="9"/>
        <v>4500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9</v>
      </c>
      <c r="C145" s="18">
        <v>44781</v>
      </c>
      <c r="D145" s="19" t="s">
        <v>18</v>
      </c>
      <c r="E145" s="19" t="s">
        <v>476</v>
      </c>
      <c r="F145" s="35">
        <v>85</v>
      </c>
      <c r="G145" s="35">
        <v>115</v>
      </c>
      <c r="H145" s="35">
        <f>115-85</f>
        <v>30</v>
      </c>
      <c r="I145" s="20">
        <v>300</v>
      </c>
      <c r="J145" s="21">
        <f t="shared" si="9"/>
        <v>9000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10</v>
      </c>
      <c r="C146" s="18">
        <v>44781</v>
      </c>
      <c r="D146" s="19" t="s">
        <v>18</v>
      </c>
      <c r="E146" s="19" t="s">
        <v>479</v>
      </c>
      <c r="F146" s="35">
        <v>85</v>
      </c>
      <c r="G146" s="35">
        <v>115</v>
      </c>
      <c r="H146" s="35">
        <v>30</v>
      </c>
      <c r="I146" s="20">
        <v>300</v>
      </c>
      <c r="J146" s="21">
        <f t="shared" si="9"/>
        <v>9000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11</v>
      </c>
      <c r="C147" s="18">
        <v>44783</v>
      </c>
      <c r="D147" s="19" t="s">
        <v>18</v>
      </c>
      <c r="E147" s="19" t="s">
        <v>588</v>
      </c>
      <c r="F147" s="19">
        <v>90</v>
      </c>
      <c r="G147" s="35">
        <v>101</v>
      </c>
      <c r="H147" s="35">
        <v>11</v>
      </c>
      <c r="I147" s="20">
        <v>300</v>
      </c>
      <c r="J147" s="21">
        <f t="shared" si="9"/>
        <v>3300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12</v>
      </c>
      <c r="C148" s="18">
        <v>44783</v>
      </c>
      <c r="D148" s="19" t="s">
        <v>18</v>
      </c>
      <c r="E148" s="19" t="s">
        <v>470</v>
      </c>
      <c r="F148" s="35">
        <v>115</v>
      </c>
      <c r="G148" s="35">
        <v>145</v>
      </c>
      <c r="H148" s="35">
        <f>145-115</f>
        <v>30</v>
      </c>
      <c r="I148" s="20">
        <v>300</v>
      </c>
      <c r="J148" s="21">
        <f t="shared" si="9"/>
        <v>9000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13</v>
      </c>
      <c r="C149" s="18">
        <v>44784</v>
      </c>
      <c r="D149" s="19" t="s">
        <v>18</v>
      </c>
      <c r="E149" s="19" t="s">
        <v>481</v>
      </c>
      <c r="F149" s="35">
        <v>70</v>
      </c>
      <c r="G149" s="35">
        <v>80</v>
      </c>
      <c r="H149" s="35">
        <v>10</v>
      </c>
      <c r="I149" s="20">
        <v>300</v>
      </c>
      <c r="J149" s="21">
        <f t="shared" si="9"/>
        <v>3000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14</v>
      </c>
      <c r="C150" s="18">
        <v>44784</v>
      </c>
      <c r="D150" s="19" t="s">
        <v>18</v>
      </c>
      <c r="E150" s="19" t="s">
        <v>480</v>
      </c>
      <c r="F150" s="77">
        <v>85</v>
      </c>
      <c r="G150" s="35">
        <v>70</v>
      </c>
      <c r="H150" s="78">
        <v>-15</v>
      </c>
      <c r="I150" s="20">
        <v>300</v>
      </c>
      <c r="J150" s="21">
        <f t="shared" si="9"/>
        <v>-4500</v>
      </c>
      <c r="K150" s="7"/>
      <c r="V150" s="5">
        <f t="shared" si="10"/>
        <v>0</v>
      </c>
      <c r="W150" s="5">
        <f t="shared" si="11"/>
        <v>1</v>
      </c>
    </row>
    <row r="151" spans="1:23" s="36" customFormat="1" x14ac:dyDescent="0.3">
      <c r="A151" s="6"/>
      <c r="B151" s="17">
        <f t="shared" si="12"/>
        <v>15</v>
      </c>
      <c r="C151" s="18">
        <v>44785</v>
      </c>
      <c r="D151" s="19" t="s">
        <v>18</v>
      </c>
      <c r="E151" s="19" t="s">
        <v>482</v>
      </c>
      <c r="F151" s="35">
        <v>100</v>
      </c>
      <c r="G151" s="35">
        <v>115</v>
      </c>
      <c r="H151" s="78">
        <v>15</v>
      </c>
      <c r="I151" s="20">
        <v>300</v>
      </c>
      <c r="J151" s="21">
        <f t="shared" si="9"/>
        <v>4500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16</v>
      </c>
      <c r="C152" s="18">
        <v>44789</v>
      </c>
      <c r="D152" s="19" t="s">
        <v>18</v>
      </c>
      <c r="E152" s="19" t="s">
        <v>669</v>
      </c>
      <c r="F152" s="35">
        <v>100</v>
      </c>
      <c r="G152" s="35">
        <v>124</v>
      </c>
      <c r="H152" s="78">
        <v>24</v>
      </c>
      <c r="I152" s="20">
        <v>300</v>
      </c>
      <c r="J152" s="21">
        <f t="shared" si="9"/>
        <v>7200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17</v>
      </c>
      <c r="C153" s="18">
        <v>44790</v>
      </c>
      <c r="D153" s="19" t="s">
        <v>18</v>
      </c>
      <c r="E153" s="19" t="s">
        <v>525</v>
      </c>
      <c r="F153" s="35">
        <v>85</v>
      </c>
      <c r="G153" s="35">
        <v>115</v>
      </c>
      <c r="H153" s="78">
        <f>115-85</f>
        <v>30</v>
      </c>
      <c r="I153" s="20">
        <v>300</v>
      </c>
      <c r="J153" s="21">
        <f t="shared" si="9"/>
        <v>9000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2"/>
        <v>18</v>
      </c>
      <c r="C154" s="18">
        <v>44791</v>
      </c>
      <c r="D154" s="19" t="s">
        <v>18</v>
      </c>
      <c r="E154" s="19" t="s">
        <v>568</v>
      </c>
      <c r="F154" s="35">
        <v>90</v>
      </c>
      <c r="G154" s="35">
        <v>100</v>
      </c>
      <c r="H154" s="78">
        <v>10</v>
      </c>
      <c r="I154" s="20">
        <v>300</v>
      </c>
      <c r="J154" s="21">
        <f t="shared" si="9"/>
        <v>3000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2"/>
        <v>19</v>
      </c>
      <c r="C155" s="18">
        <v>44792</v>
      </c>
      <c r="D155" s="19" t="s">
        <v>18</v>
      </c>
      <c r="E155" s="19" t="s">
        <v>569</v>
      </c>
      <c r="F155" s="35">
        <v>95</v>
      </c>
      <c r="G155" s="35">
        <v>125</v>
      </c>
      <c r="H155" s="78">
        <f>125-95</f>
        <v>30</v>
      </c>
      <c r="I155" s="20">
        <v>300</v>
      </c>
      <c r="J155" s="21">
        <f t="shared" si="9"/>
        <v>9000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2"/>
        <v>20</v>
      </c>
      <c r="C156" s="18">
        <v>44792</v>
      </c>
      <c r="D156" s="19" t="s">
        <v>18</v>
      </c>
      <c r="E156" s="19" t="s">
        <v>709</v>
      </c>
      <c r="F156" s="35">
        <v>95</v>
      </c>
      <c r="G156" s="35">
        <v>125</v>
      </c>
      <c r="H156" s="35">
        <v>30</v>
      </c>
      <c r="I156" s="20">
        <v>300</v>
      </c>
      <c r="J156" s="21">
        <f t="shared" si="9"/>
        <v>9000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2"/>
        <v>21</v>
      </c>
      <c r="C157" s="18">
        <v>44795</v>
      </c>
      <c r="D157" s="19" t="s">
        <v>18</v>
      </c>
      <c r="E157" s="19" t="s">
        <v>478</v>
      </c>
      <c r="F157" s="35">
        <v>110</v>
      </c>
      <c r="G157" s="35">
        <v>150</v>
      </c>
      <c r="H157" s="35">
        <v>40</v>
      </c>
      <c r="I157" s="20">
        <v>300</v>
      </c>
      <c r="J157" s="21">
        <f t="shared" si="9"/>
        <v>12000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2"/>
        <v>22</v>
      </c>
      <c r="C158" s="18">
        <v>44795</v>
      </c>
      <c r="D158" s="19" t="s">
        <v>18</v>
      </c>
      <c r="E158" s="19" t="s">
        <v>478</v>
      </c>
      <c r="F158" s="35">
        <v>120</v>
      </c>
      <c r="G158" s="35">
        <v>150</v>
      </c>
      <c r="H158" s="35">
        <v>30</v>
      </c>
      <c r="I158" s="20">
        <v>300</v>
      </c>
      <c r="J158" s="21">
        <f t="shared" si="9"/>
        <v>9000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2"/>
        <v>23</v>
      </c>
      <c r="C159" s="18">
        <v>44796</v>
      </c>
      <c r="D159" s="19" t="s">
        <v>18</v>
      </c>
      <c r="E159" s="19" t="s">
        <v>479</v>
      </c>
      <c r="F159" s="35">
        <v>90</v>
      </c>
      <c r="G159" s="35">
        <v>120</v>
      </c>
      <c r="H159" s="35">
        <f>120-90</f>
        <v>30</v>
      </c>
      <c r="I159" s="20">
        <v>300</v>
      </c>
      <c r="J159" s="21">
        <f t="shared" si="9"/>
        <v>9000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>B159+1</f>
        <v>24</v>
      </c>
      <c r="C160" s="18">
        <v>44796</v>
      </c>
      <c r="D160" s="19" t="s">
        <v>18</v>
      </c>
      <c r="E160" s="19" t="s">
        <v>479</v>
      </c>
      <c r="F160" s="35">
        <v>100</v>
      </c>
      <c r="G160" s="35">
        <v>119</v>
      </c>
      <c r="H160" s="35">
        <v>19</v>
      </c>
      <c r="I160" s="20">
        <v>300</v>
      </c>
      <c r="J160" s="21">
        <f t="shared" si="9"/>
        <v>5700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ref="B161:B182" si="13">B160+1</f>
        <v>25</v>
      </c>
      <c r="C161" s="18">
        <v>44797</v>
      </c>
      <c r="D161" s="19" t="s">
        <v>18</v>
      </c>
      <c r="E161" s="19" t="s">
        <v>478</v>
      </c>
      <c r="F161" s="35">
        <v>90</v>
      </c>
      <c r="G161" s="35">
        <v>120</v>
      </c>
      <c r="H161" s="35">
        <f>120-90</f>
        <v>30</v>
      </c>
      <c r="I161" s="20">
        <v>300</v>
      </c>
      <c r="J161" s="21">
        <f t="shared" si="9"/>
        <v>9000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26</v>
      </c>
      <c r="C162" s="18">
        <v>44797</v>
      </c>
      <c r="D162" s="19" t="s">
        <v>18</v>
      </c>
      <c r="E162" s="19" t="s">
        <v>480</v>
      </c>
      <c r="F162" s="35">
        <v>75</v>
      </c>
      <c r="G162" s="35">
        <v>85</v>
      </c>
      <c r="H162" s="35">
        <v>10</v>
      </c>
      <c r="I162" s="20">
        <v>300</v>
      </c>
      <c r="J162" s="21">
        <f t="shared" si="9"/>
        <v>3000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27</v>
      </c>
      <c r="C163" s="18">
        <v>44798</v>
      </c>
      <c r="D163" s="19" t="s">
        <v>18</v>
      </c>
      <c r="E163" s="19" t="s">
        <v>480</v>
      </c>
      <c r="F163" s="35">
        <v>105</v>
      </c>
      <c r="G163" s="35">
        <v>134</v>
      </c>
      <c r="H163" s="35">
        <f>134-105</f>
        <v>29</v>
      </c>
      <c r="I163" s="20">
        <v>300</v>
      </c>
      <c r="J163" s="21">
        <f t="shared" si="9"/>
        <v>8700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28</v>
      </c>
      <c r="C164" s="18">
        <v>44799</v>
      </c>
      <c r="D164" s="19" t="s">
        <v>18</v>
      </c>
      <c r="E164" s="19" t="s">
        <v>524</v>
      </c>
      <c r="F164" s="35">
        <v>100</v>
      </c>
      <c r="G164" s="35">
        <v>106</v>
      </c>
      <c r="H164" s="35">
        <v>6</v>
      </c>
      <c r="I164" s="20">
        <v>300</v>
      </c>
      <c r="J164" s="21">
        <f t="shared" si="9"/>
        <v>1800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3"/>
        <v>29</v>
      </c>
      <c r="C165" s="18">
        <v>44799</v>
      </c>
      <c r="D165" s="19" t="s">
        <v>18</v>
      </c>
      <c r="E165" s="19" t="s">
        <v>573</v>
      </c>
      <c r="F165" s="35">
        <v>105</v>
      </c>
      <c r="G165" s="35">
        <v>120</v>
      </c>
      <c r="H165" s="35">
        <f>120-105</f>
        <v>15</v>
      </c>
      <c r="I165" s="20">
        <v>300</v>
      </c>
      <c r="J165" s="21">
        <f t="shared" si="9"/>
        <v>4500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3"/>
        <v>30</v>
      </c>
      <c r="C166" s="18">
        <v>44802</v>
      </c>
      <c r="D166" s="19" t="s">
        <v>18</v>
      </c>
      <c r="E166" s="19" t="s">
        <v>589</v>
      </c>
      <c r="F166" s="35">
        <v>105</v>
      </c>
      <c r="G166" s="35">
        <v>90</v>
      </c>
      <c r="H166" s="35">
        <v>-15</v>
      </c>
      <c r="I166" s="20">
        <v>300</v>
      </c>
      <c r="J166" s="21">
        <f t="shared" si="9"/>
        <v>-4500</v>
      </c>
      <c r="K166" s="7"/>
      <c r="V166" s="5">
        <f t="shared" si="10"/>
        <v>0</v>
      </c>
      <c r="W166" s="5">
        <f t="shared" si="11"/>
        <v>1</v>
      </c>
    </row>
    <row r="167" spans="1:23" s="36" customFormat="1" x14ac:dyDescent="0.3">
      <c r="A167" s="6"/>
      <c r="B167" s="17">
        <f t="shared" si="13"/>
        <v>31</v>
      </c>
      <c r="C167" s="18">
        <v>44802</v>
      </c>
      <c r="D167" s="19" t="s">
        <v>18</v>
      </c>
      <c r="E167" s="19" t="s">
        <v>472</v>
      </c>
      <c r="F167" s="35">
        <v>100</v>
      </c>
      <c r="G167" s="35">
        <v>130</v>
      </c>
      <c r="H167" s="35">
        <v>30</v>
      </c>
      <c r="I167" s="20">
        <v>300</v>
      </c>
      <c r="J167" s="21">
        <f t="shared" si="9"/>
        <v>9000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3"/>
        <v>32</v>
      </c>
      <c r="C168" s="18">
        <v>44803</v>
      </c>
      <c r="D168" s="19" t="s">
        <v>18</v>
      </c>
      <c r="E168" s="19" t="s">
        <v>470</v>
      </c>
      <c r="F168" s="35">
        <v>85</v>
      </c>
      <c r="G168" s="35">
        <v>115</v>
      </c>
      <c r="H168" s="35">
        <f>115-85</f>
        <v>30</v>
      </c>
      <c r="I168" s="20">
        <v>300</v>
      </c>
      <c r="J168" s="21">
        <f t="shared" si="9"/>
        <v>9000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3"/>
        <v>33</v>
      </c>
      <c r="C169" s="18"/>
      <c r="D169" s="19"/>
      <c r="E169" s="19"/>
      <c r="F169" s="35"/>
      <c r="G169" s="35"/>
      <c r="H169" s="35"/>
      <c r="I169" s="20"/>
      <c r="J169" s="21">
        <f t="shared" si="9"/>
        <v>0</v>
      </c>
      <c r="K169" s="7"/>
      <c r="V169" s="5">
        <f t="shared" si="10"/>
        <v>0</v>
      </c>
      <c r="W169" s="5">
        <f t="shared" si="11"/>
        <v>0</v>
      </c>
    </row>
    <row r="170" spans="1:23" s="36" customFormat="1" x14ac:dyDescent="0.3">
      <c r="A170" s="6"/>
      <c r="B170" s="17">
        <f t="shared" si="13"/>
        <v>34</v>
      </c>
      <c r="C170" s="18"/>
      <c r="D170" s="19"/>
      <c r="E170" s="19"/>
      <c r="F170" s="35"/>
      <c r="G170" s="35"/>
      <c r="H170" s="35"/>
      <c r="I170" s="20"/>
      <c r="J170" s="21">
        <f t="shared" si="9"/>
        <v>0</v>
      </c>
      <c r="K170" s="7"/>
      <c r="V170" s="5">
        <f t="shared" si="10"/>
        <v>0</v>
      </c>
      <c r="W170" s="5">
        <f t="shared" si="11"/>
        <v>0</v>
      </c>
    </row>
    <row r="171" spans="1:23" s="36" customFormat="1" x14ac:dyDescent="0.3">
      <c r="A171" s="6"/>
      <c r="B171" s="17">
        <f t="shared" si="13"/>
        <v>35</v>
      </c>
      <c r="C171" s="18"/>
      <c r="D171" s="19"/>
      <c r="E171" s="19"/>
      <c r="F171" s="35"/>
      <c r="G171" s="35"/>
      <c r="H171" s="35"/>
      <c r="I171" s="20"/>
      <c r="J171" s="21">
        <f t="shared" si="9"/>
        <v>0</v>
      </c>
      <c r="K171" s="7"/>
      <c r="V171" s="5">
        <f t="shared" si="10"/>
        <v>0</v>
      </c>
      <c r="W171" s="5">
        <f t="shared" si="11"/>
        <v>0</v>
      </c>
    </row>
    <row r="172" spans="1:23" s="36" customFormat="1" x14ac:dyDescent="0.3">
      <c r="A172" s="6"/>
      <c r="B172" s="17">
        <f t="shared" si="13"/>
        <v>36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x14ac:dyDescent="0.3">
      <c r="A173" s="6"/>
      <c r="B173" s="17">
        <f t="shared" si="13"/>
        <v>37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x14ac:dyDescent="0.3">
      <c r="A174" s="6"/>
      <c r="B174" s="17">
        <f t="shared" si="13"/>
        <v>38</v>
      </c>
      <c r="C174" s="18"/>
      <c r="D174" s="19"/>
      <c r="E174" s="19"/>
      <c r="F174" s="35"/>
      <c r="G174" s="35"/>
      <c r="H174" s="35"/>
      <c r="I174" s="20"/>
      <c r="J174" s="21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x14ac:dyDescent="0.3">
      <c r="A175" s="6"/>
      <c r="B175" s="17">
        <f t="shared" si="13"/>
        <v>39</v>
      </c>
      <c r="C175" s="18"/>
      <c r="D175" s="19"/>
      <c r="E175" s="19"/>
      <c r="F175" s="35"/>
      <c r="G175" s="35"/>
      <c r="H175" s="35"/>
      <c r="I175" s="20"/>
      <c r="J175" s="21">
        <f t="shared" si="9"/>
        <v>0</v>
      </c>
      <c r="K175" s="7"/>
      <c r="V175" s="5">
        <f t="shared" si="10"/>
        <v>0</v>
      </c>
      <c r="W175" s="5">
        <f t="shared" si="11"/>
        <v>0</v>
      </c>
    </row>
    <row r="176" spans="1:23" s="36" customFormat="1" x14ac:dyDescent="0.3">
      <c r="A176" s="6"/>
      <c r="B176" s="17">
        <f t="shared" si="13"/>
        <v>40</v>
      </c>
      <c r="C176" s="18"/>
      <c r="D176" s="19"/>
      <c r="E176" s="19"/>
      <c r="F176" s="35"/>
      <c r="G176" s="35"/>
      <c r="H176" s="35"/>
      <c r="I176" s="20"/>
      <c r="J176" s="21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x14ac:dyDescent="0.3">
      <c r="A177" s="6"/>
      <c r="B177" s="17">
        <f t="shared" si="13"/>
        <v>41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x14ac:dyDescent="0.3">
      <c r="A178" s="6"/>
      <c r="B178" s="17">
        <f t="shared" si="13"/>
        <v>42</v>
      </c>
      <c r="C178" s="18"/>
      <c r="D178" s="19"/>
      <c r="E178" s="19"/>
      <c r="F178" s="35"/>
      <c r="G178" s="35"/>
      <c r="H178" s="35"/>
      <c r="I178" s="20"/>
      <c r="J178" s="21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x14ac:dyDescent="0.3">
      <c r="A179" s="6"/>
      <c r="B179" s="17">
        <f t="shared" si="13"/>
        <v>43</v>
      </c>
      <c r="C179" s="18"/>
      <c r="D179" s="19"/>
      <c r="E179" s="19"/>
      <c r="F179" s="35"/>
      <c r="G179" s="35"/>
      <c r="H179" s="35"/>
      <c r="I179" s="20"/>
      <c r="J179" s="21">
        <f t="shared" si="9"/>
        <v>0</v>
      </c>
      <c r="K179" s="7"/>
      <c r="V179" s="5">
        <f t="shared" si="10"/>
        <v>0</v>
      </c>
      <c r="W179" s="5">
        <f t="shared" si="11"/>
        <v>0</v>
      </c>
    </row>
    <row r="180" spans="1:23" s="36" customFormat="1" x14ac:dyDescent="0.3">
      <c r="A180" s="6"/>
      <c r="B180" s="17">
        <f t="shared" si="13"/>
        <v>44</v>
      </c>
      <c r="C180" s="18"/>
      <c r="D180" s="19"/>
      <c r="E180" s="19"/>
      <c r="F180" s="35"/>
      <c r="G180" s="35"/>
      <c r="H180" s="35"/>
      <c r="I180" s="20"/>
      <c r="J180" s="21">
        <f t="shared" si="9"/>
        <v>0</v>
      </c>
      <c r="K180" s="7"/>
      <c r="V180" s="5">
        <f t="shared" si="10"/>
        <v>0</v>
      </c>
      <c r="W180" s="5">
        <f t="shared" si="11"/>
        <v>0</v>
      </c>
    </row>
    <row r="181" spans="1:23" s="36" customFormat="1" x14ac:dyDescent="0.3">
      <c r="A181" s="6"/>
      <c r="B181" s="17">
        <f t="shared" si="13"/>
        <v>45</v>
      </c>
      <c r="C181" s="18"/>
      <c r="D181" s="19"/>
      <c r="E181" s="19"/>
      <c r="F181" s="35"/>
      <c r="G181" s="35"/>
      <c r="H181" s="35"/>
      <c r="I181" s="20"/>
      <c r="J181" s="21">
        <f t="shared" si="9"/>
        <v>0</v>
      </c>
      <c r="K181" s="7"/>
      <c r="V181" s="5">
        <f t="shared" si="10"/>
        <v>0</v>
      </c>
      <c r="W181" s="5">
        <f t="shared" si="11"/>
        <v>0</v>
      </c>
    </row>
    <row r="182" spans="1:23" s="36" customFormat="1" ht="15" thickBot="1" x14ac:dyDescent="0.35">
      <c r="A182" s="6"/>
      <c r="B182" s="95">
        <f t="shared" si="13"/>
        <v>46</v>
      </c>
      <c r="C182" s="79"/>
      <c r="D182" s="80"/>
      <c r="E182" s="80"/>
      <c r="F182" s="96"/>
      <c r="G182" s="96"/>
      <c r="H182" s="96"/>
      <c r="I182" s="81"/>
      <c r="J182" s="82">
        <f t="shared" si="9"/>
        <v>0</v>
      </c>
      <c r="K182" s="7"/>
      <c r="V182" s="5">
        <f t="shared" si="10"/>
        <v>0</v>
      </c>
      <c r="W182" s="5">
        <f t="shared" si="11"/>
        <v>0</v>
      </c>
    </row>
    <row r="183" spans="1:23" s="36" customFormat="1" ht="24" thickBot="1" x14ac:dyDescent="0.5">
      <c r="A183" s="6"/>
      <c r="B183" s="165" t="s">
        <v>22</v>
      </c>
      <c r="C183" s="166"/>
      <c r="D183" s="166"/>
      <c r="E183" s="166"/>
      <c r="F183" s="166"/>
      <c r="G183" s="166"/>
      <c r="H183" s="167"/>
      <c r="I183" s="83" t="s">
        <v>23</v>
      </c>
      <c r="J183" s="84">
        <f>SUM(J137:J182)</f>
        <v>189600</v>
      </c>
      <c r="K183" s="7"/>
      <c r="L183" s="5"/>
      <c r="M183" s="5"/>
      <c r="N183" s="5"/>
      <c r="O183" s="5"/>
      <c r="P183" s="5"/>
      <c r="Q183" s="5"/>
      <c r="R183" s="5"/>
      <c r="V183" s="36">
        <f>SUM(V137:V182)</f>
        <v>30</v>
      </c>
      <c r="W183" s="36">
        <f>SUM(W137:W182)</f>
        <v>2</v>
      </c>
    </row>
    <row r="184" spans="1:23" s="36" customFormat="1" ht="30" customHeight="1" thickBot="1" x14ac:dyDescent="0.35">
      <c r="A184" s="30"/>
      <c r="B184" s="31"/>
      <c r="C184" s="31"/>
      <c r="D184" s="31"/>
      <c r="E184" s="31"/>
      <c r="F184" s="31"/>
      <c r="G184" s="31"/>
      <c r="H184" s="32"/>
      <c r="I184" s="31"/>
      <c r="J184" s="32"/>
      <c r="K184" s="33"/>
      <c r="L184" s="5"/>
      <c r="M184" s="5"/>
      <c r="N184" s="5"/>
      <c r="O184" s="5"/>
      <c r="P184" s="5"/>
      <c r="Q184" s="5"/>
      <c r="R184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B129:H129"/>
    <mergeCell ref="B133:J133"/>
    <mergeCell ref="B134:J134"/>
    <mergeCell ref="B135:J135"/>
    <mergeCell ref="B183:H183"/>
  </mergeCells>
  <hyperlinks>
    <hyperlink ref="B59" r:id="rId1" xr:uid="{00000000-0004-0000-1900-000000000000}"/>
    <hyperlink ref="B129" r:id="rId2" xr:uid="{00000000-0004-0000-1900-000001000000}"/>
    <hyperlink ref="B183" r:id="rId3" xr:uid="{00000000-0004-0000-1900-000002000000}"/>
    <hyperlink ref="M1" location="MASTER!A1" display="Back" xr:uid="{00000000-0004-0000-1900-000003000000}"/>
    <hyperlink ref="M6:M7" location="'MAR 2022'!A70" display="EXTRA STOCK FUTURE" xr:uid="{00000000-0004-0000-1900-000004000000}"/>
    <hyperlink ref="M8:M9" location="'MAR 2022'!A140" display="EXTRA NIFTY OPTION" xr:uid="{00000000-0004-0000-1900-000005000000}"/>
  </hyperlinks>
  <pageMargins left="0" right="0" top="0" bottom="0" header="0" footer="0"/>
  <pageSetup paperSize="9" orientation="portrait" r:id="rId4"/>
  <drawing r:id="rId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184"/>
  <sheetViews>
    <sheetView zoomScaleNormal="100" workbookViewId="0">
      <selection activeCell="Q4" sqref="Q4:Q5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44805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95" t="s">
        <v>107</v>
      </c>
      <c r="N4" s="111">
        <f>COUNT(C6:C58)</f>
        <v>39</v>
      </c>
      <c r="O4" s="113">
        <f>V59</f>
        <v>32</v>
      </c>
      <c r="P4" s="113">
        <v>7</v>
      </c>
      <c r="Q4" s="197">
        <f>N4-O4-P4</f>
        <v>0</v>
      </c>
      <c r="R4" s="199">
        <f>O4/N4</f>
        <v>0.82051282051282048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96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44805</v>
      </c>
      <c r="D6" s="90" t="s">
        <v>18</v>
      </c>
      <c r="E6" s="90" t="s">
        <v>514</v>
      </c>
      <c r="F6" s="90">
        <v>100</v>
      </c>
      <c r="G6" s="90">
        <v>200</v>
      </c>
      <c r="H6" s="91">
        <v>100</v>
      </c>
      <c r="I6" s="90">
        <v>100</v>
      </c>
      <c r="J6" s="92">
        <f t="shared" ref="J6:J58" si="0">H6*I6</f>
        <v>10000</v>
      </c>
      <c r="K6" s="7"/>
      <c r="M6" s="213" t="s">
        <v>108</v>
      </c>
      <c r="N6" s="112">
        <f>COUNT(C67:C128)</f>
        <v>33</v>
      </c>
      <c r="O6" s="113">
        <v>30</v>
      </c>
      <c r="P6" s="113">
        <v>3</v>
      </c>
      <c r="Q6" s="198">
        <v>0</v>
      </c>
      <c r="R6" s="203">
        <f t="shared" ref="R6" si="1">O6/N6</f>
        <v>0.90909090909090906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ht="15" thickBot="1" x14ac:dyDescent="0.35">
      <c r="A7" s="6"/>
      <c r="B7" s="17">
        <v>2</v>
      </c>
      <c r="C7" s="85">
        <v>44805</v>
      </c>
      <c r="D7" s="86" t="s">
        <v>18</v>
      </c>
      <c r="E7" s="86" t="s">
        <v>511</v>
      </c>
      <c r="F7" s="86">
        <v>150</v>
      </c>
      <c r="G7" s="86">
        <v>100</v>
      </c>
      <c r="H7" s="87">
        <v>-50</v>
      </c>
      <c r="I7" s="86">
        <v>100</v>
      </c>
      <c r="J7" s="21">
        <f t="shared" si="0"/>
        <v>-5000</v>
      </c>
      <c r="K7" s="7"/>
      <c r="M7" s="213"/>
      <c r="N7" s="112"/>
      <c r="O7" s="114"/>
      <c r="P7" s="114"/>
      <c r="Q7" s="198"/>
      <c r="R7" s="200"/>
      <c r="V7" s="5">
        <f t="shared" si="2"/>
        <v>0</v>
      </c>
      <c r="W7" s="5">
        <f t="shared" si="3"/>
        <v>1</v>
      </c>
    </row>
    <row r="8" spans="1:23" x14ac:dyDescent="0.3">
      <c r="A8" s="6"/>
      <c r="B8" s="88">
        <v>3</v>
      </c>
      <c r="C8" s="85">
        <v>44806</v>
      </c>
      <c r="D8" s="86" t="s">
        <v>18</v>
      </c>
      <c r="E8" s="86" t="s">
        <v>523</v>
      </c>
      <c r="F8" s="86">
        <v>150</v>
      </c>
      <c r="G8" s="86">
        <v>160</v>
      </c>
      <c r="H8" s="87">
        <v>10</v>
      </c>
      <c r="I8" s="86">
        <v>100</v>
      </c>
      <c r="J8" s="21">
        <f t="shared" si="0"/>
        <v>1000</v>
      </c>
      <c r="K8" s="7"/>
      <c r="M8" s="214" t="s">
        <v>194</v>
      </c>
      <c r="N8" s="112">
        <f>COUNT(C137:C182)</f>
        <v>35</v>
      </c>
      <c r="O8" s="114">
        <f>V183</f>
        <v>31</v>
      </c>
      <c r="P8" s="113">
        <v>4</v>
      </c>
      <c r="Q8" s="198">
        <v>0</v>
      </c>
      <c r="R8" s="203">
        <f t="shared" ref="R8:R10" si="4">O8/N8</f>
        <v>0.88571428571428568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44809</v>
      </c>
      <c r="D9" s="86" t="s">
        <v>18</v>
      </c>
      <c r="E9" s="86" t="s">
        <v>509</v>
      </c>
      <c r="F9" s="86">
        <v>140</v>
      </c>
      <c r="G9" s="86">
        <v>180</v>
      </c>
      <c r="H9" s="87">
        <v>40</v>
      </c>
      <c r="I9" s="86">
        <v>100</v>
      </c>
      <c r="J9" s="21">
        <f t="shared" si="0"/>
        <v>4000</v>
      </c>
      <c r="K9" s="7"/>
      <c r="M9" s="215"/>
      <c r="N9" s="184"/>
      <c r="O9" s="172"/>
      <c r="P9" s="114"/>
      <c r="Q9" s="174"/>
      <c r="R9" s="204"/>
      <c r="V9" s="5">
        <f t="shared" si="2"/>
        <v>1</v>
      </c>
      <c r="W9" s="5">
        <f t="shared" si="3"/>
        <v>0</v>
      </c>
    </row>
    <row r="10" spans="1:23" ht="16.5" customHeight="1" x14ac:dyDescent="0.3">
      <c r="A10" s="6"/>
      <c r="B10" s="88">
        <v>5</v>
      </c>
      <c r="C10" s="85">
        <v>44809</v>
      </c>
      <c r="D10" s="86" t="s">
        <v>18</v>
      </c>
      <c r="E10" s="86" t="s">
        <v>711</v>
      </c>
      <c r="F10" s="86">
        <v>140</v>
      </c>
      <c r="G10" s="86">
        <v>130</v>
      </c>
      <c r="H10" s="87">
        <v>-10</v>
      </c>
      <c r="I10" s="86">
        <v>100</v>
      </c>
      <c r="J10" s="21">
        <f t="shared" si="0"/>
        <v>-1000</v>
      </c>
      <c r="K10" s="7"/>
      <c r="M10" s="207" t="s">
        <v>19</v>
      </c>
      <c r="N10" s="149">
        <f>SUM(N4:N9)</f>
        <v>107</v>
      </c>
      <c r="O10" s="209">
        <f>SUM(O4:O9)</f>
        <v>93</v>
      </c>
      <c r="P10" s="209">
        <f>SUM(P4:P9)</f>
        <v>14</v>
      </c>
      <c r="Q10" s="211">
        <f>SUM(Q4:Q9)</f>
        <v>0</v>
      </c>
      <c r="R10" s="199">
        <f t="shared" si="4"/>
        <v>0.86915887850467288</v>
      </c>
      <c r="V10" s="5">
        <f t="shared" si="2"/>
        <v>0</v>
      </c>
      <c r="W10" s="5">
        <f t="shared" si="3"/>
        <v>1</v>
      </c>
    </row>
    <row r="11" spans="1:23" ht="15.75" customHeight="1" thickBot="1" x14ac:dyDescent="0.35">
      <c r="A11" s="6"/>
      <c r="B11" s="17">
        <v>6</v>
      </c>
      <c r="C11" s="85">
        <v>44810</v>
      </c>
      <c r="D11" s="86" t="s">
        <v>18</v>
      </c>
      <c r="E11" s="86" t="s">
        <v>711</v>
      </c>
      <c r="F11" s="86">
        <v>150</v>
      </c>
      <c r="G11" s="86">
        <v>182</v>
      </c>
      <c r="H11" s="87">
        <f>182-150</f>
        <v>32</v>
      </c>
      <c r="I11" s="86">
        <v>100</v>
      </c>
      <c r="J11" s="21">
        <f t="shared" si="0"/>
        <v>3200</v>
      </c>
      <c r="K11" s="7"/>
      <c r="M11" s="208"/>
      <c r="N11" s="150"/>
      <c r="O11" s="210"/>
      <c r="P11" s="210"/>
      <c r="Q11" s="212"/>
      <c r="R11" s="204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44811</v>
      </c>
      <c r="D12" s="86" t="s">
        <v>18</v>
      </c>
      <c r="E12" s="86" t="s">
        <v>719</v>
      </c>
      <c r="F12" s="86">
        <v>150</v>
      </c>
      <c r="G12" s="86">
        <v>117</v>
      </c>
      <c r="H12" s="87">
        <v>-33</v>
      </c>
      <c r="I12" s="86">
        <v>100</v>
      </c>
      <c r="J12" s="21">
        <f t="shared" si="0"/>
        <v>-3300</v>
      </c>
      <c r="K12" s="7"/>
      <c r="M12" s="126" t="s">
        <v>20</v>
      </c>
      <c r="N12" s="130"/>
      <c r="O12" s="131"/>
      <c r="P12" s="138">
        <f>R10</f>
        <v>0.86915887850467288</v>
      </c>
      <c r="Q12" s="139"/>
      <c r="R12" s="137"/>
      <c r="V12" s="5">
        <f t="shared" si="2"/>
        <v>0</v>
      </c>
      <c r="W12" s="5">
        <f t="shared" si="3"/>
        <v>1</v>
      </c>
    </row>
    <row r="13" spans="1:23" ht="15" customHeight="1" x14ac:dyDescent="0.3">
      <c r="A13" s="6"/>
      <c r="B13" s="17">
        <v>8</v>
      </c>
      <c r="C13" s="85">
        <v>44811</v>
      </c>
      <c r="D13" s="86" t="s">
        <v>18</v>
      </c>
      <c r="E13" s="86" t="s">
        <v>634</v>
      </c>
      <c r="F13" s="86">
        <v>130</v>
      </c>
      <c r="G13" s="86">
        <v>150</v>
      </c>
      <c r="H13" s="87">
        <v>20</v>
      </c>
      <c r="I13" s="86">
        <v>100</v>
      </c>
      <c r="J13" s="21">
        <f t="shared" si="0"/>
        <v>2000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44812</v>
      </c>
      <c r="D14" s="86" t="s">
        <v>18</v>
      </c>
      <c r="E14" s="86" t="s">
        <v>510</v>
      </c>
      <c r="F14" s="86">
        <v>120</v>
      </c>
      <c r="G14" s="86">
        <v>100</v>
      </c>
      <c r="H14" s="87">
        <v>-20</v>
      </c>
      <c r="I14" s="86">
        <v>100</v>
      </c>
      <c r="J14" s="21">
        <f t="shared" si="0"/>
        <v>-2000</v>
      </c>
      <c r="K14" s="7"/>
      <c r="M14" s="132"/>
      <c r="N14" s="133"/>
      <c r="O14" s="134"/>
      <c r="P14" s="141"/>
      <c r="Q14" s="142"/>
      <c r="R14" s="143"/>
      <c r="V14" s="5">
        <f t="shared" si="2"/>
        <v>0</v>
      </c>
      <c r="W14" s="5">
        <f t="shared" si="3"/>
        <v>1</v>
      </c>
    </row>
    <row r="15" spans="1:23" x14ac:dyDescent="0.3">
      <c r="A15" s="6"/>
      <c r="B15" s="17">
        <v>10</v>
      </c>
      <c r="C15" s="85">
        <v>44816</v>
      </c>
      <c r="D15" s="86" t="s">
        <v>18</v>
      </c>
      <c r="E15" s="86" t="s">
        <v>721</v>
      </c>
      <c r="F15" s="86">
        <v>150</v>
      </c>
      <c r="G15" s="86">
        <v>165</v>
      </c>
      <c r="H15" s="87">
        <v>15</v>
      </c>
      <c r="I15" s="86">
        <v>100</v>
      </c>
      <c r="J15" s="21">
        <f t="shared" si="0"/>
        <v>1500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85">
        <v>44817</v>
      </c>
      <c r="D16" s="86" t="s">
        <v>18</v>
      </c>
      <c r="E16" s="86" t="s">
        <v>517</v>
      </c>
      <c r="F16" s="86">
        <v>140</v>
      </c>
      <c r="G16" s="86">
        <v>150</v>
      </c>
      <c r="H16" s="87">
        <v>10</v>
      </c>
      <c r="I16" s="86">
        <v>100</v>
      </c>
      <c r="J16" s="21">
        <f t="shared" si="0"/>
        <v>1000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85">
        <v>44818</v>
      </c>
      <c r="D17" s="86" t="s">
        <v>18</v>
      </c>
      <c r="E17" s="86" t="s">
        <v>515</v>
      </c>
      <c r="F17" s="86">
        <v>130</v>
      </c>
      <c r="G17" s="86">
        <v>207</v>
      </c>
      <c r="H17" s="87">
        <f>207-130</f>
        <v>77</v>
      </c>
      <c r="I17" s="86">
        <v>100</v>
      </c>
      <c r="J17" s="21">
        <f t="shared" si="0"/>
        <v>7700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85">
        <v>44818</v>
      </c>
      <c r="D18" s="86" t="s">
        <v>18</v>
      </c>
      <c r="E18" s="86" t="s">
        <v>520</v>
      </c>
      <c r="F18" s="86">
        <v>150</v>
      </c>
      <c r="G18" s="86">
        <v>250</v>
      </c>
      <c r="H18" s="87">
        <v>100</v>
      </c>
      <c r="I18" s="86">
        <v>100</v>
      </c>
      <c r="J18" s="21">
        <f t="shared" si="0"/>
        <v>10000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85">
        <v>44819</v>
      </c>
      <c r="D19" s="86" t="s">
        <v>18</v>
      </c>
      <c r="E19" s="86" t="s">
        <v>519</v>
      </c>
      <c r="F19" s="86">
        <v>130</v>
      </c>
      <c r="G19" s="86">
        <v>80</v>
      </c>
      <c r="H19" s="87">
        <v>-50</v>
      </c>
      <c r="I19" s="86">
        <v>100</v>
      </c>
      <c r="J19" s="21">
        <f t="shared" si="0"/>
        <v>-5000</v>
      </c>
      <c r="K19" s="7"/>
      <c r="V19" s="5">
        <f t="shared" si="2"/>
        <v>0</v>
      </c>
      <c r="W19" s="5">
        <f t="shared" si="3"/>
        <v>1</v>
      </c>
    </row>
    <row r="20" spans="1:23" x14ac:dyDescent="0.3">
      <c r="A20" s="6"/>
      <c r="B20" s="88">
        <v>15</v>
      </c>
      <c r="C20" s="85">
        <v>44819</v>
      </c>
      <c r="D20" s="86" t="s">
        <v>18</v>
      </c>
      <c r="E20" s="86" t="s">
        <v>722</v>
      </c>
      <c r="F20" s="86">
        <v>140</v>
      </c>
      <c r="G20" s="86">
        <v>204</v>
      </c>
      <c r="H20" s="87">
        <f>204-140</f>
        <v>64</v>
      </c>
      <c r="I20" s="86">
        <v>100</v>
      </c>
      <c r="J20" s="21">
        <f t="shared" si="0"/>
        <v>6400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85">
        <v>44819</v>
      </c>
      <c r="D21" s="86" t="s">
        <v>18</v>
      </c>
      <c r="E21" s="86" t="s">
        <v>722</v>
      </c>
      <c r="F21" s="86">
        <v>120</v>
      </c>
      <c r="G21" s="86">
        <v>154</v>
      </c>
      <c r="H21" s="87">
        <f>154-120</f>
        <v>34</v>
      </c>
      <c r="I21" s="86">
        <v>100</v>
      </c>
      <c r="J21" s="21">
        <f t="shared" si="0"/>
        <v>3400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44820</v>
      </c>
      <c r="D22" s="19" t="s">
        <v>18</v>
      </c>
      <c r="E22" s="19" t="s">
        <v>723</v>
      </c>
      <c r="F22" s="35">
        <v>140</v>
      </c>
      <c r="G22" s="35">
        <v>120</v>
      </c>
      <c r="H22" s="35">
        <v>-20</v>
      </c>
      <c r="I22" s="20">
        <v>100</v>
      </c>
      <c r="J22" s="21">
        <f t="shared" si="0"/>
        <v>-2000</v>
      </c>
      <c r="K22" s="7"/>
      <c r="V22" s="5">
        <f t="shared" si="2"/>
        <v>0</v>
      </c>
      <c r="W22" s="5">
        <f t="shared" si="3"/>
        <v>1</v>
      </c>
    </row>
    <row r="23" spans="1:23" x14ac:dyDescent="0.3">
      <c r="A23" s="6"/>
      <c r="B23" s="17">
        <v>18</v>
      </c>
      <c r="C23" s="18">
        <v>44820</v>
      </c>
      <c r="D23" s="19" t="s">
        <v>18</v>
      </c>
      <c r="E23" s="19" t="s">
        <v>724</v>
      </c>
      <c r="F23" s="35">
        <v>190</v>
      </c>
      <c r="G23" s="35">
        <v>290</v>
      </c>
      <c r="H23" s="35">
        <v>100</v>
      </c>
      <c r="I23" s="20">
        <v>100</v>
      </c>
      <c r="J23" s="21">
        <f t="shared" si="0"/>
        <v>10000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44823</v>
      </c>
      <c r="D24" s="19" t="s">
        <v>18</v>
      </c>
      <c r="E24" s="19" t="s">
        <v>726</v>
      </c>
      <c r="F24" s="35">
        <v>160</v>
      </c>
      <c r="G24" s="35">
        <v>185</v>
      </c>
      <c r="H24" s="35">
        <f>185-160</f>
        <v>25</v>
      </c>
      <c r="I24" s="20">
        <v>100</v>
      </c>
      <c r="J24" s="21">
        <f t="shared" si="0"/>
        <v>2500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44823</v>
      </c>
      <c r="D25" s="19" t="s">
        <v>18</v>
      </c>
      <c r="E25" s="19" t="s">
        <v>727</v>
      </c>
      <c r="F25" s="35">
        <v>140</v>
      </c>
      <c r="G25" s="35">
        <v>158</v>
      </c>
      <c r="H25" s="35">
        <f>158-140</f>
        <v>18</v>
      </c>
      <c r="I25" s="20">
        <v>100</v>
      </c>
      <c r="J25" s="21">
        <f t="shared" si="0"/>
        <v>1800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44824</v>
      </c>
      <c r="D26" s="19" t="s">
        <v>18</v>
      </c>
      <c r="E26" s="19" t="s">
        <v>728</v>
      </c>
      <c r="F26" s="35">
        <v>140</v>
      </c>
      <c r="G26" s="35">
        <v>154</v>
      </c>
      <c r="H26" s="35">
        <v>14</v>
      </c>
      <c r="I26" s="20">
        <v>100</v>
      </c>
      <c r="J26" s="21">
        <f t="shared" si="0"/>
        <v>1400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44824</v>
      </c>
      <c r="D27" s="19" t="s">
        <v>18</v>
      </c>
      <c r="E27" s="19" t="s">
        <v>519</v>
      </c>
      <c r="F27" s="35">
        <v>150</v>
      </c>
      <c r="G27" s="35">
        <v>239</v>
      </c>
      <c r="H27" s="19">
        <f>239-150</f>
        <v>89</v>
      </c>
      <c r="I27" s="20">
        <v>100</v>
      </c>
      <c r="J27" s="21">
        <f t="shared" si="0"/>
        <v>8900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44825</v>
      </c>
      <c r="D28" s="19" t="s">
        <v>18</v>
      </c>
      <c r="E28" s="19" t="s">
        <v>726</v>
      </c>
      <c r="F28" s="35">
        <v>160</v>
      </c>
      <c r="G28" s="35">
        <v>110</v>
      </c>
      <c r="H28" s="19">
        <v>-50</v>
      </c>
      <c r="I28" s="20">
        <v>100</v>
      </c>
      <c r="J28" s="21">
        <f t="shared" si="0"/>
        <v>-5000</v>
      </c>
      <c r="K28" s="7"/>
      <c r="V28" s="5">
        <f t="shared" si="2"/>
        <v>0</v>
      </c>
      <c r="W28" s="5">
        <f t="shared" si="3"/>
        <v>1</v>
      </c>
    </row>
    <row r="29" spans="1:23" x14ac:dyDescent="0.3">
      <c r="A29" s="6"/>
      <c r="B29" s="17">
        <v>24</v>
      </c>
      <c r="C29" s="18">
        <v>44825</v>
      </c>
      <c r="D29" s="19" t="s">
        <v>18</v>
      </c>
      <c r="E29" s="19" t="s">
        <v>521</v>
      </c>
      <c r="F29" s="20">
        <v>150</v>
      </c>
      <c r="G29" s="20">
        <v>250</v>
      </c>
      <c r="H29" s="19">
        <v>100</v>
      </c>
      <c r="I29" s="20">
        <v>100</v>
      </c>
      <c r="J29" s="21">
        <f t="shared" si="0"/>
        <v>10000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44826</v>
      </c>
      <c r="D30" s="25" t="s">
        <v>18</v>
      </c>
      <c r="E30" s="25" t="s">
        <v>729</v>
      </c>
      <c r="F30" s="26">
        <v>140</v>
      </c>
      <c r="G30" s="61">
        <v>185</v>
      </c>
      <c r="H30" s="61">
        <f>185-140</f>
        <v>45</v>
      </c>
      <c r="I30" s="26">
        <v>100</v>
      </c>
      <c r="J30" s="21">
        <f t="shared" si="0"/>
        <v>4500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44826</v>
      </c>
      <c r="D31" s="25" t="s">
        <v>18</v>
      </c>
      <c r="E31" s="25" t="s">
        <v>730</v>
      </c>
      <c r="F31" s="26">
        <v>140</v>
      </c>
      <c r="G31" s="61">
        <v>210</v>
      </c>
      <c r="H31" s="61">
        <f>210-140</f>
        <v>70</v>
      </c>
      <c r="I31" s="26">
        <v>100</v>
      </c>
      <c r="J31" s="21">
        <f t="shared" si="0"/>
        <v>7000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44827</v>
      </c>
      <c r="D32" s="25" t="s">
        <v>18</v>
      </c>
      <c r="E32" s="25" t="s">
        <v>731</v>
      </c>
      <c r="F32" s="26">
        <v>200</v>
      </c>
      <c r="G32" s="61">
        <v>290</v>
      </c>
      <c r="H32" s="61">
        <v>90</v>
      </c>
      <c r="I32" s="26">
        <v>100</v>
      </c>
      <c r="J32" s="21">
        <f t="shared" si="0"/>
        <v>9000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44827</v>
      </c>
      <c r="D33" s="25" t="s">
        <v>18</v>
      </c>
      <c r="E33" s="25" t="s">
        <v>732</v>
      </c>
      <c r="F33" s="26">
        <v>200</v>
      </c>
      <c r="G33" s="61">
        <v>250</v>
      </c>
      <c r="H33" s="61">
        <v>50</v>
      </c>
      <c r="I33" s="26">
        <v>100</v>
      </c>
      <c r="J33" s="21">
        <f t="shared" si="0"/>
        <v>5000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44830</v>
      </c>
      <c r="D34" s="25" t="s">
        <v>18</v>
      </c>
      <c r="E34" s="25" t="s">
        <v>635</v>
      </c>
      <c r="F34" s="26">
        <v>190</v>
      </c>
      <c r="G34" s="61">
        <v>220</v>
      </c>
      <c r="H34" s="61">
        <f>220-190</f>
        <v>30</v>
      </c>
      <c r="I34" s="26">
        <v>100</v>
      </c>
      <c r="J34" s="21">
        <f t="shared" si="0"/>
        <v>3000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44830</v>
      </c>
      <c r="D35" s="25" t="s">
        <v>18</v>
      </c>
      <c r="E35" s="25" t="s">
        <v>556</v>
      </c>
      <c r="F35" s="26">
        <v>240</v>
      </c>
      <c r="G35" s="61">
        <v>265</v>
      </c>
      <c r="H35" s="61">
        <v>25</v>
      </c>
      <c r="I35" s="26">
        <v>100</v>
      </c>
      <c r="J35" s="21">
        <f t="shared" si="0"/>
        <v>2500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44830</v>
      </c>
      <c r="D36" s="25" t="s">
        <v>18</v>
      </c>
      <c r="E36" s="25" t="s">
        <v>556</v>
      </c>
      <c r="F36" s="26">
        <v>200</v>
      </c>
      <c r="G36" s="61">
        <v>225</v>
      </c>
      <c r="H36" s="61">
        <v>25</v>
      </c>
      <c r="I36" s="26">
        <v>100</v>
      </c>
      <c r="J36" s="21">
        <f t="shared" si="0"/>
        <v>2500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44831</v>
      </c>
      <c r="D37" s="25" t="s">
        <v>18</v>
      </c>
      <c r="E37" s="25" t="s">
        <v>627</v>
      </c>
      <c r="F37" s="26">
        <v>140</v>
      </c>
      <c r="G37" s="61">
        <v>160</v>
      </c>
      <c r="H37" s="61">
        <v>20</v>
      </c>
      <c r="I37" s="26">
        <v>100</v>
      </c>
      <c r="J37" s="21">
        <f t="shared" si="0"/>
        <v>2000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44831</v>
      </c>
      <c r="D38" s="25" t="s">
        <v>18</v>
      </c>
      <c r="E38" s="25" t="s">
        <v>556</v>
      </c>
      <c r="F38" s="26">
        <v>180</v>
      </c>
      <c r="G38" s="61">
        <v>280</v>
      </c>
      <c r="H38" s="61">
        <v>100</v>
      </c>
      <c r="I38" s="26">
        <v>100</v>
      </c>
      <c r="J38" s="21">
        <f t="shared" si="0"/>
        <v>10000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44832</v>
      </c>
      <c r="D39" s="25" t="s">
        <v>18</v>
      </c>
      <c r="E39" s="25" t="s">
        <v>635</v>
      </c>
      <c r="F39" s="26">
        <v>180</v>
      </c>
      <c r="G39" s="61">
        <v>230</v>
      </c>
      <c r="H39" s="61">
        <v>50</v>
      </c>
      <c r="I39" s="26">
        <v>100</v>
      </c>
      <c r="J39" s="21">
        <f t="shared" si="0"/>
        <v>5000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44832</v>
      </c>
      <c r="D40" s="25" t="s">
        <v>18</v>
      </c>
      <c r="E40" s="25" t="s">
        <v>457</v>
      </c>
      <c r="F40" s="26">
        <v>150</v>
      </c>
      <c r="G40" s="61">
        <v>165</v>
      </c>
      <c r="H40" s="61">
        <v>15</v>
      </c>
      <c r="I40" s="26">
        <v>100</v>
      </c>
      <c r="J40" s="21">
        <f t="shared" si="0"/>
        <v>1500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18">
        <v>44833</v>
      </c>
      <c r="D41" s="19" t="s">
        <v>18</v>
      </c>
      <c r="E41" s="19" t="s">
        <v>556</v>
      </c>
      <c r="F41" s="35">
        <v>180</v>
      </c>
      <c r="G41" s="35">
        <v>280</v>
      </c>
      <c r="H41" s="35">
        <v>100</v>
      </c>
      <c r="I41" s="26">
        <v>100</v>
      </c>
      <c r="J41" s="21">
        <f t="shared" si="0"/>
        <v>10000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18">
        <v>44833</v>
      </c>
      <c r="D42" s="19" t="s">
        <v>18</v>
      </c>
      <c r="E42" s="19" t="s">
        <v>734</v>
      </c>
      <c r="F42" s="35">
        <v>140</v>
      </c>
      <c r="G42" s="35">
        <v>240</v>
      </c>
      <c r="H42" s="35">
        <v>100</v>
      </c>
      <c r="I42" s="26">
        <v>100</v>
      </c>
      <c r="J42" s="21">
        <f t="shared" si="0"/>
        <v>10000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17">
        <v>38</v>
      </c>
      <c r="C43" s="24">
        <v>44834</v>
      </c>
      <c r="D43" s="25" t="s">
        <v>18</v>
      </c>
      <c r="E43" s="25" t="s">
        <v>619</v>
      </c>
      <c r="F43" s="26">
        <v>170</v>
      </c>
      <c r="G43" s="61">
        <v>199</v>
      </c>
      <c r="H43" s="61">
        <f>199-170</f>
        <v>29</v>
      </c>
      <c r="I43" s="26">
        <v>100</v>
      </c>
      <c r="J43" s="21">
        <f t="shared" si="0"/>
        <v>2900</v>
      </c>
      <c r="K43" s="7"/>
      <c r="V43" s="5">
        <f t="shared" si="2"/>
        <v>1</v>
      </c>
      <c r="W43" s="5">
        <f t="shared" si="3"/>
        <v>0</v>
      </c>
    </row>
    <row r="44" spans="1:23" x14ac:dyDescent="0.3">
      <c r="A44" s="6"/>
      <c r="B44" s="17">
        <v>39</v>
      </c>
      <c r="C44" s="24">
        <v>44834</v>
      </c>
      <c r="D44" s="25" t="s">
        <v>18</v>
      </c>
      <c r="E44" s="25" t="s">
        <v>457</v>
      </c>
      <c r="F44" s="26">
        <v>170</v>
      </c>
      <c r="G44" s="61">
        <v>270</v>
      </c>
      <c r="H44" s="61">
        <v>100</v>
      </c>
      <c r="I44" s="26">
        <v>100</v>
      </c>
      <c r="J44" s="21">
        <f t="shared" si="0"/>
        <v>10000</v>
      </c>
      <c r="K44" s="7"/>
      <c r="V44" s="5">
        <f t="shared" si="2"/>
        <v>1</v>
      </c>
      <c r="W44" s="5">
        <f t="shared" si="3"/>
        <v>0</v>
      </c>
    </row>
    <row r="45" spans="1:23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x14ac:dyDescent="0.3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x14ac:dyDescent="0.3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x14ac:dyDescent="0.3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x14ac:dyDescent="0.3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146400</v>
      </c>
      <c r="K59" s="7"/>
      <c r="V59" s="5">
        <f>SUM(V6:V58)</f>
        <v>32</v>
      </c>
      <c r="W59" s="5">
        <f>SUM(W6:W58)</f>
        <v>7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718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44805</v>
      </c>
      <c r="D67" s="67" t="s">
        <v>69</v>
      </c>
      <c r="E67" s="67" t="s">
        <v>89</v>
      </c>
      <c r="F67" s="68">
        <v>1045</v>
      </c>
      <c r="G67" s="68">
        <v>1035</v>
      </c>
      <c r="H67" s="97">
        <v>10</v>
      </c>
      <c r="I67" s="68">
        <v>275</v>
      </c>
      <c r="J67" s="92">
        <f>H67*I67</f>
        <v>2750</v>
      </c>
      <c r="K67" s="7"/>
      <c r="V67" s="5">
        <f t="shared" ref="V67:V128" si="5">IF($J67&gt;0,1,0)</f>
        <v>1</v>
      </c>
      <c r="W67" s="5">
        <f t="shared" ref="W67:W128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44805</v>
      </c>
      <c r="D68" s="67" t="s">
        <v>18</v>
      </c>
      <c r="E68" s="67" t="s">
        <v>564</v>
      </c>
      <c r="F68" s="97">
        <v>2665</v>
      </c>
      <c r="G68" s="97">
        <v>2685</v>
      </c>
      <c r="H68" s="97">
        <v>20</v>
      </c>
      <c r="I68" s="20">
        <v>375</v>
      </c>
      <c r="J68" s="21">
        <f>H68*I68</f>
        <v>7500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8" si="7">B68+1</f>
        <v>3</v>
      </c>
      <c r="C69" s="18">
        <v>44806</v>
      </c>
      <c r="D69" s="19" t="s">
        <v>69</v>
      </c>
      <c r="E69" s="19" t="s">
        <v>142</v>
      </c>
      <c r="F69" s="35">
        <v>1328</v>
      </c>
      <c r="G69" s="97">
        <v>1319.15</v>
      </c>
      <c r="H69" s="35">
        <f>1328-1319.15</f>
        <v>8.8499999999999091</v>
      </c>
      <c r="I69" s="20">
        <v>600</v>
      </c>
      <c r="J69" s="21">
        <f>H69*I69</f>
        <v>5309.9999999999454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44809</v>
      </c>
      <c r="D70" s="19" t="s">
        <v>18</v>
      </c>
      <c r="E70" s="19" t="s">
        <v>254</v>
      </c>
      <c r="F70" s="35">
        <v>400</v>
      </c>
      <c r="G70" s="97">
        <v>401.59</v>
      </c>
      <c r="H70" s="35">
        <v>1.59</v>
      </c>
      <c r="I70" s="20">
        <v>1650</v>
      </c>
      <c r="J70" s="21">
        <f>H70*I70</f>
        <v>2623.5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44809</v>
      </c>
      <c r="D71" s="19" t="s">
        <v>69</v>
      </c>
      <c r="E71" s="19" t="s">
        <v>294</v>
      </c>
      <c r="F71" s="35">
        <v>1905</v>
      </c>
      <c r="G71" s="97">
        <v>1896</v>
      </c>
      <c r="H71" s="35">
        <f>1905-1896</f>
        <v>9</v>
      </c>
      <c r="I71" s="20">
        <v>275</v>
      </c>
      <c r="J71" s="21">
        <f>H71*I71</f>
        <v>2475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44810</v>
      </c>
      <c r="D72" s="19" t="s">
        <v>69</v>
      </c>
      <c r="E72" s="19" t="s">
        <v>720</v>
      </c>
      <c r="F72" s="20">
        <v>1516</v>
      </c>
      <c r="G72" s="97">
        <v>1508</v>
      </c>
      <c r="H72" s="35">
        <f>1516-1508</f>
        <v>8</v>
      </c>
      <c r="I72" s="20">
        <v>500</v>
      </c>
      <c r="J72" s="21">
        <f t="shared" ref="J72:J128" si="8">I72*H72</f>
        <v>4000</v>
      </c>
      <c r="K72" s="7"/>
      <c r="V72" s="5">
        <f t="shared" si="5"/>
        <v>1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>
        <v>44811</v>
      </c>
      <c r="D73" s="19" t="s">
        <v>18</v>
      </c>
      <c r="E73" s="19" t="s">
        <v>606</v>
      </c>
      <c r="F73" s="35">
        <v>1425</v>
      </c>
      <c r="G73" s="97">
        <v>1430</v>
      </c>
      <c r="H73" s="35">
        <v>5</v>
      </c>
      <c r="I73" s="20">
        <v>725</v>
      </c>
      <c r="J73" s="21">
        <f t="shared" si="8"/>
        <v>3625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44811</v>
      </c>
      <c r="D74" s="19" t="s">
        <v>69</v>
      </c>
      <c r="E74" s="19" t="s">
        <v>659</v>
      </c>
      <c r="F74" s="35">
        <v>452</v>
      </c>
      <c r="G74" s="97">
        <v>447</v>
      </c>
      <c r="H74" s="35">
        <f>452-447</f>
        <v>5</v>
      </c>
      <c r="I74" s="20">
        <v>1425</v>
      </c>
      <c r="J74" s="21">
        <f t="shared" si="8"/>
        <v>7125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44812</v>
      </c>
      <c r="D75" s="19" t="s">
        <v>69</v>
      </c>
      <c r="E75" s="19" t="s">
        <v>71</v>
      </c>
      <c r="F75" s="35">
        <v>2592</v>
      </c>
      <c r="G75" s="97">
        <v>2576</v>
      </c>
      <c r="H75" s="35">
        <f>2592-2576</f>
        <v>16</v>
      </c>
      <c r="I75" s="20">
        <v>250</v>
      </c>
      <c r="J75" s="21">
        <f t="shared" si="8"/>
        <v>4000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44813</v>
      </c>
      <c r="D76" s="19" t="s">
        <v>69</v>
      </c>
      <c r="E76" s="19" t="s">
        <v>497</v>
      </c>
      <c r="F76" s="35">
        <v>8840</v>
      </c>
      <c r="G76" s="97">
        <v>8780</v>
      </c>
      <c r="H76" s="35">
        <v>40</v>
      </c>
      <c r="I76" s="20">
        <v>100</v>
      </c>
      <c r="J76" s="21">
        <f t="shared" si="8"/>
        <v>4000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>
        <v>44813</v>
      </c>
      <c r="D77" s="19" t="s">
        <v>69</v>
      </c>
      <c r="E77" s="19" t="s">
        <v>71</v>
      </c>
      <c r="F77" s="19">
        <v>2592</v>
      </c>
      <c r="G77" s="97">
        <v>2582</v>
      </c>
      <c r="H77" s="35">
        <v>10</v>
      </c>
      <c r="I77" s="20">
        <v>250</v>
      </c>
      <c r="J77" s="21">
        <f t="shared" si="8"/>
        <v>2500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>
        <v>44816</v>
      </c>
      <c r="D78" s="19" t="s">
        <v>18</v>
      </c>
      <c r="E78" s="19" t="s">
        <v>606</v>
      </c>
      <c r="F78" s="35">
        <v>1420</v>
      </c>
      <c r="G78" s="97">
        <v>1420</v>
      </c>
      <c r="H78" s="35">
        <v>0</v>
      </c>
      <c r="I78" s="20">
        <v>725</v>
      </c>
      <c r="J78" s="21">
        <f t="shared" si="8"/>
        <v>0</v>
      </c>
      <c r="K78" s="7"/>
      <c r="V78" s="5">
        <f t="shared" si="5"/>
        <v>0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44816</v>
      </c>
      <c r="D79" s="19" t="s">
        <v>18</v>
      </c>
      <c r="E79" s="19" t="s">
        <v>375</v>
      </c>
      <c r="F79" s="35">
        <v>1770</v>
      </c>
      <c r="G79" s="97">
        <v>1778</v>
      </c>
      <c r="H79" s="35">
        <v>8</v>
      </c>
      <c r="I79" s="20">
        <v>475</v>
      </c>
      <c r="J79" s="21">
        <f t="shared" si="8"/>
        <v>3800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44817</v>
      </c>
      <c r="D80" s="19" t="s">
        <v>69</v>
      </c>
      <c r="E80" s="19" t="s">
        <v>71</v>
      </c>
      <c r="F80" s="77">
        <v>2615</v>
      </c>
      <c r="G80" s="97">
        <v>2625</v>
      </c>
      <c r="H80" s="78">
        <v>-10</v>
      </c>
      <c r="I80" s="20">
        <v>250</v>
      </c>
      <c r="J80" s="21">
        <f t="shared" si="8"/>
        <v>-2500</v>
      </c>
      <c r="K80" s="7"/>
      <c r="V80" s="5">
        <f t="shared" si="5"/>
        <v>0</v>
      </c>
      <c r="W80" s="5">
        <f t="shared" si="6"/>
        <v>1</v>
      </c>
    </row>
    <row r="81" spans="1:23" s="36" customFormat="1" x14ac:dyDescent="0.3">
      <c r="A81" s="6"/>
      <c r="B81" s="17">
        <f t="shared" si="7"/>
        <v>15</v>
      </c>
      <c r="C81" s="18">
        <v>44818</v>
      </c>
      <c r="D81" s="19" t="s">
        <v>18</v>
      </c>
      <c r="E81" s="19" t="s">
        <v>359</v>
      </c>
      <c r="F81" s="35">
        <v>1305</v>
      </c>
      <c r="G81" s="97">
        <v>1315</v>
      </c>
      <c r="H81" s="78">
        <v>10</v>
      </c>
      <c r="I81" s="20">
        <v>700</v>
      </c>
      <c r="J81" s="21">
        <f t="shared" si="8"/>
        <v>7000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>
        <v>44818</v>
      </c>
      <c r="D82" s="19" t="s">
        <v>18</v>
      </c>
      <c r="E82" s="19" t="s">
        <v>377</v>
      </c>
      <c r="F82" s="35">
        <v>2695</v>
      </c>
      <c r="G82" s="97">
        <v>2715</v>
      </c>
      <c r="H82" s="78">
        <f>2715-2695</f>
        <v>20</v>
      </c>
      <c r="I82" s="20">
        <v>250</v>
      </c>
      <c r="J82" s="21">
        <f t="shared" si="8"/>
        <v>5000</v>
      </c>
      <c r="K82" s="7"/>
      <c r="V82" s="5">
        <f t="shared" si="5"/>
        <v>1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>
        <v>44819</v>
      </c>
      <c r="D83" s="19" t="s">
        <v>18</v>
      </c>
      <c r="E83" s="19" t="s">
        <v>359</v>
      </c>
      <c r="F83" s="35">
        <v>1314</v>
      </c>
      <c r="G83" s="97">
        <v>1304</v>
      </c>
      <c r="H83" s="35">
        <v>-10</v>
      </c>
      <c r="I83" s="20">
        <v>700</v>
      </c>
      <c r="J83" s="21">
        <f t="shared" si="8"/>
        <v>-7000</v>
      </c>
      <c r="K83" s="7"/>
      <c r="V83" s="5">
        <f t="shared" si="5"/>
        <v>0</v>
      </c>
      <c r="W83" s="5">
        <f t="shared" si="6"/>
        <v>1</v>
      </c>
    </row>
    <row r="84" spans="1:23" s="36" customFormat="1" x14ac:dyDescent="0.3">
      <c r="A84" s="6"/>
      <c r="B84" s="17">
        <f t="shared" si="7"/>
        <v>18</v>
      </c>
      <c r="C84" s="18">
        <v>44819</v>
      </c>
      <c r="D84" s="19" t="s">
        <v>69</v>
      </c>
      <c r="E84" s="19" t="s">
        <v>301</v>
      </c>
      <c r="F84" s="35">
        <v>577</v>
      </c>
      <c r="G84" s="97">
        <v>568.4</v>
      </c>
      <c r="H84" s="35">
        <f>577-568.4</f>
        <v>8.6000000000000227</v>
      </c>
      <c r="I84" s="20">
        <v>1100</v>
      </c>
      <c r="J84" s="21">
        <f t="shared" si="8"/>
        <v>9460.0000000000255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>
        <v>44820</v>
      </c>
      <c r="D85" s="19" t="s">
        <v>69</v>
      </c>
      <c r="E85" s="19" t="s">
        <v>690</v>
      </c>
      <c r="F85" s="35">
        <v>1715</v>
      </c>
      <c r="G85" s="97">
        <v>1685</v>
      </c>
      <c r="H85" s="35">
        <f>1715-1685</f>
        <v>30</v>
      </c>
      <c r="I85" s="20">
        <v>500</v>
      </c>
      <c r="J85" s="21">
        <f t="shared" si="8"/>
        <v>15000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>
        <v>44820</v>
      </c>
      <c r="D86" s="19" t="s">
        <v>69</v>
      </c>
      <c r="E86" s="19" t="s">
        <v>725</v>
      </c>
      <c r="F86" s="35">
        <v>289</v>
      </c>
      <c r="G86" s="97">
        <v>282</v>
      </c>
      <c r="H86" s="35">
        <f>289-282</f>
        <v>7</v>
      </c>
      <c r="I86" s="20">
        <v>3500</v>
      </c>
      <c r="J86" s="21">
        <f t="shared" si="8"/>
        <v>24500</v>
      </c>
      <c r="K86" s="7"/>
      <c r="V86" s="5">
        <f t="shared" si="5"/>
        <v>1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>
        <v>44823</v>
      </c>
      <c r="D87" s="19" t="s">
        <v>69</v>
      </c>
      <c r="E87" s="19" t="s">
        <v>606</v>
      </c>
      <c r="F87" s="35">
        <v>1414</v>
      </c>
      <c r="G87" s="97">
        <v>1394</v>
      </c>
      <c r="H87" s="35">
        <f>1414-1394</f>
        <v>20</v>
      </c>
      <c r="I87" s="20">
        <v>725</v>
      </c>
      <c r="J87" s="21">
        <f t="shared" si="8"/>
        <v>14500</v>
      </c>
      <c r="K87" s="7"/>
      <c r="V87" s="5">
        <f t="shared" si="5"/>
        <v>1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>
        <v>44823</v>
      </c>
      <c r="D88" s="19" t="s">
        <v>69</v>
      </c>
      <c r="E88" s="19" t="s">
        <v>604</v>
      </c>
      <c r="F88" s="35">
        <v>200</v>
      </c>
      <c r="G88" s="97">
        <v>198</v>
      </c>
      <c r="H88" s="35">
        <v>2</v>
      </c>
      <c r="I88" s="20">
        <v>2800</v>
      </c>
      <c r="J88" s="21">
        <f t="shared" si="8"/>
        <v>5600</v>
      </c>
      <c r="K88" s="7"/>
      <c r="V88" s="5">
        <f t="shared" si="5"/>
        <v>1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>
        <v>44824</v>
      </c>
      <c r="D89" s="19" t="s">
        <v>69</v>
      </c>
      <c r="E89" s="19" t="s">
        <v>733</v>
      </c>
      <c r="F89" s="35">
        <v>249.5</v>
      </c>
      <c r="G89" s="97">
        <v>247.45</v>
      </c>
      <c r="H89" s="35">
        <f>249.5-247.45</f>
        <v>2.0500000000000114</v>
      </c>
      <c r="I89" s="20">
        <v>2500</v>
      </c>
      <c r="J89" s="21">
        <f t="shared" si="8"/>
        <v>5125.0000000000282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>
        <v>44825</v>
      </c>
      <c r="D90" s="19" t="s">
        <v>69</v>
      </c>
      <c r="E90" s="19" t="s">
        <v>118</v>
      </c>
      <c r="F90" s="35">
        <v>424</v>
      </c>
      <c r="G90" s="97">
        <v>420</v>
      </c>
      <c r="H90" s="35">
        <v>4</v>
      </c>
      <c r="I90" s="20">
        <v>1375</v>
      </c>
      <c r="J90" s="21">
        <f t="shared" si="8"/>
        <v>5500</v>
      </c>
      <c r="K90" s="7"/>
      <c r="V90" s="5">
        <f t="shared" si="5"/>
        <v>1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>
        <v>44827</v>
      </c>
      <c r="D91" s="19" t="s">
        <v>18</v>
      </c>
      <c r="E91" s="19" t="s">
        <v>708</v>
      </c>
      <c r="F91" s="35">
        <v>401</v>
      </c>
      <c r="G91" s="97">
        <v>403.45</v>
      </c>
      <c r="H91" s="35">
        <f>403.45-401</f>
        <v>2.4499999999999886</v>
      </c>
      <c r="I91" s="20">
        <v>1500</v>
      </c>
      <c r="J91" s="21">
        <f>I90*H90</f>
        <v>5500</v>
      </c>
      <c r="K91" s="7"/>
      <c r="V91" s="5">
        <f t="shared" si="5"/>
        <v>1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>
        <v>44827</v>
      </c>
      <c r="D92" s="19" t="s">
        <v>69</v>
      </c>
      <c r="E92" s="19" t="s">
        <v>375</v>
      </c>
      <c r="F92" s="35">
        <v>1710</v>
      </c>
      <c r="G92" s="97">
        <v>1700</v>
      </c>
      <c r="H92" s="35">
        <v>10</v>
      </c>
      <c r="I92" s="20">
        <v>475</v>
      </c>
      <c r="J92" s="21">
        <f>I91*H91</f>
        <v>3674.9999999999827</v>
      </c>
      <c r="K92" s="7"/>
      <c r="V92" s="5">
        <f t="shared" si="5"/>
        <v>1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>
        <v>44830</v>
      </c>
      <c r="D93" s="19" t="s">
        <v>69</v>
      </c>
      <c r="E93" s="19" t="s">
        <v>70</v>
      </c>
      <c r="F93" s="35">
        <v>750</v>
      </c>
      <c r="G93" s="97">
        <v>744</v>
      </c>
      <c r="H93" s="35">
        <f>750-744</f>
        <v>6</v>
      </c>
      <c r="I93" s="20">
        <v>1200</v>
      </c>
      <c r="J93" s="21">
        <f t="shared" si="8"/>
        <v>7200</v>
      </c>
      <c r="K93" s="7"/>
      <c r="V93" s="5">
        <f t="shared" si="5"/>
        <v>1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>
        <v>44830</v>
      </c>
      <c r="D94" s="19" t="s">
        <v>69</v>
      </c>
      <c r="E94" s="19" t="s">
        <v>118</v>
      </c>
      <c r="F94" s="35">
        <v>391</v>
      </c>
      <c r="G94" s="97">
        <v>395</v>
      </c>
      <c r="H94" s="35">
        <v>-3</v>
      </c>
      <c r="I94" s="20">
        <v>1375</v>
      </c>
      <c r="J94" s="21">
        <f t="shared" si="8"/>
        <v>-4125</v>
      </c>
      <c r="K94" s="7"/>
      <c r="V94" s="5">
        <f t="shared" si="5"/>
        <v>0</v>
      </c>
      <c r="W94" s="5">
        <f t="shared" si="6"/>
        <v>1</v>
      </c>
    </row>
    <row r="95" spans="1:23" s="36" customFormat="1" x14ac:dyDescent="0.3">
      <c r="A95" s="6"/>
      <c r="B95" s="17">
        <f t="shared" si="7"/>
        <v>29</v>
      </c>
      <c r="C95" s="18">
        <v>44831</v>
      </c>
      <c r="D95" s="19" t="s">
        <v>18</v>
      </c>
      <c r="E95" s="19" t="s">
        <v>489</v>
      </c>
      <c r="F95" s="35">
        <v>673</v>
      </c>
      <c r="G95" s="97">
        <v>679.55</v>
      </c>
      <c r="H95" s="35">
        <f>679.55-673</f>
        <v>6.5499999999999545</v>
      </c>
      <c r="I95" s="20">
        <v>875</v>
      </c>
      <c r="J95" s="21">
        <f t="shared" si="8"/>
        <v>5731.24999999996</v>
      </c>
      <c r="K95" s="7"/>
      <c r="V95" s="5">
        <f t="shared" si="5"/>
        <v>1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>
        <v>44832</v>
      </c>
      <c r="D96" s="19" t="s">
        <v>18</v>
      </c>
      <c r="E96" s="19" t="s">
        <v>118</v>
      </c>
      <c r="F96" s="35">
        <v>425</v>
      </c>
      <c r="G96" s="97">
        <v>427.75</v>
      </c>
      <c r="H96" s="35">
        <v>2.75</v>
      </c>
      <c r="I96" s="20">
        <v>1375</v>
      </c>
      <c r="J96" s="21">
        <f t="shared" si="8"/>
        <v>3781.25</v>
      </c>
      <c r="K96" s="7"/>
      <c r="V96" s="5">
        <f t="shared" si="5"/>
        <v>1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>
        <v>44833</v>
      </c>
      <c r="D97" s="19" t="s">
        <v>69</v>
      </c>
      <c r="E97" s="19" t="s">
        <v>561</v>
      </c>
      <c r="F97" s="35">
        <v>3605</v>
      </c>
      <c r="G97" s="97">
        <v>3550</v>
      </c>
      <c r="H97" s="35">
        <f>3605-3550</f>
        <v>55</v>
      </c>
      <c r="I97" s="20">
        <v>500</v>
      </c>
      <c r="J97" s="21">
        <f t="shared" si="8"/>
        <v>27500</v>
      </c>
      <c r="K97" s="7"/>
      <c r="V97" s="5">
        <f t="shared" si="5"/>
        <v>1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>
        <v>44834</v>
      </c>
      <c r="D98" s="19" t="s">
        <v>18</v>
      </c>
      <c r="E98" s="19" t="s">
        <v>735</v>
      </c>
      <c r="F98" s="35">
        <v>340</v>
      </c>
      <c r="G98" s="97">
        <v>345</v>
      </c>
      <c r="H98" s="35">
        <v>5</v>
      </c>
      <c r="I98" s="20">
        <v>2000</v>
      </c>
      <c r="J98" s="21">
        <f t="shared" si="8"/>
        <v>10000</v>
      </c>
      <c r="K98" s="7"/>
      <c r="V98" s="5">
        <f t="shared" si="5"/>
        <v>1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>
        <v>44834</v>
      </c>
      <c r="D99" s="19" t="s">
        <v>18</v>
      </c>
      <c r="E99" s="19" t="s">
        <v>736</v>
      </c>
      <c r="F99" s="35">
        <v>1185</v>
      </c>
      <c r="G99" s="97">
        <v>1199</v>
      </c>
      <c r="H99" s="35">
        <f>1199-1185</f>
        <v>14</v>
      </c>
      <c r="I99" s="20">
        <v>600</v>
      </c>
      <c r="J99" s="21">
        <f t="shared" si="8"/>
        <v>8400</v>
      </c>
      <c r="K99" s="7"/>
      <c r="V99" s="5">
        <f t="shared" si="5"/>
        <v>1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ht="15" thickBot="1" x14ac:dyDescent="0.35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ht="15" hidden="1" thickBot="1" x14ac:dyDescent="0.35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t="15" hidden="1" thickBot="1" x14ac:dyDescent="0.35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t="15" hidden="1" thickBot="1" x14ac:dyDescent="0.35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t="15" hidden="1" thickBot="1" x14ac:dyDescent="0.35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t="15" hidden="1" thickBot="1" x14ac:dyDescent="0.35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t="15" hidden="1" thickBot="1" x14ac:dyDescent="0.35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t="15" hidden="1" thickBot="1" x14ac:dyDescent="0.35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t="15" hidden="1" thickBot="1" x14ac:dyDescent="0.35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t="15" hidden="1" thickBot="1" x14ac:dyDescent="0.35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t="15" hidden="1" thickBot="1" x14ac:dyDescent="0.35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hidden="1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15" hidden="1" thickBot="1" x14ac:dyDescent="0.35">
      <c r="A121" s="6"/>
      <c r="B121" s="17">
        <f t="shared" si="7"/>
        <v>51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52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15" hidden="1" thickBot="1" x14ac:dyDescent="0.35">
      <c r="A123" s="6"/>
      <c r="B123" s="17">
        <f t="shared" si="7"/>
        <v>53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hidden="1" thickBot="1" x14ac:dyDescent="0.35">
      <c r="A124" s="6"/>
      <c r="B124" s="17">
        <f t="shared" si="7"/>
        <v>54</v>
      </c>
      <c r="C124" s="18"/>
      <c r="D124" s="19"/>
      <c r="E124" s="19"/>
      <c r="F124" s="35"/>
      <c r="G124" s="35"/>
      <c r="H124" s="35"/>
      <c r="I124" s="20"/>
      <c r="J124" s="21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15" hidden="1" thickBot="1" x14ac:dyDescent="0.35">
      <c r="A125" s="6"/>
      <c r="B125" s="17">
        <f t="shared" si="7"/>
        <v>55</v>
      </c>
      <c r="C125" s="18"/>
      <c r="D125" s="19"/>
      <c r="E125" s="19"/>
      <c r="F125" s="35"/>
      <c r="G125" s="35"/>
      <c r="H125" s="35"/>
      <c r="I125" s="20"/>
      <c r="J125" s="21">
        <f t="shared" si="8"/>
        <v>0</v>
      </c>
      <c r="K125" s="7"/>
      <c r="V125" s="5">
        <f t="shared" si="5"/>
        <v>0</v>
      </c>
      <c r="W125" s="5">
        <f t="shared" si="6"/>
        <v>0</v>
      </c>
    </row>
    <row r="126" spans="1:23" s="36" customFormat="1" ht="15" hidden="1" thickBot="1" x14ac:dyDescent="0.35">
      <c r="A126" s="6"/>
      <c r="B126" s="17">
        <f t="shared" si="7"/>
        <v>56</v>
      </c>
      <c r="C126" s="18"/>
      <c r="D126" s="19"/>
      <c r="E126" s="19"/>
      <c r="F126" s="35"/>
      <c r="G126" s="35"/>
      <c r="H126" s="35"/>
      <c r="I126" s="20"/>
      <c r="J126" s="21">
        <f t="shared" si="8"/>
        <v>0</v>
      </c>
      <c r="K126" s="7"/>
      <c r="V126" s="5">
        <f t="shared" si="5"/>
        <v>0</v>
      </c>
      <c r="W126" s="5">
        <f t="shared" si="6"/>
        <v>0</v>
      </c>
    </row>
    <row r="127" spans="1:23" s="36" customFormat="1" ht="15" hidden="1" thickBot="1" x14ac:dyDescent="0.35">
      <c r="A127" s="6"/>
      <c r="B127" s="17">
        <f t="shared" si="7"/>
        <v>57</v>
      </c>
      <c r="C127" s="18"/>
      <c r="D127" s="19"/>
      <c r="E127" s="19"/>
      <c r="F127" s="35"/>
      <c r="G127" s="35"/>
      <c r="H127" s="35"/>
      <c r="I127" s="20"/>
      <c r="J127" s="21">
        <f t="shared" si="8"/>
        <v>0</v>
      </c>
      <c r="K127" s="7"/>
      <c r="V127" s="5">
        <f t="shared" si="5"/>
        <v>0</v>
      </c>
      <c r="W127" s="5">
        <f t="shared" si="6"/>
        <v>0</v>
      </c>
    </row>
    <row r="128" spans="1:23" s="36" customFormat="1" ht="15" hidden="1" thickBot="1" x14ac:dyDescent="0.35">
      <c r="A128" s="6"/>
      <c r="B128" s="17">
        <f t="shared" si="7"/>
        <v>58</v>
      </c>
      <c r="C128" s="79"/>
      <c r="D128" s="80"/>
      <c r="E128" s="80"/>
      <c r="F128" s="81"/>
      <c r="G128" s="81"/>
      <c r="H128" s="80"/>
      <c r="I128" s="81"/>
      <c r="J128" s="82">
        <f t="shared" si="8"/>
        <v>0</v>
      </c>
      <c r="K128" s="7"/>
      <c r="V128" s="5">
        <f t="shared" si="5"/>
        <v>0</v>
      </c>
      <c r="W128" s="5">
        <f t="shared" si="6"/>
        <v>0</v>
      </c>
    </row>
    <row r="129" spans="1:23" s="36" customFormat="1" ht="24" thickBot="1" x14ac:dyDescent="0.5">
      <c r="A129" s="6"/>
      <c r="B129" s="144" t="s">
        <v>22</v>
      </c>
      <c r="C129" s="145"/>
      <c r="D129" s="145"/>
      <c r="E129" s="145"/>
      <c r="F129" s="145"/>
      <c r="G129" s="145"/>
      <c r="H129" s="146"/>
      <c r="I129" s="83" t="s">
        <v>23</v>
      </c>
      <c r="J129" s="84">
        <f>SUM(J67:J128)</f>
        <v>199555.99999999994</v>
      </c>
      <c r="K129" s="7"/>
      <c r="L129" s="5"/>
      <c r="M129" s="5"/>
      <c r="N129" s="5"/>
      <c r="O129" s="5"/>
      <c r="P129" s="5"/>
      <c r="Q129" s="5"/>
      <c r="R129" s="5"/>
      <c r="V129" s="36">
        <f>SUM(V67:V128)</f>
        <v>29</v>
      </c>
      <c r="W129" s="36">
        <f>SUM(W67:W128)</f>
        <v>3</v>
      </c>
    </row>
    <row r="130" spans="1:23" s="36" customFormat="1" ht="30" customHeight="1" thickBot="1" x14ac:dyDescent="0.35">
      <c r="A130" s="30"/>
      <c r="B130" s="31"/>
      <c r="C130" s="31"/>
      <c r="D130" s="31"/>
      <c r="E130" s="31"/>
      <c r="F130" s="31"/>
      <c r="G130" s="31"/>
      <c r="H130" s="32"/>
      <c r="I130" s="31"/>
      <c r="J130" s="32"/>
      <c r="K130" s="33"/>
      <c r="L130" s="5"/>
      <c r="M130" s="5"/>
      <c r="N130" s="5"/>
      <c r="O130" s="5"/>
      <c r="P130" s="5"/>
      <c r="Q130" s="5"/>
      <c r="R130" s="5"/>
    </row>
    <row r="131" spans="1:23" ht="15" thickBot="1" x14ac:dyDescent="0.35"/>
    <row r="132" spans="1:23" s="36" customFormat="1" ht="30" customHeight="1" thickBot="1" x14ac:dyDescent="0.35">
      <c r="A132" s="1"/>
      <c r="B132" s="2"/>
      <c r="C132" s="2"/>
      <c r="D132" s="2"/>
      <c r="E132" s="2"/>
      <c r="F132" s="2"/>
      <c r="G132" s="2"/>
      <c r="H132" s="3"/>
      <c r="I132" s="2"/>
      <c r="J132" s="3"/>
      <c r="K132" s="4"/>
    </row>
    <row r="133" spans="1:23" s="36" customFormat="1" ht="25.2" thickBot="1" x14ac:dyDescent="0.35">
      <c r="A133" s="6" t="s">
        <v>1</v>
      </c>
      <c r="B133" s="119" t="s">
        <v>2</v>
      </c>
      <c r="C133" s="120"/>
      <c r="D133" s="120"/>
      <c r="E133" s="120"/>
      <c r="F133" s="120"/>
      <c r="G133" s="120"/>
      <c r="H133" s="120"/>
      <c r="I133" s="120"/>
      <c r="J133" s="121"/>
      <c r="K133" s="7"/>
    </row>
    <row r="134" spans="1:23" s="36" customFormat="1" ht="16.2" thickBot="1" x14ac:dyDescent="0.35">
      <c r="A134" s="6"/>
      <c r="B134" s="216">
        <v>44805</v>
      </c>
      <c r="C134" s="169"/>
      <c r="D134" s="169"/>
      <c r="E134" s="169"/>
      <c r="F134" s="169"/>
      <c r="G134" s="169"/>
      <c r="H134" s="169"/>
      <c r="I134" s="169"/>
      <c r="J134" s="170"/>
      <c r="K134" s="7"/>
      <c r="L134" s="22"/>
    </row>
    <row r="135" spans="1:23" s="36" customFormat="1" ht="16.2" thickBot="1" x14ac:dyDescent="0.35">
      <c r="A135" s="6"/>
      <c r="B135" s="106" t="s">
        <v>699</v>
      </c>
      <c r="C135" s="107"/>
      <c r="D135" s="107"/>
      <c r="E135" s="107"/>
      <c r="F135" s="107"/>
      <c r="G135" s="107"/>
      <c r="H135" s="107"/>
      <c r="I135" s="107"/>
      <c r="J135" s="108"/>
      <c r="K135" s="7"/>
    </row>
    <row r="136" spans="1:23" s="22" customFormat="1" ht="15" thickBot="1" x14ac:dyDescent="0.35">
      <c r="A136" s="69"/>
      <c r="B136" s="70" t="s">
        <v>9</v>
      </c>
      <c r="C136" s="71" t="s">
        <v>10</v>
      </c>
      <c r="D136" s="72" t="s">
        <v>11</v>
      </c>
      <c r="E136" s="72" t="s">
        <v>12</v>
      </c>
      <c r="F136" s="73" t="s">
        <v>65</v>
      </c>
      <c r="G136" s="73" t="s">
        <v>66</v>
      </c>
      <c r="H136" s="74" t="s">
        <v>67</v>
      </c>
      <c r="I136" s="73" t="s">
        <v>68</v>
      </c>
      <c r="J136" s="75" t="s">
        <v>17</v>
      </c>
      <c r="K136" s="76"/>
      <c r="L136" s="36"/>
      <c r="M136" s="36"/>
      <c r="N136" s="36"/>
      <c r="O136" s="36" t="s">
        <v>21</v>
      </c>
      <c r="P136" s="36"/>
      <c r="Q136" s="36"/>
      <c r="R136" s="36"/>
      <c r="V136" s="5" t="s">
        <v>5</v>
      </c>
      <c r="W136" s="5" t="s">
        <v>6</v>
      </c>
    </row>
    <row r="137" spans="1:23" s="36" customFormat="1" x14ac:dyDescent="0.3">
      <c r="A137" s="6"/>
      <c r="B137" s="14">
        <v>1</v>
      </c>
      <c r="C137" s="93">
        <v>44805</v>
      </c>
      <c r="D137" s="94" t="s">
        <v>18</v>
      </c>
      <c r="E137" s="94" t="s">
        <v>480</v>
      </c>
      <c r="F137" s="60">
        <v>65</v>
      </c>
      <c r="G137" s="60">
        <v>80</v>
      </c>
      <c r="H137" s="60">
        <v>15</v>
      </c>
      <c r="I137" s="15">
        <v>300</v>
      </c>
      <c r="J137" s="16">
        <f t="shared" ref="J137:J182" si="9">I137*H137</f>
        <v>4500</v>
      </c>
      <c r="K137" s="7"/>
      <c r="V137" s="5">
        <f t="shared" ref="V137:V182" si="10">IF($J137&gt;0,1,0)</f>
        <v>1</v>
      </c>
      <c r="W137" s="5">
        <f t="shared" ref="W137:W182" si="11">IF($J137&lt;0,1,0)</f>
        <v>0</v>
      </c>
    </row>
    <row r="138" spans="1:23" s="36" customFormat="1" x14ac:dyDescent="0.3">
      <c r="A138" s="6"/>
      <c r="B138" s="17">
        <f>B137+1</f>
        <v>2</v>
      </c>
      <c r="C138" s="18">
        <v>44806</v>
      </c>
      <c r="D138" s="19" t="s">
        <v>18</v>
      </c>
      <c r="E138" s="19" t="s">
        <v>588</v>
      </c>
      <c r="F138" s="35">
        <v>110</v>
      </c>
      <c r="G138" s="35">
        <v>150</v>
      </c>
      <c r="H138" s="35">
        <v>40</v>
      </c>
      <c r="I138" s="20">
        <v>300</v>
      </c>
      <c r="J138" s="21">
        <f t="shared" si="9"/>
        <v>12000</v>
      </c>
      <c r="K138" s="7"/>
      <c r="L138" s="36" t="s">
        <v>21</v>
      </c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ref="B139:B159" si="12">B138+1</f>
        <v>3</v>
      </c>
      <c r="C139" s="18">
        <v>44809</v>
      </c>
      <c r="D139" s="19" t="s">
        <v>18</v>
      </c>
      <c r="E139" s="19" t="s">
        <v>482</v>
      </c>
      <c r="F139" s="35">
        <v>105</v>
      </c>
      <c r="G139" s="35">
        <v>125</v>
      </c>
      <c r="H139" s="35">
        <v>20</v>
      </c>
      <c r="I139" s="20">
        <v>300</v>
      </c>
      <c r="J139" s="21">
        <f t="shared" si="9"/>
        <v>6000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4</v>
      </c>
      <c r="C140" s="18">
        <v>44809</v>
      </c>
      <c r="D140" s="19" t="s">
        <v>18</v>
      </c>
      <c r="E140" s="19" t="s">
        <v>478</v>
      </c>
      <c r="F140" s="35">
        <v>110</v>
      </c>
      <c r="G140" s="35">
        <v>117</v>
      </c>
      <c r="H140" s="35">
        <v>7</v>
      </c>
      <c r="I140" s="20">
        <v>300</v>
      </c>
      <c r="J140" s="21">
        <f t="shared" si="9"/>
        <v>2100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5</v>
      </c>
      <c r="C141" s="18">
        <v>44810</v>
      </c>
      <c r="D141" s="19" t="s">
        <v>18</v>
      </c>
      <c r="E141" s="19" t="s">
        <v>478</v>
      </c>
      <c r="F141" s="35">
        <v>105</v>
      </c>
      <c r="G141" s="35">
        <v>129</v>
      </c>
      <c r="H141" s="35">
        <f>129-105</f>
        <v>24</v>
      </c>
      <c r="I141" s="20">
        <v>300</v>
      </c>
      <c r="J141" s="21">
        <f t="shared" si="9"/>
        <v>7200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6</v>
      </c>
      <c r="C142" s="18">
        <v>44811</v>
      </c>
      <c r="D142" s="19" t="s">
        <v>18</v>
      </c>
      <c r="E142" s="19" t="s">
        <v>479</v>
      </c>
      <c r="F142" s="20">
        <v>110</v>
      </c>
      <c r="G142" s="35">
        <v>118</v>
      </c>
      <c r="H142" s="35">
        <v>8</v>
      </c>
      <c r="I142" s="20">
        <v>300</v>
      </c>
      <c r="J142" s="21">
        <f t="shared" si="9"/>
        <v>2400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7</v>
      </c>
      <c r="C143" s="18">
        <v>44812</v>
      </c>
      <c r="D143" s="19" t="s">
        <v>18</v>
      </c>
      <c r="E143" s="19" t="s">
        <v>483</v>
      </c>
      <c r="F143" s="35">
        <v>80</v>
      </c>
      <c r="G143" s="35">
        <v>88</v>
      </c>
      <c r="H143" s="35">
        <v>8</v>
      </c>
      <c r="I143" s="20">
        <v>300</v>
      </c>
      <c r="J143" s="21">
        <f t="shared" si="9"/>
        <v>2400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8</v>
      </c>
      <c r="C144" s="18">
        <v>44812</v>
      </c>
      <c r="D144" s="19" t="s">
        <v>18</v>
      </c>
      <c r="E144" s="19" t="s">
        <v>482</v>
      </c>
      <c r="F144" s="35">
        <v>100</v>
      </c>
      <c r="G144" s="35">
        <v>85</v>
      </c>
      <c r="H144" s="35">
        <v>-15</v>
      </c>
      <c r="I144" s="20">
        <v>300</v>
      </c>
      <c r="J144" s="21">
        <f t="shared" si="9"/>
        <v>-4500</v>
      </c>
      <c r="K144" s="7"/>
      <c r="V144" s="5">
        <f t="shared" si="10"/>
        <v>0</v>
      </c>
      <c r="W144" s="5">
        <f t="shared" si="11"/>
        <v>1</v>
      </c>
    </row>
    <row r="145" spans="1:23" s="36" customFormat="1" x14ac:dyDescent="0.3">
      <c r="A145" s="6"/>
      <c r="B145" s="17">
        <f t="shared" si="12"/>
        <v>9</v>
      </c>
      <c r="C145" s="18">
        <v>44816</v>
      </c>
      <c r="D145" s="19" t="s">
        <v>18</v>
      </c>
      <c r="E145" s="19" t="s">
        <v>526</v>
      </c>
      <c r="F145" s="35">
        <v>100</v>
      </c>
      <c r="G145" s="35">
        <v>115</v>
      </c>
      <c r="H145" s="35">
        <v>15</v>
      </c>
      <c r="I145" s="20">
        <v>300</v>
      </c>
      <c r="J145" s="21">
        <f t="shared" si="9"/>
        <v>4500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10</v>
      </c>
      <c r="C146" s="18">
        <v>44816</v>
      </c>
      <c r="D146" s="19" t="s">
        <v>18</v>
      </c>
      <c r="E146" s="19" t="s">
        <v>484</v>
      </c>
      <c r="F146" s="35">
        <v>100</v>
      </c>
      <c r="G146" s="35">
        <v>130</v>
      </c>
      <c r="H146" s="35">
        <v>30</v>
      </c>
      <c r="I146" s="20">
        <v>300</v>
      </c>
      <c r="J146" s="21">
        <f t="shared" si="9"/>
        <v>9000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11</v>
      </c>
      <c r="C147" s="18">
        <v>44817</v>
      </c>
      <c r="D147" s="19" t="s">
        <v>18</v>
      </c>
      <c r="E147" s="19" t="s">
        <v>527</v>
      </c>
      <c r="F147" s="19">
        <v>105</v>
      </c>
      <c r="G147" s="35">
        <v>112</v>
      </c>
      <c r="H147" s="35">
        <f>112-105</f>
        <v>7</v>
      </c>
      <c r="I147" s="20">
        <v>300</v>
      </c>
      <c r="J147" s="21">
        <f t="shared" si="9"/>
        <v>2100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12</v>
      </c>
      <c r="C148" s="18">
        <v>44817</v>
      </c>
      <c r="D148" s="19" t="s">
        <v>18</v>
      </c>
      <c r="E148" s="19" t="s">
        <v>527</v>
      </c>
      <c r="F148" s="35">
        <v>115</v>
      </c>
      <c r="G148" s="35">
        <v>120</v>
      </c>
      <c r="H148" s="35">
        <v>5</v>
      </c>
      <c r="I148" s="20">
        <v>300</v>
      </c>
      <c r="J148" s="21">
        <f t="shared" si="9"/>
        <v>1500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13</v>
      </c>
      <c r="C149" s="18">
        <v>44818</v>
      </c>
      <c r="D149" s="19" t="s">
        <v>18</v>
      </c>
      <c r="E149" s="19" t="s">
        <v>526</v>
      </c>
      <c r="F149" s="35">
        <v>110</v>
      </c>
      <c r="G149" s="35">
        <v>119</v>
      </c>
      <c r="H149" s="35">
        <v>9</v>
      </c>
      <c r="I149" s="20">
        <v>300</v>
      </c>
      <c r="J149" s="21">
        <f t="shared" si="9"/>
        <v>2700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14</v>
      </c>
      <c r="C150" s="18">
        <v>44818</v>
      </c>
      <c r="D150" s="19" t="s">
        <v>18</v>
      </c>
      <c r="E150" s="19" t="s">
        <v>567</v>
      </c>
      <c r="F150" s="77">
        <v>100</v>
      </c>
      <c r="G150" s="35">
        <v>115</v>
      </c>
      <c r="H150" s="78">
        <v>15</v>
      </c>
      <c r="I150" s="20">
        <v>300</v>
      </c>
      <c r="J150" s="21">
        <f t="shared" si="9"/>
        <v>4500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15</v>
      </c>
      <c r="C151" s="18">
        <v>44819</v>
      </c>
      <c r="D151" s="19" t="s">
        <v>18</v>
      </c>
      <c r="E151" s="19" t="s">
        <v>537</v>
      </c>
      <c r="F151" s="35">
        <v>100</v>
      </c>
      <c r="G151" s="35">
        <v>130</v>
      </c>
      <c r="H151" s="78">
        <v>30</v>
      </c>
      <c r="I151" s="20">
        <v>300</v>
      </c>
      <c r="J151" s="21">
        <f t="shared" si="9"/>
        <v>9000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16</v>
      </c>
      <c r="C152" s="18">
        <v>44820</v>
      </c>
      <c r="D152" s="19" t="s">
        <v>18</v>
      </c>
      <c r="E152" s="19" t="s">
        <v>478</v>
      </c>
      <c r="F152" s="35">
        <v>125</v>
      </c>
      <c r="G152" s="35">
        <v>160</v>
      </c>
      <c r="H152" s="78">
        <f>160-125</f>
        <v>35</v>
      </c>
      <c r="I152" s="20">
        <v>300</v>
      </c>
      <c r="J152" s="21">
        <f t="shared" si="9"/>
        <v>10500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17</v>
      </c>
      <c r="C153" s="18">
        <v>44823</v>
      </c>
      <c r="D153" s="19" t="s">
        <v>18</v>
      </c>
      <c r="E153" s="19" t="s">
        <v>524</v>
      </c>
      <c r="F153" s="35">
        <v>100</v>
      </c>
      <c r="G153" s="35">
        <v>110</v>
      </c>
      <c r="H153" s="78">
        <v>10</v>
      </c>
      <c r="I153" s="20">
        <v>300</v>
      </c>
      <c r="J153" s="21">
        <f t="shared" si="9"/>
        <v>3000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2"/>
        <v>18</v>
      </c>
      <c r="C154" s="18">
        <v>44823</v>
      </c>
      <c r="D154" s="19" t="s">
        <v>18</v>
      </c>
      <c r="E154" s="19" t="s">
        <v>524</v>
      </c>
      <c r="F154" s="35">
        <v>90</v>
      </c>
      <c r="G154" s="35">
        <v>102.5</v>
      </c>
      <c r="H154" s="78">
        <f>102.5-90</f>
        <v>12.5</v>
      </c>
      <c r="I154" s="20">
        <v>300</v>
      </c>
      <c r="J154" s="21">
        <f t="shared" si="9"/>
        <v>3750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2"/>
        <v>19</v>
      </c>
      <c r="C155" s="18">
        <v>44824</v>
      </c>
      <c r="D155" s="19" t="s">
        <v>18</v>
      </c>
      <c r="E155" s="19" t="s">
        <v>669</v>
      </c>
      <c r="F155" s="35">
        <v>95</v>
      </c>
      <c r="G155" s="35">
        <v>115</v>
      </c>
      <c r="H155" s="78">
        <f>115-95</f>
        <v>20</v>
      </c>
      <c r="I155" s="20">
        <v>300</v>
      </c>
      <c r="J155" s="21">
        <f t="shared" si="9"/>
        <v>6000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2"/>
        <v>20</v>
      </c>
      <c r="C156" s="18">
        <v>44824</v>
      </c>
      <c r="D156" s="19" t="s">
        <v>18</v>
      </c>
      <c r="E156" s="19" t="s">
        <v>567</v>
      </c>
      <c r="F156" s="35">
        <v>95</v>
      </c>
      <c r="G156" s="35">
        <v>125</v>
      </c>
      <c r="H156" s="35">
        <f>125-95</f>
        <v>30</v>
      </c>
      <c r="I156" s="20">
        <v>300</v>
      </c>
      <c r="J156" s="21">
        <f t="shared" si="9"/>
        <v>9000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2"/>
        <v>21</v>
      </c>
      <c r="C157" s="18">
        <v>44825</v>
      </c>
      <c r="D157" s="19" t="s">
        <v>18</v>
      </c>
      <c r="E157" s="19" t="s">
        <v>486</v>
      </c>
      <c r="F157" s="35">
        <v>95</v>
      </c>
      <c r="G157" s="35">
        <v>85</v>
      </c>
      <c r="H157" s="35">
        <v>-10</v>
      </c>
      <c r="I157" s="20">
        <v>300</v>
      </c>
      <c r="J157" s="21">
        <f t="shared" si="9"/>
        <v>-3000</v>
      </c>
      <c r="K157" s="7"/>
      <c r="V157" s="5">
        <f t="shared" si="10"/>
        <v>0</v>
      </c>
      <c r="W157" s="5">
        <f t="shared" si="11"/>
        <v>1</v>
      </c>
    </row>
    <row r="158" spans="1:23" s="36" customFormat="1" x14ac:dyDescent="0.3">
      <c r="A158" s="6"/>
      <c r="B158" s="17">
        <f t="shared" si="12"/>
        <v>22</v>
      </c>
      <c r="C158" s="18">
        <v>44825</v>
      </c>
      <c r="D158" s="19" t="s">
        <v>18</v>
      </c>
      <c r="E158" s="19" t="s">
        <v>525</v>
      </c>
      <c r="F158" s="35">
        <v>100</v>
      </c>
      <c r="G158" s="35">
        <v>85</v>
      </c>
      <c r="H158" s="35">
        <v>-15</v>
      </c>
      <c r="I158" s="20">
        <v>300</v>
      </c>
      <c r="J158" s="21">
        <f t="shared" si="9"/>
        <v>-4500</v>
      </c>
      <c r="K158" s="7"/>
      <c r="V158" s="5">
        <f t="shared" si="10"/>
        <v>0</v>
      </c>
      <c r="W158" s="5">
        <f t="shared" si="11"/>
        <v>1</v>
      </c>
    </row>
    <row r="159" spans="1:23" s="36" customFormat="1" x14ac:dyDescent="0.3">
      <c r="A159" s="6"/>
      <c r="B159" s="17">
        <f t="shared" si="12"/>
        <v>23</v>
      </c>
      <c r="C159" s="18">
        <v>44826</v>
      </c>
      <c r="D159" s="19" t="s">
        <v>18</v>
      </c>
      <c r="E159" s="19" t="s">
        <v>486</v>
      </c>
      <c r="F159" s="35">
        <v>105</v>
      </c>
      <c r="G159" s="35">
        <v>118</v>
      </c>
      <c r="H159" s="35">
        <f>118-105</f>
        <v>13</v>
      </c>
      <c r="I159" s="20">
        <v>300</v>
      </c>
      <c r="J159" s="21">
        <f t="shared" si="9"/>
        <v>3900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>B159+1</f>
        <v>24</v>
      </c>
      <c r="C160" s="18">
        <v>44827</v>
      </c>
      <c r="D160" s="19" t="s">
        <v>18</v>
      </c>
      <c r="E160" s="19" t="s">
        <v>475</v>
      </c>
      <c r="F160" s="35">
        <v>150</v>
      </c>
      <c r="G160" s="35">
        <v>190</v>
      </c>
      <c r="H160" s="35">
        <v>40</v>
      </c>
      <c r="I160" s="20">
        <v>300</v>
      </c>
      <c r="J160" s="21">
        <f t="shared" si="9"/>
        <v>12000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ref="B161:B182" si="13">B160+1</f>
        <v>25</v>
      </c>
      <c r="C161" s="18">
        <v>44827</v>
      </c>
      <c r="D161" s="19" t="s">
        <v>18</v>
      </c>
      <c r="E161" s="19" t="s">
        <v>471</v>
      </c>
      <c r="F161" s="35">
        <v>150</v>
      </c>
      <c r="G161" s="35">
        <v>181</v>
      </c>
      <c r="H161" s="35">
        <f>181-150</f>
        <v>31</v>
      </c>
      <c r="I161" s="20">
        <v>300</v>
      </c>
      <c r="J161" s="21">
        <f t="shared" si="9"/>
        <v>9300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26</v>
      </c>
      <c r="C162" s="18">
        <v>44830</v>
      </c>
      <c r="D162" s="19" t="s">
        <v>18</v>
      </c>
      <c r="E162" s="19" t="s">
        <v>576</v>
      </c>
      <c r="F162" s="35">
        <v>120</v>
      </c>
      <c r="G162" s="35">
        <v>155</v>
      </c>
      <c r="H162" s="35">
        <f>155-120</f>
        <v>35</v>
      </c>
      <c r="I162" s="20">
        <v>300</v>
      </c>
      <c r="J162" s="21">
        <f t="shared" si="9"/>
        <v>10500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27</v>
      </c>
      <c r="C163" s="18">
        <v>44830</v>
      </c>
      <c r="D163" s="19" t="s">
        <v>18</v>
      </c>
      <c r="E163" s="19" t="s">
        <v>591</v>
      </c>
      <c r="F163" s="35">
        <v>110</v>
      </c>
      <c r="G163" s="35">
        <v>90</v>
      </c>
      <c r="H163" s="35">
        <v>-20</v>
      </c>
      <c r="I163" s="20">
        <v>300</v>
      </c>
      <c r="J163" s="21">
        <f t="shared" si="9"/>
        <v>-6000</v>
      </c>
      <c r="K163" s="7"/>
      <c r="V163" s="5">
        <f t="shared" si="10"/>
        <v>0</v>
      </c>
      <c r="W163" s="5">
        <f t="shared" si="11"/>
        <v>1</v>
      </c>
    </row>
    <row r="164" spans="1:23" s="36" customFormat="1" x14ac:dyDescent="0.3">
      <c r="A164" s="6"/>
      <c r="B164" s="17">
        <f t="shared" si="13"/>
        <v>28</v>
      </c>
      <c r="C164" s="18">
        <v>44831</v>
      </c>
      <c r="D164" s="19" t="s">
        <v>18</v>
      </c>
      <c r="E164" s="19" t="s">
        <v>467</v>
      </c>
      <c r="F164" s="35">
        <v>125</v>
      </c>
      <c r="G164" s="35">
        <v>137</v>
      </c>
      <c r="H164" s="35">
        <f>137-125</f>
        <v>12</v>
      </c>
      <c r="I164" s="20">
        <v>300</v>
      </c>
      <c r="J164" s="21">
        <f t="shared" si="9"/>
        <v>3600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3"/>
        <v>29</v>
      </c>
      <c r="C165" s="18">
        <v>44831</v>
      </c>
      <c r="D165" s="19" t="s">
        <v>18</v>
      </c>
      <c r="E165" s="19" t="s">
        <v>576</v>
      </c>
      <c r="F165" s="35">
        <v>110</v>
      </c>
      <c r="G165" s="35">
        <v>120</v>
      </c>
      <c r="H165" s="35">
        <v>10</v>
      </c>
      <c r="I165" s="20">
        <v>300</v>
      </c>
      <c r="J165" s="21">
        <f t="shared" si="9"/>
        <v>3000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3"/>
        <v>30</v>
      </c>
      <c r="C166" s="18">
        <v>44832</v>
      </c>
      <c r="D166" s="19" t="s">
        <v>18</v>
      </c>
      <c r="E166" s="19" t="s">
        <v>576</v>
      </c>
      <c r="F166" s="35">
        <v>90</v>
      </c>
      <c r="G166" s="35">
        <v>115</v>
      </c>
      <c r="H166" s="35">
        <f>115-90</f>
        <v>25</v>
      </c>
      <c r="I166" s="20">
        <v>300</v>
      </c>
      <c r="J166" s="21">
        <f t="shared" si="9"/>
        <v>7500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3"/>
        <v>31</v>
      </c>
      <c r="C167" s="18">
        <v>44832</v>
      </c>
      <c r="D167" s="19" t="s">
        <v>18</v>
      </c>
      <c r="E167" s="19" t="s">
        <v>442</v>
      </c>
      <c r="F167" s="35">
        <v>130</v>
      </c>
      <c r="G167" s="35">
        <v>165</v>
      </c>
      <c r="H167" s="35">
        <f>165-130</f>
        <v>35</v>
      </c>
      <c r="I167" s="20">
        <v>300</v>
      </c>
      <c r="J167" s="21">
        <f t="shared" si="9"/>
        <v>10500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3"/>
        <v>32</v>
      </c>
      <c r="C168" s="18">
        <v>44833</v>
      </c>
      <c r="D168" s="19" t="s">
        <v>18</v>
      </c>
      <c r="E168" s="19" t="s">
        <v>590</v>
      </c>
      <c r="F168" s="35">
        <v>100</v>
      </c>
      <c r="G168" s="35">
        <v>109</v>
      </c>
      <c r="H168" s="35">
        <v>9</v>
      </c>
      <c r="I168" s="20">
        <v>300</v>
      </c>
      <c r="J168" s="21">
        <f t="shared" si="9"/>
        <v>2700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3"/>
        <v>33</v>
      </c>
      <c r="C169" s="18">
        <v>44833</v>
      </c>
      <c r="D169" s="19" t="s">
        <v>18</v>
      </c>
      <c r="E169" s="19" t="s">
        <v>576</v>
      </c>
      <c r="F169" s="35">
        <v>85</v>
      </c>
      <c r="G169" s="35">
        <v>120</v>
      </c>
      <c r="H169" s="35">
        <f>120-85</f>
        <v>35</v>
      </c>
      <c r="I169" s="20">
        <v>300</v>
      </c>
      <c r="J169" s="21">
        <f t="shared" si="9"/>
        <v>10500</v>
      </c>
      <c r="K169" s="7"/>
      <c r="V169" s="5">
        <f t="shared" si="10"/>
        <v>1</v>
      </c>
      <c r="W169" s="5">
        <f t="shared" si="11"/>
        <v>0</v>
      </c>
    </row>
    <row r="170" spans="1:23" s="36" customFormat="1" x14ac:dyDescent="0.3">
      <c r="A170" s="6"/>
      <c r="B170" s="17">
        <f t="shared" si="13"/>
        <v>34</v>
      </c>
      <c r="C170" s="18">
        <v>44834</v>
      </c>
      <c r="D170" s="19" t="s">
        <v>18</v>
      </c>
      <c r="E170" s="19" t="s">
        <v>592</v>
      </c>
      <c r="F170" s="35">
        <v>125</v>
      </c>
      <c r="G170" s="35">
        <v>140</v>
      </c>
      <c r="H170" s="35">
        <f>140-125</f>
        <v>15</v>
      </c>
      <c r="I170" s="20">
        <v>300</v>
      </c>
      <c r="J170" s="21">
        <f t="shared" si="9"/>
        <v>4500</v>
      </c>
      <c r="K170" s="7"/>
      <c r="V170" s="5">
        <f t="shared" si="10"/>
        <v>1</v>
      </c>
      <c r="W170" s="5">
        <f t="shared" si="11"/>
        <v>0</v>
      </c>
    </row>
    <row r="171" spans="1:23" s="36" customFormat="1" x14ac:dyDescent="0.3">
      <c r="A171" s="6"/>
      <c r="B171" s="17">
        <f t="shared" si="13"/>
        <v>35</v>
      </c>
      <c r="C171" s="18">
        <v>44834</v>
      </c>
      <c r="D171" s="19" t="s">
        <v>18</v>
      </c>
      <c r="E171" s="19" t="s">
        <v>595</v>
      </c>
      <c r="F171" s="35">
        <v>135</v>
      </c>
      <c r="G171" s="35">
        <v>170</v>
      </c>
      <c r="H171" s="35">
        <f>170-135</f>
        <v>35</v>
      </c>
      <c r="I171" s="20">
        <v>300</v>
      </c>
      <c r="J171" s="21">
        <f t="shared" si="9"/>
        <v>10500</v>
      </c>
      <c r="K171" s="7"/>
      <c r="V171" s="5">
        <f t="shared" si="10"/>
        <v>1</v>
      </c>
      <c r="W171" s="5">
        <f t="shared" si="11"/>
        <v>0</v>
      </c>
    </row>
    <row r="172" spans="1:23" s="36" customFormat="1" x14ac:dyDescent="0.3">
      <c r="A172" s="6"/>
      <c r="B172" s="17">
        <f t="shared" si="13"/>
        <v>36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x14ac:dyDescent="0.3">
      <c r="A173" s="6"/>
      <c r="B173" s="17">
        <f t="shared" si="13"/>
        <v>37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x14ac:dyDescent="0.3">
      <c r="A174" s="6"/>
      <c r="B174" s="17">
        <f t="shared" si="13"/>
        <v>38</v>
      </c>
      <c r="C174" s="18"/>
      <c r="D174" s="19"/>
      <c r="E174" s="19"/>
      <c r="F174" s="35"/>
      <c r="G174" s="35"/>
      <c r="H174" s="35"/>
      <c r="I174" s="20"/>
      <c r="J174" s="21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x14ac:dyDescent="0.3">
      <c r="A175" s="6"/>
      <c r="B175" s="17">
        <f t="shared" si="13"/>
        <v>39</v>
      </c>
      <c r="C175" s="18"/>
      <c r="D175" s="19"/>
      <c r="E175" s="19"/>
      <c r="F175" s="35"/>
      <c r="G175" s="35"/>
      <c r="H175" s="35"/>
      <c r="I175" s="20"/>
      <c r="J175" s="21">
        <f t="shared" si="9"/>
        <v>0</v>
      </c>
      <c r="K175" s="7"/>
      <c r="V175" s="5">
        <f t="shared" si="10"/>
        <v>0</v>
      </c>
      <c r="W175" s="5">
        <f t="shared" si="11"/>
        <v>0</v>
      </c>
    </row>
    <row r="176" spans="1:23" s="36" customFormat="1" x14ac:dyDescent="0.3">
      <c r="A176" s="6"/>
      <c r="B176" s="17">
        <f t="shared" si="13"/>
        <v>40</v>
      </c>
      <c r="C176" s="18"/>
      <c r="D176" s="19"/>
      <c r="E176" s="19"/>
      <c r="F176" s="35"/>
      <c r="G176" s="35"/>
      <c r="H176" s="35"/>
      <c r="I176" s="20"/>
      <c r="J176" s="21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x14ac:dyDescent="0.3">
      <c r="A177" s="6"/>
      <c r="B177" s="17">
        <f t="shared" si="13"/>
        <v>41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x14ac:dyDescent="0.3">
      <c r="A178" s="6"/>
      <c r="B178" s="17">
        <f t="shared" si="13"/>
        <v>42</v>
      </c>
      <c r="C178" s="18"/>
      <c r="D178" s="19"/>
      <c r="E178" s="19"/>
      <c r="F178" s="35"/>
      <c r="G178" s="35"/>
      <c r="H178" s="35"/>
      <c r="I178" s="20"/>
      <c r="J178" s="21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x14ac:dyDescent="0.3">
      <c r="A179" s="6"/>
      <c r="B179" s="17">
        <f t="shared" si="13"/>
        <v>43</v>
      </c>
      <c r="C179" s="18"/>
      <c r="D179" s="19"/>
      <c r="E179" s="19"/>
      <c r="F179" s="35"/>
      <c r="G179" s="35"/>
      <c r="H179" s="35"/>
      <c r="I179" s="20"/>
      <c r="J179" s="21">
        <f t="shared" si="9"/>
        <v>0</v>
      </c>
      <c r="K179" s="7"/>
      <c r="V179" s="5">
        <f t="shared" si="10"/>
        <v>0</v>
      </c>
      <c r="W179" s="5">
        <f t="shared" si="11"/>
        <v>0</v>
      </c>
    </row>
    <row r="180" spans="1:23" s="36" customFormat="1" x14ac:dyDescent="0.3">
      <c r="A180" s="6"/>
      <c r="B180" s="17">
        <f t="shared" si="13"/>
        <v>44</v>
      </c>
      <c r="C180" s="18"/>
      <c r="D180" s="19"/>
      <c r="E180" s="19"/>
      <c r="F180" s="35"/>
      <c r="G180" s="35"/>
      <c r="H180" s="35"/>
      <c r="I180" s="20"/>
      <c r="J180" s="21">
        <f t="shared" si="9"/>
        <v>0</v>
      </c>
      <c r="K180" s="7"/>
      <c r="V180" s="5">
        <f t="shared" si="10"/>
        <v>0</v>
      </c>
      <c r="W180" s="5">
        <f t="shared" si="11"/>
        <v>0</v>
      </c>
    </row>
    <row r="181" spans="1:23" s="36" customFormat="1" x14ac:dyDescent="0.3">
      <c r="A181" s="6"/>
      <c r="B181" s="17">
        <f t="shared" si="13"/>
        <v>45</v>
      </c>
      <c r="C181" s="18"/>
      <c r="D181" s="19"/>
      <c r="E181" s="19"/>
      <c r="F181" s="35"/>
      <c r="G181" s="35"/>
      <c r="H181" s="35"/>
      <c r="I181" s="20"/>
      <c r="J181" s="21">
        <f t="shared" si="9"/>
        <v>0</v>
      </c>
      <c r="K181" s="7"/>
      <c r="V181" s="5">
        <f t="shared" si="10"/>
        <v>0</v>
      </c>
      <c r="W181" s="5">
        <f t="shared" si="11"/>
        <v>0</v>
      </c>
    </row>
    <row r="182" spans="1:23" s="36" customFormat="1" ht="15" thickBot="1" x14ac:dyDescent="0.35">
      <c r="A182" s="6"/>
      <c r="B182" s="95">
        <f t="shared" si="13"/>
        <v>46</v>
      </c>
      <c r="C182" s="79"/>
      <c r="D182" s="80"/>
      <c r="E182" s="80"/>
      <c r="F182" s="96"/>
      <c r="G182" s="96"/>
      <c r="H182" s="96"/>
      <c r="I182" s="81"/>
      <c r="J182" s="82">
        <f t="shared" si="9"/>
        <v>0</v>
      </c>
      <c r="K182" s="7"/>
      <c r="V182" s="5">
        <f t="shared" si="10"/>
        <v>0</v>
      </c>
      <c r="W182" s="5">
        <f t="shared" si="11"/>
        <v>0</v>
      </c>
    </row>
    <row r="183" spans="1:23" s="36" customFormat="1" ht="24" thickBot="1" x14ac:dyDescent="0.5">
      <c r="A183" s="6"/>
      <c r="B183" s="165" t="s">
        <v>22</v>
      </c>
      <c r="C183" s="166"/>
      <c r="D183" s="166"/>
      <c r="E183" s="166"/>
      <c r="F183" s="166"/>
      <c r="G183" s="166"/>
      <c r="H183" s="167"/>
      <c r="I183" s="83" t="s">
        <v>23</v>
      </c>
      <c r="J183" s="84">
        <f>SUM(J137:J182)</f>
        <v>172650</v>
      </c>
      <c r="K183" s="7"/>
      <c r="L183" s="5"/>
      <c r="M183" s="5"/>
      <c r="N183" s="5"/>
      <c r="O183" s="5"/>
      <c r="P183" s="5"/>
      <c r="Q183" s="5"/>
      <c r="R183" s="5"/>
      <c r="V183" s="36">
        <f>SUM(V137:V182)</f>
        <v>31</v>
      </c>
      <c r="W183" s="36">
        <f>SUM(W137:W182)</f>
        <v>4</v>
      </c>
    </row>
    <row r="184" spans="1:23" s="36" customFormat="1" ht="30" customHeight="1" thickBot="1" x14ac:dyDescent="0.35">
      <c r="A184" s="30"/>
      <c r="B184" s="31"/>
      <c r="C184" s="31"/>
      <c r="D184" s="31"/>
      <c r="E184" s="31"/>
      <c r="F184" s="31"/>
      <c r="G184" s="31"/>
      <c r="H184" s="32"/>
      <c r="I184" s="31"/>
      <c r="J184" s="32"/>
      <c r="K184" s="33"/>
      <c r="L184" s="5"/>
      <c r="M184" s="5"/>
      <c r="N184" s="5"/>
      <c r="O184" s="5"/>
      <c r="P184" s="5"/>
      <c r="Q184" s="5"/>
      <c r="R184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B129:H129"/>
    <mergeCell ref="B133:J133"/>
    <mergeCell ref="B134:J134"/>
    <mergeCell ref="B135:J135"/>
    <mergeCell ref="B183:H183"/>
  </mergeCells>
  <hyperlinks>
    <hyperlink ref="B59" r:id="rId1" xr:uid="{00000000-0004-0000-1A00-000000000000}"/>
    <hyperlink ref="B129" r:id="rId2" xr:uid="{00000000-0004-0000-1A00-000001000000}"/>
    <hyperlink ref="B183" r:id="rId3" xr:uid="{00000000-0004-0000-1A00-000002000000}"/>
    <hyperlink ref="M1" location="MASTER!A1" display="Back" xr:uid="{00000000-0004-0000-1A00-000003000000}"/>
    <hyperlink ref="M6:M7" location="'MAR 2022'!A70" display="EXTRA STOCK FUTURE" xr:uid="{00000000-0004-0000-1A00-000004000000}"/>
    <hyperlink ref="M8:M9" location="'MAR 2022'!A140" display="EXTRA NIFTY OPTION" xr:uid="{00000000-0004-0000-1A00-000005000000}"/>
  </hyperlinks>
  <pageMargins left="0" right="0" top="0" bottom="0" header="0" footer="0"/>
  <pageSetup paperSize="9" orientation="portrait" r:id="rId4"/>
  <drawing r:id="rId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184"/>
  <sheetViews>
    <sheetView zoomScaleNormal="100" workbookViewId="0">
      <selection activeCell="M18" sqref="M18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44835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95" t="s">
        <v>107</v>
      </c>
      <c r="N4" s="111">
        <f>COUNT(C6:C58)</f>
        <v>30</v>
      </c>
      <c r="O4" s="113">
        <f>V59</f>
        <v>26</v>
      </c>
      <c r="P4" s="113">
        <v>4</v>
      </c>
      <c r="Q4" s="197">
        <f>N4-O4-P4</f>
        <v>0</v>
      </c>
      <c r="R4" s="199">
        <f>O4/N4</f>
        <v>0.8666666666666667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96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44837</v>
      </c>
      <c r="D6" s="90" t="s">
        <v>18</v>
      </c>
      <c r="E6" s="90" t="s">
        <v>465</v>
      </c>
      <c r="F6" s="90">
        <v>210</v>
      </c>
      <c r="G6" s="90">
        <v>160</v>
      </c>
      <c r="H6" s="91">
        <v>-50</v>
      </c>
      <c r="I6" s="90">
        <v>100</v>
      </c>
      <c r="J6" s="92">
        <f t="shared" ref="J6:J58" si="0">H6*I6</f>
        <v>-5000</v>
      </c>
      <c r="K6" s="7"/>
      <c r="M6" s="213" t="s">
        <v>108</v>
      </c>
      <c r="N6" s="112">
        <f>COUNT(C67:C128)</f>
        <v>20</v>
      </c>
      <c r="O6" s="113">
        <v>18</v>
      </c>
      <c r="P6" s="113">
        <v>2</v>
      </c>
      <c r="Q6" s="198">
        <v>0</v>
      </c>
      <c r="R6" s="203">
        <f t="shared" ref="R6" si="1">O6/N6</f>
        <v>0.9</v>
      </c>
      <c r="V6" s="5">
        <f t="shared" ref="V6:V58" si="2">IF($J6&gt;0,1,0)</f>
        <v>0</v>
      </c>
      <c r="W6" s="5">
        <f t="shared" ref="W6:W58" si="3">IF($J6&lt;0,1,0)</f>
        <v>1</v>
      </c>
    </row>
    <row r="7" spans="1:23" ht="15" thickBot="1" x14ac:dyDescent="0.35">
      <c r="A7" s="6"/>
      <c r="B7" s="17">
        <v>2</v>
      </c>
      <c r="C7" s="85">
        <v>44837</v>
      </c>
      <c r="D7" s="86" t="s">
        <v>18</v>
      </c>
      <c r="E7" s="86" t="s">
        <v>465</v>
      </c>
      <c r="F7" s="86">
        <v>210</v>
      </c>
      <c r="G7" s="86">
        <v>258</v>
      </c>
      <c r="H7" s="87">
        <f>258-210</f>
        <v>48</v>
      </c>
      <c r="I7" s="86">
        <v>100</v>
      </c>
      <c r="J7" s="21">
        <f t="shared" si="0"/>
        <v>4800</v>
      </c>
      <c r="K7" s="7"/>
      <c r="M7" s="213"/>
      <c r="N7" s="112"/>
      <c r="O7" s="114"/>
      <c r="P7" s="114"/>
      <c r="Q7" s="198"/>
      <c r="R7" s="200"/>
      <c r="V7" s="5">
        <f t="shared" si="2"/>
        <v>1</v>
      </c>
      <c r="W7" s="5">
        <f t="shared" si="3"/>
        <v>0</v>
      </c>
    </row>
    <row r="8" spans="1:23" x14ac:dyDescent="0.3">
      <c r="A8" s="6"/>
      <c r="B8" s="88">
        <v>3</v>
      </c>
      <c r="C8" s="85">
        <v>44838</v>
      </c>
      <c r="D8" s="86" t="s">
        <v>18</v>
      </c>
      <c r="E8" s="86" t="s">
        <v>554</v>
      </c>
      <c r="F8" s="86">
        <v>130</v>
      </c>
      <c r="G8" s="86">
        <v>105</v>
      </c>
      <c r="H8" s="87">
        <v>-25</v>
      </c>
      <c r="I8" s="86">
        <v>100</v>
      </c>
      <c r="J8" s="21">
        <f t="shared" si="0"/>
        <v>-2500</v>
      </c>
      <c r="K8" s="7"/>
      <c r="M8" s="214" t="s">
        <v>194</v>
      </c>
      <c r="N8" s="112">
        <f>COUNT(C137:C182)</f>
        <v>28</v>
      </c>
      <c r="O8" s="114">
        <v>24</v>
      </c>
      <c r="P8" s="113">
        <v>4</v>
      </c>
      <c r="Q8" s="198">
        <v>0</v>
      </c>
      <c r="R8" s="203">
        <f t="shared" ref="R8:R10" si="4">O8/N8</f>
        <v>0.8571428571428571</v>
      </c>
      <c r="V8" s="5">
        <f t="shared" si="2"/>
        <v>0</v>
      </c>
      <c r="W8" s="5">
        <f t="shared" si="3"/>
        <v>1</v>
      </c>
    </row>
    <row r="9" spans="1:23" ht="15" thickBot="1" x14ac:dyDescent="0.35">
      <c r="A9" s="6"/>
      <c r="B9" s="17">
        <v>4</v>
      </c>
      <c r="C9" s="85">
        <v>44838</v>
      </c>
      <c r="D9" s="86" t="s">
        <v>18</v>
      </c>
      <c r="E9" s="86" t="s">
        <v>732</v>
      </c>
      <c r="F9" s="86">
        <v>170</v>
      </c>
      <c r="G9" s="86">
        <v>150</v>
      </c>
      <c r="H9" s="87">
        <v>-20</v>
      </c>
      <c r="I9" s="86">
        <v>100</v>
      </c>
      <c r="J9" s="21">
        <f t="shared" si="0"/>
        <v>-2000</v>
      </c>
      <c r="K9" s="7"/>
      <c r="M9" s="215"/>
      <c r="N9" s="184"/>
      <c r="O9" s="172"/>
      <c r="P9" s="114"/>
      <c r="Q9" s="174"/>
      <c r="R9" s="204"/>
      <c r="V9" s="5">
        <f t="shared" si="2"/>
        <v>0</v>
      </c>
      <c r="W9" s="5">
        <f t="shared" si="3"/>
        <v>1</v>
      </c>
    </row>
    <row r="10" spans="1:23" ht="16.5" customHeight="1" x14ac:dyDescent="0.3">
      <c r="A10" s="6"/>
      <c r="B10" s="88">
        <v>5</v>
      </c>
      <c r="C10" s="85">
        <v>44840</v>
      </c>
      <c r="D10" s="86" t="s">
        <v>18</v>
      </c>
      <c r="E10" s="86" t="s">
        <v>712</v>
      </c>
      <c r="F10" s="86">
        <v>100</v>
      </c>
      <c r="G10" s="86">
        <v>145</v>
      </c>
      <c r="H10" s="87">
        <v>45</v>
      </c>
      <c r="I10" s="86">
        <v>100</v>
      </c>
      <c r="J10" s="21">
        <f t="shared" si="0"/>
        <v>4500</v>
      </c>
      <c r="K10" s="7"/>
      <c r="M10" s="207" t="s">
        <v>19</v>
      </c>
      <c r="N10" s="149">
        <f>SUM(N4:N9)</f>
        <v>78</v>
      </c>
      <c r="O10" s="209">
        <f>SUM(O4:O9)</f>
        <v>68</v>
      </c>
      <c r="P10" s="209">
        <f>SUM(P4:P9)</f>
        <v>10</v>
      </c>
      <c r="Q10" s="211">
        <f>SUM(Q4:Q9)</f>
        <v>0</v>
      </c>
      <c r="R10" s="199">
        <f t="shared" si="4"/>
        <v>0.87179487179487181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44840</v>
      </c>
      <c r="D11" s="86" t="s">
        <v>18</v>
      </c>
      <c r="E11" s="86" t="s">
        <v>712</v>
      </c>
      <c r="F11" s="86">
        <v>100</v>
      </c>
      <c r="G11" s="86">
        <v>200</v>
      </c>
      <c r="H11" s="87">
        <v>100</v>
      </c>
      <c r="I11" s="86">
        <v>100</v>
      </c>
      <c r="J11" s="21">
        <f t="shared" si="0"/>
        <v>10000</v>
      </c>
      <c r="K11" s="7"/>
      <c r="M11" s="208"/>
      <c r="N11" s="150"/>
      <c r="O11" s="210"/>
      <c r="P11" s="210"/>
      <c r="Q11" s="212"/>
      <c r="R11" s="204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44841</v>
      </c>
      <c r="D12" s="86" t="s">
        <v>18</v>
      </c>
      <c r="E12" s="86" t="s">
        <v>556</v>
      </c>
      <c r="F12" s="86">
        <v>180</v>
      </c>
      <c r="G12" s="86">
        <v>192</v>
      </c>
      <c r="H12" s="87">
        <v>12</v>
      </c>
      <c r="I12" s="86">
        <v>100</v>
      </c>
      <c r="J12" s="21">
        <f t="shared" si="0"/>
        <v>1200</v>
      </c>
      <c r="K12" s="7"/>
      <c r="M12" s="126" t="s">
        <v>20</v>
      </c>
      <c r="N12" s="130"/>
      <c r="O12" s="131"/>
      <c r="P12" s="138">
        <f>R10</f>
        <v>0.87179487179487181</v>
      </c>
      <c r="Q12" s="139"/>
      <c r="R12" s="137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44841</v>
      </c>
      <c r="D13" s="86" t="s">
        <v>18</v>
      </c>
      <c r="E13" s="86" t="s">
        <v>556</v>
      </c>
      <c r="F13" s="86">
        <v>370</v>
      </c>
      <c r="G13" s="86">
        <v>430</v>
      </c>
      <c r="H13" s="87">
        <f>430-370</f>
        <v>60</v>
      </c>
      <c r="I13" s="86">
        <v>100</v>
      </c>
      <c r="J13" s="21">
        <f t="shared" si="0"/>
        <v>6000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44844</v>
      </c>
      <c r="D14" s="86" t="s">
        <v>18</v>
      </c>
      <c r="E14" s="86" t="s">
        <v>627</v>
      </c>
      <c r="F14" s="86">
        <v>170</v>
      </c>
      <c r="G14" s="86">
        <v>253</v>
      </c>
      <c r="H14" s="87">
        <f>253-170</f>
        <v>83</v>
      </c>
      <c r="I14" s="86">
        <v>100</v>
      </c>
      <c r="J14" s="21">
        <f t="shared" si="0"/>
        <v>8300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44844</v>
      </c>
      <c r="D15" s="86" t="s">
        <v>18</v>
      </c>
      <c r="E15" s="86" t="s">
        <v>705</v>
      </c>
      <c r="F15" s="86">
        <v>140</v>
      </c>
      <c r="G15" s="86">
        <v>240</v>
      </c>
      <c r="H15" s="87">
        <v>100</v>
      </c>
      <c r="I15" s="86">
        <v>100</v>
      </c>
      <c r="J15" s="21">
        <f t="shared" si="0"/>
        <v>10000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85">
        <v>44845</v>
      </c>
      <c r="D16" s="86" t="s">
        <v>18</v>
      </c>
      <c r="E16" s="86" t="s">
        <v>638</v>
      </c>
      <c r="F16" s="86">
        <v>160</v>
      </c>
      <c r="G16" s="86">
        <v>210</v>
      </c>
      <c r="H16" s="87">
        <v>50</v>
      </c>
      <c r="I16" s="86">
        <v>100</v>
      </c>
      <c r="J16" s="21">
        <f t="shared" si="0"/>
        <v>5000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85">
        <v>44845</v>
      </c>
      <c r="D17" s="86" t="s">
        <v>18</v>
      </c>
      <c r="E17" s="86" t="s">
        <v>555</v>
      </c>
      <c r="F17" s="86">
        <v>160</v>
      </c>
      <c r="G17" s="86">
        <v>260</v>
      </c>
      <c r="H17" s="87">
        <v>100</v>
      </c>
      <c r="I17" s="86">
        <v>100</v>
      </c>
      <c r="J17" s="21">
        <f t="shared" si="0"/>
        <v>10000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85">
        <v>44846</v>
      </c>
      <c r="D18" s="86" t="s">
        <v>18</v>
      </c>
      <c r="E18" s="86" t="s">
        <v>619</v>
      </c>
      <c r="F18" s="86">
        <v>140</v>
      </c>
      <c r="G18" s="86">
        <v>190</v>
      </c>
      <c r="H18" s="87">
        <v>50</v>
      </c>
      <c r="I18" s="86">
        <v>100</v>
      </c>
      <c r="J18" s="21">
        <f t="shared" si="0"/>
        <v>5000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85">
        <v>44846</v>
      </c>
      <c r="D19" s="86" t="s">
        <v>18</v>
      </c>
      <c r="E19" s="86" t="s">
        <v>705</v>
      </c>
      <c r="F19" s="86">
        <v>140</v>
      </c>
      <c r="G19" s="86">
        <v>207</v>
      </c>
      <c r="H19" s="87">
        <f>207-140</f>
        <v>67</v>
      </c>
      <c r="I19" s="86">
        <v>100</v>
      </c>
      <c r="J19" s="21">
        <f t="shared" si="0"/>
        <v>6700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85">
        <v>44847</v>
      </c>
      <c r="D20" s="86" t="s">
        <v>18</v>
      </c>
      <c r="E20" s="86" t="s">
        <v>616</v>
      </c>
      <c r="F20" s="86">
        <v>150</v>
      </c>
      <c r="G20" s="86">
        <v>198</v>
      </c>
      <c r="H20" s="87">
        <f>198-150</f>
        <v>48</v>
      </c>
      <c r="I20" s="86">
        <v>100</v>
      </c>
      <c r="J20" s="21">
        <f t="shared" si="0"/>
        <v>4800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85">
        <v>44847</v>
      </c>
      <c r="D21" s="86" t="s">
        <v>18</v>
      </c>
      <c r="E21" s="86" t="s">
        <v>555</v>
      </c>
      <c r="F21" s="86">
        <v>140</v>
      </c>
      <c r="G21" s="86">
        <v>217</v>
      </c>
      <c r="H21" s="87">
        <f>217-140</f>
        <v>77</v>
      </c>
      <c r="I21" s="86">
        <v>100</v>
      </c>
      <c r="J21" s="21">
        <f t="shared" si="0"/>
        <v>7700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44848</v>
      </c>
      <c r="D22" s="19" t="s">
        <v>18</v>
      </c>
      <c r="E22" s="19" t="s">
        <v>555</v>
      </c>
      <c r="F22" s="35">
        <v>160</v>
      </c>
      <c r="G22" s="35">
        <v>220</v>
      </c>
      <c r="H22" s="35">
        <f>220-160</f>
        <v>60</v>
      </c>
      <c r="I22" s="20">
        <v>100</v>
      </c>
      <c r="J22" s="21">
        <f t="shared" si="0"/>
        <v>6000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44848</v>
      </c>
      <c r="D23" s="19" t="s">
        <v>18</v>
      </c>
      <c r="E23" s="19" t="s">
        <v>555</v>
      </c>
      <c r="F23" s="35">
        <v>160</v>
      </c>
      <c r="G23" s="35">
        <v>188</v>
      </c>
      <c r="H23" s="35">
        <f>188-160</f>
        <v>28</v>
      </c>
      <c r="I23" s="20">
        <v>100</v>
      </c>
      <c r="J23" s="21">
        <f t="shared" si="0"/>
        <v>2800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44851</v>
      </c>
      <c r="D24" s="19" t="s">
        <v>18</v>
      </c>
      <c r="E24" s="19" t="s">
        <v>714</v>
      </c>
      <c r="F24" s="35">
        <v>160</v>
      </c>
      <c r="G24" s="35">
        <v>260</v>
      </c>
      <c r="H24" s="35">
        <v>100</v>
      </c>
      <c r="I24" s="20">
        <v>100</v>
      </c>
      <c r="J24" s="21">
        <f t="shared" si="0"/>
        <v>10000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44851</v>
      </c>
      <c r="D25" s="19" t="s">
        <v>18</v>
      </c>
      <c r="E25" s="19" t="s">
        <v>508</v>
      </c>
      <c r="F25" s="35">
        <v>150</v>
      </c>
      <c r="G25" s="35">
        <v>240</v>
      </c>
      <c r="H25" s="35">
        <f>240-150</f>
        <v>90</v>
      </c>
      <c r="I25" s="20">
        <v>100</v>
      </c>
      <c r="J25" s="21">
        <f t="shared" si="0"/>
        <v>9000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44852</v>
      </c>
      <c r="D26" s="19" t="s">
        <v>18</v>
      </c>
      <c r="E26" s="19" t="s">
        <v>739</v>
      </c>
      <c r="F26" s="35">
        <v>160</v>
      </c>
      <c r="G26" s="35">
        <v>192</v>
      </c>
      <c r="H26" s="35">
        <f>192-160</f>
        <v>32</v>
      </c>
      <c r="I26" s="20">
        <v>100</v>
      </c>
      <c r="J26" s="21">
        <f t="shared" si="0"/>
        <v>3200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44852</v>
      </c>
      <c r="D27" s="19" t="s">
        <v>18</v>
      </c>
      <c r="E27" s="19" t="s">
        <v>553</v>
      </c>
      <c r="F27" s="35">
        <v>170</v>
      </c>
      <c r="G27" s="35">
        <v>145</v>
      </c>
      <c r="H27" s="19">
        <v>-25</v>
      </c>
      <c r="I27" s="20">
        <v>100</v>
      </c>
      <c r="J27" s="21">
        <f t="shared" si="0"/>
        <v>-2500</v>
      </c>
      <c r="K27" s="7"/>
      <c r="V27" s="5">
        <f t="shared" si="2"/>
        <v>0</v>
      </c>
      <c r="W27" s="5">
        <f t="shared" si="3"/>
        <v>1</v>
      </c>
    </row>
    <row r="28" spans="1:23" x14ac:dyDescent="0.3">
      <c r="A28" s="6"/>
      <c r="B28" s="88">
        <v>23</v>
      </c>
      <c r="C28" s="18">
        <v>44853</v>
      </c>
      <c r="D28" s="19" t="s">
        <v>18</v>
      </c>
      <c r="E28" s="19" t="s">
        <v>740</v>
      </c>
      <c r="F28" s="35">
        <v>130</v>
      </c>
      <c r="G28" s="35">
        <v>158</v>
      </c>
      <c r="H28" s="19">
        <f>158-130</f>
        <v>28</v>
      </c>
      <c r="I28" s="20">
        <v>100</v>
      </c>
      <c r="J28" s="21">
        <f t="shared" si="0"/>
        <v>2800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44853</v>
      </c>
      <c r="D29" s="19" t="s">
        <v>18</v>
      </c>
      <c r="E29" s="19" t="s">
        <v>741</v>
      </c>
      <c r="F29" s="20">
        <v>140</v>
      </c>
      <c r="G29" s="20">
        <v>225</v>
      </c>
      <c r="H29" s="19">
        <f>225-140</f>
        <v>85</v>
      </c>
      <c r="I29" s="20">
        <v>100</v>
      </c>
      <c r="J29" s="21">
        <f t="shared" si="0"/>
        <v>8500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44854</v>
      </c>
      <c r="D30" s="25" t="s">
        <v>18</v>
      </c>
      <c r="E30" s="25" t="s">
        <v>724</v>
      </c>
      <c r="F30" s="26">
        <v>130</v>
      </c>
      <c r="G30" s="61">
        <v>230</v>
      </c>
      <c r="H30" s="61">
        <v>100</v>
      </c>
      <c r="I30" s="26">
        <v>100</v>
      </c>
      <c r="J30" s="21">
        <f t="shared" si="0"/>
        <v>10000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44854</v>
      </c>
      <c r="D31" s="25" t="s">
        <v>18</v>
      </c>
      <c r="E31" s="25" t="s">
        <v>724</v>
      </c>
      <c r="F31" s="26">
        <v>150</v>
      </c>
      <c r="G31" s="61">
        <v>250</v>
      </c>
      <c r="H31" s="61">
        <v>100</v>
      </c>
      <c r="I31" s="26">
        <v>100</v>
      </c>
      <c r="J31" s="21">
        <f t="shared" si="0"/>
        <v>10000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44855</v>
      </c>
      <c r="D32" s="25" t="s">
        <v>18</v>
      </c>
      <c r="E32" s="25" t="s">
        <v>515</v>
      </c>
      <c r="F32" s="26">
        <v>150</v>
      </c>
      <c r="G32" s="61">
        <v>250</v>
      </c>
      <c r="H32" s="61">
        <v>100</v>
      </c>
      <c r="I32" s="26">
        <v>100</v>
      </c>
      <c r="J32" s="21">
        <f t="shared" si="0"/>
        <v>10000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44855</v>
      </c>
      <c r="D33" s="25" t="s">
        <v>18</v>
      </c>
      <c r="E33" s="25" t="s">
        <v>517</v>
      </c>
      <c r="F33" s="26">
        <v>170</v>
      </c>
      <c r="G33" s="61">
        <v>270</v>
      </c>
      <c r="H33" s="61">
        <v>100</v>
      </c>
      <c r="I33" s="26">
        <v>100</v>
      </c>
      <c r="J33" s="21">
        <f t="shared" si="0"/>
        <v>10000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44865</v>
      </c>
      <c r="D34" s="25" t="s">
        <v>18</v>
      </c>
      <c r="E34" s="25" t="s">
        <v>726</v>
      </c>
      <c r="F34" s="26">
        <v>160</v>
      </c>
      <c r="G34" s="61">
        <v>170</v>
      </c>
      <c r="H34" s="61">
        <v>10</v>
      </c>
      <c r="I34" s="26">
        <v>100</v>
      </c>
      <c r="J34" s="21">
        <f t="shared" si="0"/>
        <v>1000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44865</v>
      </c>
      <c r="D35" s="25" t="s">
        <v>18</v>
      </c>
      <c r="E35" s="25" t="s">
        <v>727</v>
      </c>
      <c r="F35" s="26">
        <v>170</v>
      </c>
      <c r="G35" s="61">
        <v>190</v>
      </c>
      <c r="H35" s="61">
        <v>20</v>
      </c>
      <c r="I35" s="26">
        <v>100</v>
      </c>
      <c r="J35" s="21">
        <f t="shared" si="0"/>
        <v>2000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/>
      <c r="D36" s="25"/>
      <c r="E36" s="25"/>
      <c r="F36" s="26"/>
      <c r="G36" s="61"/>
      <c r="H36" s="61"/>
      <c r="I36" s="26"/>
      <c r="J36" s="21">
        <f t="shared" si="0"/>
        <v>0</v>
      </c>
      <c r="K36" s="7"/>
      <c r="V36" s="5">
        <f t="shared" si="2"/>
        <v>0</v>
      </c>
      <c r="W36" s="5">
        <f t="shared" si="3"/>
        <v>0</v>
      </c>
    </row>
    <row r="37" spans="1:23" x14ac:dyDescent="0.3">
      <c r="A37" s="6"/>
      <c r="B37" s="17">
        <v>32</v>
      </c>
      <c r="C37" s="24"/>
      <c r="D37" s="25"/>
      <c r="E37" s="25"/>
      <c r="F37" s="26"/>
      <c r="G37" s="61"/>
      <c r="H37" s="61"/>
      <c r="I37" s="26"/>
      <c r="J37" s="21">
        <f t="shared" si="0"/>
        <v>0</v>
      </c>
      <c r="K37" s="7"/>
      <c r="V37" s="5">
        <f t="shared" si="2"/>
        <v>0</v>
      </c>
      <c r="W37" s="5">
        <f t="shared" si="3"/>
        <v>0</v>
      </c>
    </row>
    <row r="38" spans="1:23" x14ac:dyDescent="0.3">
      <c r="A38" s="6"/>
      <c r="B38" s="88">
        <v>33</v>
      </c>
      <c r="C38" s="24"/>
      <c r="D38" s="25"/>
      <c r="E38" s="25"/>
      <c r="F38" s="26"/>
      <c r="G38" s="61"/>
      <c r="H38" s="61"/>
      <c r="I38" s="26"/>
      <c r="J38" s="21">
        <f t="shared" si="0"/>
        <v>0</v>
      </c>
      <c r="K38" s="7"/>
      <c r="V38" s="5">
        <f t="shared" si="2"/>
        <v>0</v>
      </c>
      <c r="W38" s="5">
        <f t="shared" si="3"/>
        <v>0</v>
      </c>
    </row>
    <row r="39" spans="1:23" x14ac:dyDescent="0.3">
      <c r="A39" s="6"/>
      <c r="B39" s="17">
        <v>34</v>
      </c>
      <c r="C39" s="24"/>
      <c r="D39" s="25"/>
      <c r="E39" s="25"/>
      <c r="F39" s="26"/>
      <c r="G39" s="61"/>
      <c r="H39" s="61"/>
      <c r="I39" s="26"/>
      <c r="J39" s="21">
        <f t="shared" si="0"/>
        <v>0</v>
      </c>
      <c r="K39" s="7"/>
      <c r="V39" s="5">
        <f t="shared" si="2"/>
        <v>0</v>
      </c>
      <c r="W39" s="5">
        <f t="shared" si="3"/>
        <v>0</v>
      </c>
    </row>
    <row r="40" spans="1:23" x14ac:dyDescent="0.3">
      <c r="A40" s="6"/>
      <c r="B40" s="88">
        <v>35</v>
      </c>
      <c r="C40" s="24"/>
      <c r="D40" s="25"/>
      <c r="E40" s="25"/>
      <c r="F40" s="26"/>
      <c r="G40" s="61"/>
      <c r="H40" s="61"/>
      <c r="I40" s="26"/>
      <c r="J40" s="21">
        <f t="shared" si="0"/>
        <v>0</v>
      </c>
      <c r="K40" s="7"/>
      <c r="V40" s="5">
        <f t="shared" si="2"/>
        <v>0</v>
      </c>
      <c r="W40" s="5">
        <f t="shared" si="3"/>
        <v>0</v>
      </c>
    </row>
    <row r="41" spans="1:23" x14ac:dyDescent="0.3">
      <c r="A41" s="6"/>
      <c r="B41" s="17">
        <v>36</v>
      </c>
      <c r="C41" s="18"/>
      <c r="D41" s="19"/>
      <c r="E41" s="19"/>
      <c r="F41" s="35"/>
      <c r="G41" s="35"/>
      <c r="H41" s="35"/>
      <c r="I41" s="26"/>
      <c r="J41" s="21">
        <f t="shared" si="0"/>
        <v>0</v>
      </c>
      <c r="K41" s="7"/>
      <c r="V41" s="5">
        <f t="shared" si="2"/>
        <v>0</v>
      </c>
      <c r="W41" s="5">
        <f t="shared" si="3"/>
        <v>0</v>
      </c>
    </row>
    <row r="42" spans="1:23" x14ac:dyDescent="0.3">
      <c r="A42" s="6"/>
      <c r="B42" s="17">
        <v>37</v>
      </c>
      <c r="C42" s="18"/>
      <c r="D42" s="19"/>
      <c r="E42" s="19"/>
      <c r="F42" s="35"/>
      <c r="G42" s="35"/>
      <c r="H42" s="35"/>
      <c r="I42" s="26"/>
      <c r="J42" s="21">
        <f t="shared" si="0"/>
        <v>0</v>
      </c>
      <c r="K42" s="7"/>
      <c r="V42" s="5">
        <f t="shared" si="2"/>
        <v>0</v>
      </c>
      <c r="W42" s="5">
        <f t="shared" si="3"/>
        <v>0</v>
      </c>
    </row>
    <row r="43" spans="1:23" x14ac:dyDescent="0.3">
      <c r="A43" s="6"/>
      <c r="B43" s="17">
        <v>38</v>
      </c>
      <c r="C43" s="24"/>
      <c r="D43" s="25"/>
      <c r="E43" s="25"/>
      <c r="F43" s="26"/>
      <c r="G43" s="61"/>
      <c r="H43" s="61"/>
      <c r="I43" s="26"/>
      <c r="J43" s="21">
        <f t="shared" si="0"/>
        <v>0</v>
      </c>
      <c r="K43" s="7"/>
      <c r="V43" s="5">
        <f t="shared" si="2"/>
        <v>0</v>
      </c>
      <c r="W43" s="5">
        <f t="shared" si="3"/>
        <v>0</v>
      </c>
    </row>
    <row r="44" spans="1:23" x14ac:dyDescent="0.3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x14ac:dyDescent="0.3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x14ac:dyDescent="0.3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x14ac:dyDescent="0.3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x14ac:dyDescent="0.3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157300</v>
      </c>
      <c r="K59" s="7"/>
      <c r="V59" s="5">
        <f>SUM(V6:V58)</f>
        <v>26</v>
      </c>
      <c r="W59" s="5">
        <f>SUM(W6:W58)</f>
        <v>4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737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44837</v>
      </c>
      <c r="D67" s="67" t="s">
        <v>18</v>
      </c>
      <c r="E67" s="67" t="s">
        <v>545</v>
      </c>
      <c r="F67" s="68">
        <v>2370</v>
      </c>
      <c r="G67" s="68">
        <v>2350</v>
      </c>
      <c r="H67" s="97">
        <v>-20</v>
      </c>
      <c r="I67" s="68">
        <v>475</v>
      </c>
      <c r="J67" s="92">
        <f>H67*I67</f>
        <v>-9500</v>
      </c>
      <c r="K67" s="7"/>
      <c r="V67" s="5">
        <f t="shared" ref="V67:V128" si="5">IF($J67&gt;0,1,0)</f>
        <v>0</v>
      </c>
      <c r="W67" s="5">
        <f t="shared" ref="W67:W128" si="6">IF($J67&lt;0,1,0)</f>
        <v>1</v>
      </c>
    </row>
    <row r="68" spans="1:23" s="36" customFormat="1" x14ac:dyDescent="0.3">
      <c r="A68" s="6"/>
      <c r="B68" s="17">
        <f>B67+1</f>
        <v>2</v>
      </c>
      <c r="C68" s="66">
        <v>44838</v>
      </c>
      <c r="D68" s="67" t="s">
        <v>69</v>
      </c>
      <c r="E68" s="67" t="s">
        <v>561</v>
      </c>
      <c r="F68" s="97">
        <v>3215</v>
      </c>
      <c r="G68" s="97">
        <v>3191</v>
      </c>
      <c r="H68" s="97">
        <f>3215-3191</f>
        <v>24</v>
      </c>
      <c r="I68" s="20">
        <v>500</v>
      </c>
      <c r="J68" s="21">
        <f>H68*I68</f>
        <v>12000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8" si="7">B68+1</f>
        <v>3</v>
      </c>
      <c r="C69" s="18">
        <v>44840</v>
      </c>
      <c r="D69" s="19" t="s">
        <v>18</v>
      </c>
      <c r="E69" s="19" t="s">
        <v>167</v>
      </c>
      <c r="F69" s="35">
        <v>870</v>
      </c>
      <c r="G69" s="97">
        <v>873.5</v>
      </c>
      <c r="H69" s="35">
        <v>3.5</v>
      </c>
      <c r="I69" s="20">
        <v>625</v>
      </c>
      <c r="J69" s="21">
        <f>H69*I69</f>
        <v>2187.5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44841</v>
      </c>
      <c r="D70" s="19" t="s">
        <v>18</v>
      </c>
      <c r="E70" s="19" t="s">
        <v>376</v>
      </c>
      <c r="F70" s="35">
        <v>1825</v>
      </c>
      <c r="G70" s="97">
        <v>1833</v>
      </c>
      <c r="H70" s="35">
        <f>1833-1825</f>
        <v>8</v>
      </c>
      <c r="I70" s="20">
        <v>400</v>
      </c>
      <c r="J70" s="21">
        <f>H70*I70</f>
        <v>3200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44844</v>
      </c>
      <c r="D71" s="19" t="s">
        <v>18</v>
      </c>
      <c r="E71" s="19" t="s">
        <v>376</v>
      </c>
      <c r="F71" s="35">
        <v>1807</v>
      </c>
      <c r="G71" s="97">
        <v>1822</v>
      </c>
      <c r="H71" s="35">
        <f>1822-1807</f>
        <v>15</v>
      </c>
      <c r="I71" s="20">
        <v>400</v>
      </c>
      <c r="J71" s="21">
        <f>H71*I71</f>
        <v>6000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44845</v>
      </c>
      <c r="D72" s="19" t="s">
        <v>69</v>
      </c>
      <c r="E72" s="19" t="s">
        <v>605</v>
      </c>
      <c r="F72" s="20">
        <v>753</v>
      </c>
      <c r="G72" s="97">
        <v>746.55</v>
      </c>
      <c r="H72" s="35">
        <f>753-746.55</f>
        <v>6.4500000000000455</v>
      </c>
      <c r="I72" s="20">
        <v>650</v>
      </c>
      <c r="J72" s="21">
        <f t="shared" ref="J72:J128" si="8">I72*H72</f>
        <v>4192.5000000000291</v>
      </c>
      <c r="K72" s="7"/>
      <c r="V72" s="5">
        <f t="shared" si="5"/>
        <v>1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>
        <v>44845</v>
      </c>
      <c r="D73" s="19" t="s">
        <v>18</v>
      </c>
      <c r="E73" s="19" t="s">
        <v>376</v>
      </c>
      <c r="F73" s="35">
        <v>1807</v>
      </c>
      <c r="G73" s="97">
        <v>1812</v>
      </c>
      <c r="H73" s="35">
        <v>5</v>
      </c>
      <c r="I73" s="20">
        <v>400</v>
      </c>
      <c r="J73" s="21">
        <f t="shared" si="8"/>
        <v>2000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44846</v>
      </c>
      <c r="D74" s="19" t="s">
        <v>18</v>
      </c>
      <c r="E74" s="19" t="s">
        <v>499</v>
      </c>
      <c r="F74" s="35">
        <v>1070</v>
      </c>
      <c r="G74" s="97">
        <v>1090</v>
      </c>
      <c r="H74" s="35">
        <v>20</v>
      </c>
      <c r="I74" s="20">
        <v>1400</v>
      </c>
      <c r="J74" s="21">
        <f t="shared" si="8"/>
        <v>28000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44847</v>
      </c>
      <c r="D75" s="19" t="s">
        <v>18</v>
      </c>
      <c r="E75" s="19" t="s">
        <v>71</v>
      </c>
      <c r="F75" s="35">
        <v>2390</v>
      </c>
      <c r="G75" s="97">
        <v>2393</v>
      </c>
      <c r="H75" s="35">
        <v>3</v>
      </c>
      <c r="I75" s="20">
        <v>250</v>
      </c>
      <c r="J75" s="21">
        <f t="shared" si="8"/>
        <v>750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44848</v>
      </c>
      <c r="D76" s="19" t="s">
        <v>18</v>
      </c>
      <c r="E76" s="19" t="s">
        <v>70</v>
      </c>
      <c r="F76" s="35">
        <v>815</v>
      </c>
      <c r="G76" s="97">
        <v>800</v>
      </c>
      <c r="H76" s="35">
        <v>15</v>
      </c>
      <c r="I76" s="20">
        <v>1200</v>
      </c>
      <c r="J76" s="21">
        <f t="shared" si="8"/>
        <v>18000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>
        <v>44848</v>
      </c>
      <c r="D77" s="19" t="s">
        <v>18</v>
      </c>
      <c r="E77" s="19" t="s">
        <v>561</v>
      </c>
      <c r="F77" s="19">
        <v>3265</v>
      </c>
      <c r="G77" s="97">
        <v>3245</v>
      </c>
      <c r="H77" s="35">
        <v>-20</v>
      </c>
      <c r="I77" s="20">
        <v>500</v>
      </c>
      <c r="J77" s="21">
        <f t="shared" si="8"/>
        <v>-10000</v>
      </c>
      <c r="K77" s="7"/>
      <c r="V77" s="5">
        <f t="shared" si="5"/>
        <v>0</v>
      </c>
      <c r="W77" s="5">
        <f t="shared" si="6"/>
        <v>1</v>
      </c>
    </row>
    <row r="78" spans="1:23" s="36" customFormat="1" x14ac:dyDescent="0.3">
      <c r="A78" s="6"/>
      <c r="B78" s="17">
        <f t="shared" si="7"/>
        <v>12</v>
      </c>
      <c r="C78" s="18">
        <v>44851</v>
      </c>
      <c r="D78" s="19" t="s">
        <v>18</v>
      </c>
      <c r="E78" s="19" t="s">
        <v>376</v>
      </c>
      <c r="F78" s="35">
        <v>1855</v>
      </c>
      <c r="G78" s="97">
        <v>1862</v>
      </c>
      <c r="H78" s="35">
        <f>1862-1855</f>
        <v>7</v>
      </c>
      <c r="I78" s="20">
        <v>400</v>
      </c>
      <c r="J78" s="21">
        <f t="shared" si="8"/>
        <v>2800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44851</v>
      </c>
      <c r="D79" s="19" t="s">
        <v>18</v>
      </c>
      <c r="E79" s="19" t="s">
        <v>738</v>
      </c>
      <c r="F79" s="35">
        <v>853</v>
      </c>
      <c r="G79" s="97">
        <v>834</v>
      </c>
      <c r="H79" s="35">
        <f>853-834</f>
        <v>19</v>
      </c>
      <c r="I79" s="20">
        <v>700</v>
      </c>
      <c r="J79" s="21">
        <f t="shared" si="8"/>
        <v>13300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44852</v>
      </c>
      <c r="D80" s="19" t="s">
        <v>18</v>
      </c>
      <c r="E80" s="19" t="s">
        <v>545</v>
      </c>
      <c r="F80" s="77">
        <v>2398</v>
      </c>
      <c r="G80" s="97">
        <v>2438</v>
      </c>
      <c r="H80" s="78">
        <f>2438-2398</f>
        <v>40</v>
      </c>
      <c r="I80" s="20">
        <v>475</v>
      </c>
      <c r="J80" s="21">
        <f t="shared" si="8"/>
        <v>19000</v>
      </c>
      <c r="K80" s="7"/>
      <c r="V80" s="5">
        <f t="shared" si="5"/>
        <v>1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>
        <v>44852</v>
      </c>
      <c r="D81" s="19" t="s">
        <v>18</v>
      </c>
      <c r="E81" s="19" t="s">
        <v>75</v>
      </c>
      <c r="F81" s="35">
        <v>898</v>
      </c>
      <c r="G81" s="97">
        <v>901.2</v>
      </c>
      <c r="H81" s="78">
        <f>901.2-898</f>
        <v>3.2000000000000455</v>
      </c>
      <c r="I81" s="20">
        <v>1375</v>
      </c>
      <c r="J81" s="21">
        <f t="shared" si="8"/>
        <v>4400.0000000000628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>
        <v>44853</v>
      </c>
      <c r="D82" s="19" t="s">
        <v>69</v>
      </c>
      <c r="E82" s="19" t="s">
        <v>237</v>
      </c>
      <c r="F82" s="35">
        <v>4340</v>
      </c>
      <c r="G82" s="97">
        <v>4318</v>
      </c>
      <c r="H82" s="78">
        <f>4340-4318</f>
        <v>22</v>
      </c>
      <c r="I82" s="20">
        <v>125</v>
      </c>
      <c r="J82" s="21">
        <f t="shared" si="8"/>
        <v>2750</v>
      </c>
      <c r="K82" s="7"/>
      <c r="V82" s="5">
        <f t="shared" si="5"/>
        <v>1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>
        <v>44853</v>
      </c>
      <c r="D83" s="19" t="s">
        <v>69</v>
      </c>
      <c r="E83" s="19" t="s">
        <v>75</v>
      </c>
      <c r="F83" s="35">
        <v>897</v>
      </c>
      <c r="G83" s="97">
        <v>887.5</v>
      </c>
      <c r="H83" s="35">
        <f>897-887.5</f>
        <v>9.5</v>
      </c>
      <c r="I83" s="20">
        <v>1375</v>
      </c>
      <c r="J83" s="21">
        <f t="shared" si="8"/>
        <v>13062.5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>
        <v>44854</v>
      </c>
      <c r="D84" s="19" t="s">
        <v>18</v>
      </c>
      <c r="E84" s="19" t="s">
        <v>606</v>
      </c>
      <c r="F84" s="35">
        <v>1422</v>
      </c>
      <c r="G84" s="97">
        <v>1430</v>
      </c>
      <c r="H84" s="35">
        <f>1430-1422</f>
        <v>8</v>
      </c>
      <c r="I84" s="20">
        <v>725</v>
      </c>
      <c r="J84" s="21">
        <f t="shared" si="8"/>
        <v>5800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>
        <v>44855</v>
      </c>
      <c r="D85" s="19" t="s">
        <v>69</v>
      </c>
      <c r="E85" s="19" t="s">
        <v>708</v>
      </c>
      <c r="F85" s="35">
        <v>378</v>
      </c>
      <c r="G85" s="97">
        <v>374</v>
      </c>
      <c r="H85" s="35">
        <v>4</v>
      </c>
      <c r="I85" s="20">
        <v>1500</v>
      </c>
      <c r="J85" s="21">
        <f t="shared" si="8"/>
        <v>6000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>
        <v>44865</v>
      </c>
      <c r="D86" s="19" t="s">
        <v>18</v>
      </c>
      <c r="E86" s="19" t="s">
        <v>448</v>
      </c>
      <c r="F86" s="35">
        <v>2325</v>
      </c>
      <c r="G86" s="97">
        <v>2334</v>
      </c>
      <c r="H86" s="35">
        <f>2334-2325</f>
        <v>9</v>
      </c>
      <c r="I86" s="20">
        <v>250</v>
      </c>
      <c r="J86" s="21">
        <f t="shared" si="8"/>
        <v>2250</v>
      </c>
      <c r="K86" s="7"/>
      <c r="V86" s="5">
        <f t="shared" si="5"/>
        <v>1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/>
      <c r="D87" s="19"/>
      <c r="E87" s="19"/>
      <c r="F87" s="35"/>
      <c r="G87" s="97"/>
      <c r="H87" s="35"/>
      <c r="I87" s="20"/>
      <c r="J87" s="21">
        <f t="shared" si="8"/>
        <v>0</v>
      </c>
      <c r="K87" s="7"/>
      <c r="V87" s="5">
        <f t="shared" si="5"/>
        <v>0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/>
      <c r="D88" s="19"/>
      <c r="E88" s="19"/>
      <c r="F88" s="35"/>
      <c r="G88" s="97"/>
      <c r="H88" s="35"/>
      <c r="I88" s="20"/>
      <c r="J88" s="21">
        <f t="shared" si="8"/>
        <v>0</v>
      </c>
      <c r="K88" s="7"/>
      <c r="V88" s="5">
        <f t="shared" si="5"/>
        <v>0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/>
      <c r="D89" s="19"/>
      <c r="E89" s="19"/>
      <c r="F89" s="35"/>
      <c r="G89" s="97"/>
      <c r="H89" s="35"/>
      <c r="I89" s="20"/>
      <c r="J89" s="21">
        <f t="shared" si="8"/>
        <v>0</v>
      </c>
      <c r="K89" s="7"/>
      <c r="V89" s="5">
        <f t="shared" si="5"/>
        <v>0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/>
      <c r="D90" s="19"/>
      <c r="E90" s="19"/>
      <c r="F90" s="35"/>
      <c r="G90" s="97"/>
      <c r="H90" s="35"/>
      <c r="I90" s="20"/>
      <c r="J90" s="21">
        <f t="shared" si="8"/>
        <v>0</v>
      </c>
      <c r="K90" s="7"/>
      <c r="V90" s="5">
        <f t="shared" si="5"/>
        <v>0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/>
      <c r="D91" s="19"/>
      <c r="E91" s="19"/>
      <c r="F91" s="35"/>
      <c r="G91" s="97"/>
      <c r="H91" s="35"/>
      <c r="I91" s="20"/>
      <c r="J91" s="21">
        <f>I90*H90</f>
        <v>0</v>
      </c>
      <c r="K91" s="7"/>
      <c r="V91" s="5">
        <f t="shared" si="5"/>
        <v>0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/>
      <c r="D92" s="19"/>
      <c r="E92" s="19"/>
      <c r="F92" s="35"/>
      <c r="G92" s="97"/>
      <c r="H92" s="35"/>
      <c r="I92" s="20"/>
      <c r="J92" s="21">
        <f>I91*H91</f>
        <v>0</v>
      </c>
      <c r="K92" s="7"/>
      <c r="V92" s="5">
        <f t="shared" si="5"/>
        <v>0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/>
      <c r="D93" s="19"/>
      <c r="E93" s="19"/>
      <c r="F93" s="35"/>
      <c r="G93" s="97"/>
      <c r="H93" s="35"/>
      <c r="I93" s="20"/>
      <c r="J93" s="21">
        <f t="shared" si="8"/>
        <v>0</v>
      </c>
      <c r="K93" s="7"/>
      <c r="V93" s="5">
        <f t="shared" si="5"/>
        <v>0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/>
      <c r="D94" s="19"/>
      <c r="E94" s="19"/>
      <c r="F94" s="35"/>
      <c r="G94" s="97"/>
      <c r="H94" s="35"/>
      <c r="I94" s="20"/>
      <c r="J94" s="21">
        <f t="shared" si="8"/>
        <v>0</v>
      </c>
      <c r="K94" s="7"/>
      <c r="V94" s="5">
        <f t="shared" si="5"/>
        <v>0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/>
      <c r="D95" s="19"/>
      <c r="E95" s="19"/>
      <c r="F95" s="35"/>
      <c r="G95" s="97"/>
      <c r="H95" s="35"/>
      <c r="I95" s="20"/>
      <c r="J95" s="21">
        <f t="shared" si="8"/>
        <v>0</v>
      </c>
      <c r="K95" s="7"/>
      <c r="V95" s="5">
        <f t="shared" si="5"/>
        <v>0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/>
      <c r="D96" s="19"/>
      <c r="E96" s="19"/>
      <c r="F96" s="35"/>
      <c r="G96" s="97"/>
      <c r="H96" s="35"/>
      <c r="I96" s="20"/>
      <c r="J96" s="21">
        <f t="shared" si="8"/>
        <v>0</v>
      </c>
      <c r="K96" s="7"/>
      <c r="V96" s="5">
        <f t="shared" si="5"/>
        <v>0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/>
      <c r="D97" s="19"/>
      <c r="E97" s="19"/>
      <c r="F97" s="35"/>
      <c r="G97" s="97"/>
      <c r="H97" s="35"/>
      <c r="I97" s="20"/>
      <c r="J97" s="21">
        <f t="shared" si="8"/>
        <v>0</v>
      </c>
      <c r="K97" s="7"/>
      <c r="V97" s="5">
        <f t="shared" si="5"/>
        <v>0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/>
      <c r="D98" s="19"/>
      <c r="E98" s="19"/>
      <c r="F98" s="35"/>
      <c r="G98" s="97"/>
      <c r="H98" s="35"/>
      <c r="I98" s="20"/>
      <c r="J98" s="21">
        <f t="shared" si="8"/>
        <v>0</v>
      </c>
      <c r="K98" s="7"/>
      <c r="V98" s="5">
        <f t="shared" si="5"/>
        <v>0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/>
      <c r="D99" s="19"/>
      <c r="E99" s="19"/>
      <c r="F99" s="35"/>
      <c r="G99" s="97"/>
      <c r="H99" s="35"/>
      <c r="I99" s="20"/>
      <c r="J99" s="21">
        <f t="shared" si="8"/>
        <v>0</v>
      </c>
      <c r="K99" s="7"/>
      <c r="V99" s="5">
        <f t="shared" si="5"/>
        <v>0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ht="15" thickBot="1" x14ac:dyDescent="0.35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ht="15" hidden="1" thickBot="1" x14ac:dyDescent="0.35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t="15" hidden="1" thickBot="1" x14ac:dyDescent="0.35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t="15" hidden="1" thickBot="1" x14ac:dyDescent="0.35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t="15" hidden="1" thickBot="1" x14ac:dyDescent="0.35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t="15" hidden="1" thickBot="1" x14ac:dyDescent="0.35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t="15" hidden="1" thickBot="1" x14ac:dyDescent="0.35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t="15" hidden="1" thickBot="1" x14ac:dyDescent="0.35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t="15" hidden="1" thickBot="1" x14ac:dyDescent="0.35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t="15" hidden="1" thickBot="1" x14ac:dyDescent="0.35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t="15" hidden="1" thickBot="1" x14ac:dyDescent="0.35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hidden="1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15" hidden="1" thickBot="1" x14ac:dyDescent="0.35">
      <c r="A121" s="6"/>
      <c r="B121" s="17">
        <f t="shared" si="7"/>
        <v>51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52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15" hidden="1" thickBot="1" x14ac:dyDescent="0.35">
      <c r="A123" s="6"/>
      <c r="B123" s="17">
        <f t="shared" si="7"/>
        <v>53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hidden="1" thickBot="1" x14ac:dyDescent="0.35">
      <c r="A124" s="6"/>
      <c r="B124" s="17">
        <f t="shared" si="7"/>
        <v>54</v>
      </c>
      <c r="C124" s="18"/>
      <c r="D124" s="19"/>
      <c r="E124" s="19"/>
      <c r="F124" s="35"/>
      <c r="G124" s="35"/>
      <c r="H124" s="35"/>
      <c r="I124" s="20"/>
      <c r="J124" s="21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15" hidden="1" thickBot="1" x14ac:dyDescent="0.35">
      <c r="A125" s="6"/>
      <c r="B125" s="17">
        <f t="shared" si="7"/>
        <v>55</v>
      </c>
      <c r="C125" s="18"/>
      <c r="D125" s="19"/>
      <c r="E125" s="19"/>
      <c r="F125" s="35"/>
      <c r="G125" s="35"/>
      <c r="H125" s="35"/>
      <c r="I125" s="20"/>
      <c r="J125" s="21">
        <f t="shared" si="8"/>
        <v>0</v>
      </c>
      <c r="K125" s="7"/>
      <c r="V125" s="5">
        <f t="shared" si="5"/>
        <v>0</v>
      </c>
      <c r="W125" s="5">
        <f t="shared" si="6"/>
        <v>0</v>
      </c>
    </row>
    <row r="126" spans="1:23" s="36" customFormat="1" ht="15" hidden="1" thickBot="1" x14ac:dyDescent="0.35">
      <c r="A126" s="6"/>
      <c r="B126" s="17">
        <f t="shared" si="7"/>
        <v>56</v>
      </c>
      <c r="C126" s="18"/>
      <c r="D126" s="19"/>
      <c r="E126" s="19"/>
      <c r="F126" s="35"/>
      <c r="G126" s="35"/>
      <c r="H126" s="35"/>
      <c r="I126" s="20"/>
      <c r="J126" s="21">
        <f t="shared" si="8"/>
        <v>0</v>
      </c>
      <c r="K126" s="7"/>
      <c r="V126" s="5">
        <f t="shared" si="5"/>
        <v>0</v>
      </c>
      <c r="W126" s="5">
        <f t="shared" si="6"/>
        <v>0</v>
      </c>
    </row>
    <row r="127" spans="1:23" s="36" customFormat="1" ht="15" hidden="1" thickBot="1" x14ac:dyDescent="0.35">
      <c r="A127" s="6"/>
      <c r="B127" s="17">
        <f t="shared" si="7"/>
        <v>57</v>
      </c>
      <c r="C127" s="18"/>
      <c r="D127" s="19"/>
      <c r="E127" s="19"/>
      <c r="F127" s="35"/>
      <c r="G127" s="35"/>
      <c r="H127" s="35"/>
      <c r="I127" s="20"/>
      <c r="J127" s="21">
        <f t="shared" si="8"/>
        <v>0</v>
      </c>
      <c r="K127" s="7"/>
      <c r="V127" s="5">
        <f t="shared" si="5"/>
        <v>0</v>
      </c>
      <c r="W127" s="5">
        <f t="shared" si="6"/>
        <v>0</v>
      </c>
    </row>
    <row r="128" spans="1:23" s="36" customFormat="1" ht="15" hidden="1" thickBot="1" x14ac:dyDescent="0.35">
      <c r="A128" s="6"/>
      <c r="B128" s="17">
        <f t="shared" si="7"/>
        <v>58</v>
      </c>
      <c r="C128" s="79"/>
      <c r="D128" s="80"/>
      <c r="E128" s="80"/>
      <c r="F128" s="81"/>
      <c r="G128" s="81"/>
      <c r="H128" s="80"/>
      <c r="I128" s="81"/>
      <c r="J128" s="82">
        <f t="shared" si="8"/>
        <v>0</v>
      </c>
      <c r="K128" s="7"/>
      <c r="V128" s="5">
        <f t="shared" si="5"/>
        <v>0</v>
      </c>
      <c r="W128" s="5">
        <f t="shared" si="6"/>
        <v>0</v>
      </c>
    </row>
    <row r="129" spans="1:23" s="36" customFormat="1" ht="24" thickBot="1" x14ac:dyDescent="0.5">
      <c r="A129" s="6"/>
      <c r="B129" s="144" t="s">
        <v>22</v>
      </c>
      <c r="C129" s="145"/>
      <c r="D129" s="145"/>
      <c r="E129" s="145"/>
      <c r="F129" s="145"/>
      <c r="G129" s="145"/>
      <c r="H129" s="146"/>
      <c r="I129" s="83" t="s">
        <v>23</v>
      </c>
      <c r="J129" s="84">
        <f>SUM(J67:J128)</f>
        <v>126192.50000000009</v>
      </c>
      <c r="K129" s="7"/>
      <c r="L129" s="5"/>
      <c r="M129" s="5"/>
      <c r="N129" s="5"/>
      <c r="O129" s="5"/>
      <c r="P129" s="5"/>
      <c r="Q129" s="5"/>
      <c r="R129" s="5"/>
      <c r="V129" s="36">
        <f>SUM(V67:V128)</f>
        <v>18</v>
      </c>
      <c r="W129" s="36">
        <f>SUM(W67:W128)</f>
        <v>2</v>
      </c>
    </row>
    <row r="130" spans="1:23" s="36" customFormat="1" ht="30" customHeight="1" thickBot="1" x14ac:dyDescent="0.35">
      <c r="A130" s="30"/>
      <c r="B130" s="31"/>
      <c r="C130" s="31"/>
      <c r="D130" s="31"/>
      <c r="E130" s="31"/>
      <c r="F130" s="31"/>
      <c r="G130" s="31"/>
      <c r="H130" s="32"/>
      <c r="I130" s="31"/>
      <c r="J130" s="32"/>
      <c r="K130" s="33"/>
      <c r="L130" s="5"/>
      <c r="M130" s="5"/>
      <c r="N130" s="5"/>
      <c r="O130" s="5"/>
      <c r="P130" s="5"/>
      <c r="Q130" s="5"/>
      <c r="R130" s="5"/>
    </row>
    <row r="131" spans="1:23" ht="15" thickBot="1" x14ac:dyDescent="0.35"/>
    <row r="132" spans="1:23" s="36" customFormat="1" ht="30" customHeight="1" thickBot="1" x14ac:dyDescent="0.35">
      <c r="A132" s="1"/>
      <c r="B132" s="2"/>
      <c r="C132" s="2"/>
      <c r="D132" s="2"/>
      <c r="E132" s="2"/>
      <c r="F132" s="2"/>
      <c r="G132" s="2"/>
      <c r="H132" s="3"/>
      <c r="I132" s="2"/>
      <c r="J132" s="3"/>
      <c r="K132" s="4"/>
    </row>
    <row r="133" spans="1:23" s="36" customFormat="1" ht="25.2" thickBot="1" x14ac:dyDescent="0.35">
      <c r="A133" s="6" t="s">
        <v>1</v>
      </c>
      <c r="B133" s="119" t="s">
        <v>2</v>
      </c>
      <c r="C133" s="120"/>
      <c r="D133" s="120"/>
      <c r="E133" s="120"/>
      <c r="F133" s="120"/>
      <c r="G133" s="120"/>
      <c r="H133" s="120"/>
      <c r="I133" s="120"/>
      <c r="J133" s="121"/>
      <c r="K133" s="7"/>
    </row>
    <row r="134" spans="1:23" s="36" customFormat="1" ht="16.2" thickBot="1" x14ac:dyDescent="0.35">
      <c r="A134" s="6"/>
      <c r="B134" s="216">
        <v>44835</v>
      </c>
      <c r="C134" s="169"/>
      <c r="D134" s="169"/>
      <c r="E134" s="169"/>
      <c r="F134" s="169"/>
      <c r="G134" s="169"/>
      <c r="H134" s="169"/>
      <c r="I134" s="169"/>
      <c r="J134" s="170"/>
      <c r="K134" s="7"/>
      <c r="L134" s="22"/>
    </row>
    <row r="135" spans="1:23" s="36" customFormat="1" ht="16.2" thickBot="1" x14ac:dyDescent="0.35">
      <c r="A135" s="6"/>
      <c r="B135" s="106" t="s">
        <v>699</v>
      </c>
      <c r="C135" s="107"/>
      <c r="D135" s="107"/>
      <c r="E135" s="107"/>
      <c r="F135" s="107"/>
      <c r="G135" s="107"/>
      <c r="H135" s="107"/>
      <c r="I135" s="107"/>
      <c r="J135" s="108"/>
      <c r="K135" s="7"/>
    </row>
    <row r="136" spans="1:23" s="22" customFormat="1" ht="15" thickBot="1" x14ac:dyDescent="0.35">
      <c r="A136" s="69"/>
      <c r="B136" s="70" t="s">
        <v>9</v>
      </c>
      <c r="C136" s="71" t="s">
        <v>10</v>
      </c>
      <c r="D136" s="72" t="s">
        <v>11</v>
      </c>
      <c r="E136" s="72" t="s">
        <v>12</v>
      </c>
      <c r="F136" s="73" t="s">
        <v>65</v>
      </c>
      <c r="G136" s="73" t="s">
        <v>66</v>
      </c>
      <c r="H136" s="74" t="s">
        <v>67</v>
      </c>
      <c r="I136" s="73" t="s">
        <v>68</v>
      </c>
      <c r="J136" s="75" t="s">
        <v>17</v>
      </c>
      <c r="K136" s="76"/>
      <c r="L136" s="36"/>
      <c r="M136" s="36"/>
      <c r="N136" s="36"/>
      <c r="O136" s="36" t="s">
        <v>21</v>
      </c>
      <c r="P136" s="36"/>
      <c r="Q136" s="36"/>
      <c r="R136" s="36"/>
      <c r="V136" s="5" t="s">
        <v>5</v>
      </c>
      <c r="W136" s="5" t="s">
        <v>6</v>
      </c>
    </row>
    <row r="137" spans="1:23" s="36" customFormat="1" x14ac:dyDescent="0.3">
      <c r="A137" s="6"/>
      <c r="B137" s="14">
        <v>1</v>
      </c>
      <c r="C137" s="93">
        <v>44837</v>
      </c>
      <c r="D137" s="94" t="s">
        <v>18</v>
      </c>
      <c r="E137" s="94" t="s">
        <v>587</v>
      </c>
      <c r="F137" s="60">
        <v>105</v>
      </c>
      <c r="G137" s="60">
        <v>140</v>
      </c>
      <c r="H137" s="60">
        <f>140-105</f>
        <v>35</v>
      </c>
      <c r="I137" s="15">
        <v>300</v>
      </c>
      <c r="J137" s="16">
        <f t="shared" ref="J137:J182" si="9">I137*H137</f>
        <v>10500</v>
      </c>
      <c r="K137" s="7"/>
      <c r="V137" s="5">
        <f t="shared" ref="V137:V182" si="10">IF($J137&gt;0,1,0)</f>
        <v>1</v>
      </c>
      <c r="W137" s="5">
        <f t="shared" ref="W137:W182" si="11">IF($J137&lt;0,1,0)</f>
        <v>0</v>
      </c>
    </row>
    <row r="138" spans="1:23" s="36" customFormat="1" x14ac:dyDescent="0.3">
      <c r="A138" s="6"/>
      <c r="B138" s="17">
        <f>B137+1</f>
        <v>2</v>
      </c>
      <c r="C138" s="18">
        <v>44838</v>
      </c>
      <c r="D138" s="19" t="s">
        <v>18</v>
      </c>
      <c r="E138" s="19" t="s">
        <v>586</v>
      </c>
      <c r="F138" s="35">
        <v>115</v>
      </c>
      <c r="G138" s="35">
        <v>124</v>
      </c>
      <c r="H138" s="35">
        <f>124-115</f>
        <v>9</v>
      </c>
      <c r="I138" s="20">
        <v>300</v>
      </c>
      <c r="J138" s="21">
        <f t="shared" si="9"/>
        <v>2700</v>
      </c>
      <c r="K138" s="7"/>
      <c r="L138" s="36" t="s">
        <v>21</v>
      </c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ref="B139:B159" si="12">B138+1</f>
        <v>3</v>
      </c>
      <c r="C139" s="18">
        <v>44840</v>
      </c>
      <c r="D139" s="19" t="s">
        <v>18</v>
      </c>
      <c r="E139" s="19" t="s">
        <v>578</v>
      </c>
      <c r="F139" s="35">
        <v>110</v>
      </c>
      <c r="G139" s="35">
        <v>121</v>
      </c>
      <c r="H139" s="35">
        <f>121-110</f>
        <v>11</v>
      </c>
      <c r="I139" s="20">
        <v>300</v>
      </c>
      <c r="J139" s="21">
        <f t="shared" si="9"/>
        <v>3300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4</v>
      </c>
      <c r="C140" s="18">
        <v>44840</v>
      </c>
      <c r="D140" s="19" t="s">
        <v>18</v>
      </c>
      <c r="E140" s="19" t="s">
        <v>475</v>
      </c>
      <c r="F140" s="35">
        <v>75</v>
      </c>
      <c r="G140" s="35">
        <v>55</v>
      </c>
      <c r="H140" s="35">
        <v>-15</v>
      </c>
      <c r="I140" s="20">
        <v>300</v>
      </c>
      <c r="J140" s="21">
        <f t="shared" si="9"/>
        <v>-4500</v>
      </c>
      <c r="K140" s="7"/>
      <c r="V140" s="5">
        <f t="shared" si="10"/>
        <v>0</v>
      </c>
      <c r="W140" s="5">
        <f t="shared" si="11"/>
        <v>1</v>
      </c>
    </row>
    <row r="141" spans="1:23" s="36" customFormat="1" x14ac:dyDescent="0.3">
      <c r="A141" s="6"/>
      <c r="B141" s="17">
        <f t="shared" si="12"/>
        <v>5</v>
      </c>
      <c r="C141" s="18">
        <v>44841</v>
      </c>
      <c r="D141" s="19" t="s">
        <v>18</v>
      </c>
      <c r="E141" s="19" t="s">
        <v>589</v>
      </c>
      <c r="F141" s="35">
        <v>115</v>
      </c>
      <c r="G141" s="35">
        <v>143</v>
      </c>
      <c r="H141" s="35">
        <f>143-115</f>
        <v>28</v>
      </c>
      <c r="I141" s="20">
        <v>300</v>
      </c>
      <c r="J141" s="21">
        <f t="shared" si="9"/>
        <v>8400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6</v>
      </c>
      <c r="C142" s="18">
        <v>44841</v>
      </c>
      <c r="D142" s="19" t="s">
        <v>18</v>
      </c>
      <c r="E142" s="19" t="s">
        <v>589</v>
      </c>
      <c r="F142" s="20">
        <v>120</v>
      </c>
      <c r="G142" s="35">
        <v>100</v>
      </c>
      <c r="H142" s="35">
        <v>-20</v>
      </c>
      <c r="I142" s="20">
        <v>300</v>
      </c>
      <c r="J142" s="21">
        <f t="shared" si="9"/>
        <v>-6000</v>
      </c>
      <c r="K142" s="7"/>
      <c r="V142" s="5">
        <f t="shared" si="10"/>
        <v>0</v>
      </c>
      <c r="W142" s="5">
        <f t="shared" si="11"/>
        <v>1</v>
      </c>
    </row>
    <row r="143" spans="1:23" s="36" customFormat="1" x14ac:dyDescent="0.3">
      <c r="A143" s="6"/>
      <c r="B143" s="17">
        <f t="shared" si="12"/>
        <v>7</v>
      </c>
      <c r="C143" s="18">
        <v>44844</v>
      </c>
      <c r="D143" s="19" t="s">
        <v>18</v>
      </c>
      <c r="E143" s="19" t="s">
        <v>577</v>
      </c>
      <c r="F143" s="35">
        <v>110</v>
      </c>
      <c r="G143" s="35">
        <v>145</v>
      </c>
      <c r="H143" s="35">
        <f>145-110</f>
        <v>35</v>
      </c>
      <c r="I143" s="20">
        <v>300</v>
      </c>
      <c r="J143" s="21">
        <f t="shared" si="9"/>
        <v>10500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8</v>
      </c>
      <c r="C144" s="18">
        <v>44844</v>
      </c>
      <c r="D144" s="19" t="s">
        <v>18</v>
      </c>
      <c r="E144" s="19" t="s">
        <v>468</v>
      </c>
      <c r="F144" s="35">
        <v>125</v>
      </c>
      <c r="G144" s="35">
        <v>135</v>
      </c>
      <c r="H144" s="35">
        <v>10</v>
      </c>
      <c r="I144" s="20">
        <v>300</v>
      </c>
      <c r="J144" s="21">
        <f t="shared" si="9"/>
        <v>3000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9</v>
      </c>
      <c r="C145" s="18">
        <v>44845</v>
      </c>
      <c r="D145" s="19" t="s">
        <v>18</v>
      </c>
      <c r="E145" s="19" t="s">
        <v>589</v>
      </c>
      <c r="F145" s="35">
        <v>120</v>
      </c>
      <c r="G145" s="35">
        <v>155</v>
      </c>
      <c r="H145" s="35">
        <f>155-120</f>
        <v>35</v>
      </c>
      <c r="I145" s="20">
        <v>300</v>
      </c>
      <c r="J145" s="21">
        <f t="shared" si="9"/>
        <v>10500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10</v>
      </c>
      <c r="C146" s="18">
        <v>44845</v>
      </c>
      <c r="D146" s="19" t="s">
        <v>18</v>
      </c>
      <c r="E146" s="19" t="s">
        <v>466</v>
      </c>
      <c r="F146" s="35">
        <v>110</v>
      </c>
      <c r="G146" s="35">
        <v>145</v>
      </c>
      <c r="H146" s="35">
        <f>145-110</f>
        <v>35</v>
      </c>
      <c r="I146" s="20">
        <v>300</v>
      </c>
      <c r="J146" s="21">
        <f t="shared" si="9"/>
        <v>10500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11</v>
      </c>
      <c r="C147" s="18">
        <v>44846</v>
      </c>
      <c r="D147" s="19" t="s">
        <v>18</v>
      </c>
      <c r="E147" s="19" t="s">
        <v>595</v>
      </c>
      <c r="F147" s="19">
        <v>115</v>
      </c>
      <c r="G147" s="35">
        <v>134</v>
      </c>
      <c r="H147" s="35">
        <f>134-115</f>
        <v>19</v>
      </c>
      <c r="I147" s="20">
        <v>300</v>
      </c>
      <c r="J147" s="21">
        <f t="shared" si="9"/>
        <v>5700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12</v>
      </c>
      <c r="C148" s="18">
        <v>44846</v>
      </c>
      <c r="D148" s="19" t="s">
        <v>18</v>
      </c>
      <c r="E148" s="19" t="s">
        <v>595</v>
      </c>
      <c r="F148" s="35">
        <v>110</v>
      </c>
      <c r="G148" s="35">
        <v>90</v>
      </c>
      <c r="H148" s="35">
        <v>-15</v>
      </c>
      <c r="I148" s="20">
        <v>300</v>
      </c>
      <c r="J148" s="21">
        <f t="shared" si="9"/>
        <v>-4500</v>
      </c>
      <c r="K148" s="7"/>
      <c r="V148" s="5">
        <f t="shared" si="10"/>
        <v>0</v>
      </c>
      <c r="W148" s="5">
        <f t="shared" si="11"/>
        <v>1</v>
      </c>
    </row>
    <row r="149" spans="1:23" s="36" customFormat="1" x14ac:dyDescent="0.3">
      <c r="A149" s="6"/>
      <c r="B149" s="17">
        <f t="shared" si="12"/>
        <v>13</v>
      </c>
      <c r="C149" s="18">
        <v>44847</v>
      </c>
      <c r="D149" s="19" t="s">
        <v>18</v>
      </c>
      <c r="E149" s="19" t="s">
        <v>595</v>
      </c>
      <c r="F149" s="35">
        <v>110</v>
      </c>
      <c r="G149" s="35">
        <v>119</v>
      </c>
      <c r="H149" s="35">
        <v>9</v>
      </c>
      <c r="I149" s="20">
        <v>300</v>
      </c>
      <c r="J149" s="21">
        <f t="shared" si="9"/>
        <v>2700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14</v>
      </c>
      <c r="C150" s="18">
        <v>44847</v>
      </c>
      <c r="D150" s="19" t="s">
        <v>18</v>
      </c>
      <c r="E150" s="19" t="s">
        <v>590</v>
      </c>
      <c r="F150" s="77">
        <v>75</v>
      </c>
      <c r="G150" s="35">
        <v>103</v>
      </c>
      <c r="H150" s="78">
        <f>103-75</f>
        <v>28</v>
      </c>
      <c r="I150" s="20">
        <v>300</v>
      </c>
      <c r="J150" s="21">
        <f t="shared" si="9"/>
        <v>8400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15</v>
      </c>
      <c r="C151" s="18">
        <v>44848</v>
      </c>
      <c r="D151" s="19" t="s">
        <v>18</v>
      </c>
      <c r="E151" s="19" t="s">
        <v>589</v>
      </c>
      <c r="F151" s="35">
        <v>110</v>
      </c>
      <c r="G151" s="35">
        <v>116</v>
      </c>
      <c r="H151" s="78">
        <v>6</v>
      </c>
      <c r="I151" s="20">
        <v>300</v>
      </c>
      <c r="J151" s="21">
        <f t="shared" si="9"/>
        <v>1800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16</v>
      </c>
      <c r="C152" s="18">
        <v>44848</v>
      </c>
      <c r="D152" s="19" t="s">
        <v>18</v>
      </c>
      <c r="E152" s="19" t="s">
        <v>589</v>
      </c>
      <c r="F152" s="35">
        <v>105</v>
      </c>
      <c r="G152" s="35">
        <v>140</v>
      </c>
      <c r="H152" s="78">
        <f>140-105</f>
        <v>35</v>
      </c>
      <c r="I152" s="20">
        <v>300</v>
      </c>
      <c r="J152" s="21">
        <f t="shared" si="9"/>
        <v>10500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17</v>
      </c>
      <c r="C153" s="18">
        <v>44851</v>
      </c>
      <c r="D153" s="19" t="s">
        <v>18</v>
      </c>
      <c r="E153" s="19" t="s">
        <v>467</v>
      </c>
      <c r="F153" s="35">
        <v>120</v>
      </c>
      <c r="G153" s="35">
        <v>155</v>
      </c>
      <c r="H153" s="78">
        <f>155-120</f>
        <v>35</v>
      </c>
      <c r="I153" s="20">
        <v>300</v>
      </c>
      <c r="J153" s="21">
        <f t="shared" si="9"/>
        <v>10500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2"/>
        <v>18</v>
      </c>
      <c r="C154" s="18">
        <v>44851</v>
      </c>
      <c r="D154" s="19" t="s">
        <v>18</v>
      </c>
      <c r="E154" s="19" t="s">
        <v>577</v>
      </c>
      <c r="F154" s="35">
        <v>120</v>
      </c>
      <c r="G154" s="35">
        <v>155</v>
      </c>
      <c r="H154" s="78">
        <v>35</v>
      </c>
      <c r="I154" s="20">
        <v>300</v>
      </c>
      <c r="J154" s="21">
        <f t="shared" si="9"/>
        <v>10500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2"/>
        <v>19</v>
      </c>
      <c r="C155" s="18">
        <v>44852</v>
      </c>
      <c r="D155" s="19" t="s">
        <v>18</v>
      </c>
      <c r="E155" s="19" t="s">
        <v>476</v>
      </c>
      <c r="F155" s="35">
        <v>90</v>
      </c>
      <c r="G155" s="35">
        <v>96</v>
      </c>
      <c r="H155" s="78">
        <v>6</v>
      </c>
      <c r="I155" s="20">
        <v>300</v>
      </c>
      <c r="J155" s="21">
        <f t="shared" si="9"/>
        <v>1800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2"/>
        <v>20</v>
      </c>
      <c r="C156" s="18">
        <v>44852</v>
      </c>
      <c r="D156" s="19" t="s">
        <v>18</v>
      </c>
      <c r="E156" s="19" t="s">
        <v>476</v>
      </c>
      <c r="F156" s="35">
        <v>100</v>
      </c>
      <c r="G156" s="35">
        <v>115</v>
      </c>
      <c r="H156" s="35">
        <v>15</v>
      </c>
      <c r="I156" s="20">
        <v>300</v>
      </c>
      <c r="J156" s="21">
        <f t="shared" si="9"/>
        <v>4500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2"/>
        <v>21</v>
      </c>
      <c r="C157" s="18">
        <v>44853</v>
      </c>
      <c r="D157" s="19" t="s">
        <v>18</v>
      </c>
      <c r="E157" s="19" t="s">
        <v>476</v>
      </c>
      <c r="F157" s="35">
        <v>100</v>
      </c>
      <c r="G157" s="35">
        <v>135</v>
      </c>
      <c r="H157" s="35">
        <v>35</v>
      </c>
      <c r="I157" s="20">
        <v>300</v>
      </c>
      <c r="J157" s="21">
        <f t="shared" si="9"/>
        <v>10500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2"/>
        <v>22</v>
      </c>
      <c r="C158" s="18">
        <v>44853</v>
      </c>
      <c r="D158" s="19" t="s">
        <v>18</v>
      </c>
      <c r="E158" s="19" t="s">
        <v>476</v>
      </c>
      <c r="F158" s="35">
        <v>120</v>
      </c>
      <c r="G158" s="35">
        <v>100</v>
      </c>
      <c r="H158" s="35">
        <v>-20</v>
      </c>
      <c r="I158" s="20">
        <v>300</v>
      </c>
      <c r="J158" s="21">
        <f t="shared" si="9"/>
        <v>-6000</v>
      </c>
      <c r="K158" s="7"/>
      <c r="V158" s="5">
        <f t="shared" si="10"/>
        <v>0</v>
      </c>
      <c r="W158" s="5">
        <f t="shared" si="11"/>
        <v>1</v>
      </c>
    </row>
    <row r="159" spans="1:23" s="36" customFormat="1" x14ac:dyDescent="0.3">
      <c r="A159" s="6"/>
      <c r="B159" s="17">
        <f t="shared" si="12"/>
        <v>23</v>
      </c>
      <c r="C159" s="18">
        <v>44854</v>
      </c>
      <c r="D159" s="19" t="s">
        <v>18</v>
      </c>
      <c r="E159" s="19" t="s">
        <v>474</v>
      </c>
      <c r="F159" s="35">
        <v>70</v>
      </c>
      <c r="G159" s="35">
        <v>105</v>
      </c>
      <c r="H159" s="35">
        <f>105-70</f>
        <v>35</v>
      </c>
      <c r="I159" s="20">
        <v>300</v>
      </c>
      <c r="J159" s="21">
        <f t="shared" si="9"/>
        <v>10500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>B159+1</f>
        <v>24</v>
      </c>
      <c r="C160" s="18">
        <v>44854</v>
      </c>
      <c r="D160" s="19" t="s">
        <v>18</v>
      </c>
      <c r="E160" s="19" t="s">
        <v>474</v>
      </c>
      <c r="F160" s="35">
        <v>95</v>
      </c>
      <c r="G160" s="35">
        <v>110</v>
      </c>
      <c r="H160" s="35">
        <f>110-95</f>
        <v>15</v>
      </c>
      <c r="I160" s="20">
        <v>300</v>
      </c>
      <c r="J160" s="21">
        <f t="shared" si="9"/>
        <v>4500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ref="B161:B182" si="13">B160+1</f>
        <v>25</v>
      </c>
      <c r="C161" s="18">
        <v>44855</v>
      </c>
      <c r="D161" s="19" t="s">
        <v>18</v>
      </c>
      <c r="E161" s="19" t="s">
        <v>481</v>
      </c>
      <c r="F161" s="35">
        <v>110</v>
      </c>
      <c r="G161" s="35">
        <v>113</v>
      </c>
      <c r="H161" s="35">
        <v>3</v>
      </c>
      <c r="I161" s="20">
        <v>300</v>
      </c>
      <c r="J161" s="21">
        <f t="shared" si="9"/>
        <v>900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26</v>
      </c>
      <c r="C162" s="18">
        <v>44855</v>
      </c>
      <c r="D162" s="19" t="s">
        <v>18</v>
      </c>
      <c r="E162" s="19" t="s">
        <v>481</v>
      </c>
      <c r="F162" s="35">
        <v>105</v>
      </c>
      <c r="G162" s="35">
        <v>120</v>
      </c>
      <c r="H162" s="35">
        <v>15</v>
      </c>
      <c r="I162" s="20">
        <v>300</v>
      </c>
      <c r="J162" s="21">
        <f t="shared" si="9"/>
        <v>4500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27</v>
      </c>
      <c r="C163" s="18">
        <v>44865</v>
      </c>
      <c r="D163" s="19" t="s">
        <v>18</v>
      </c>
      <c r="E163" s="19" t="s">
        <v>484</v>
      </c>
      <c r="F163" s="35">
        <v>115</v>
      </c>
      <c r="G163" s="35">
        <v>138</v>
      </c>
      <c r="H163" s="35">
        <f>138-115</f>
        <v>23</v>
      </c>
      <c r="I163" s="20">
        <v>300</v>
      </c>
      <c r="J163" s="21">
        <f t="shared" si="9"/>
        <v>6900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28</v>
      </c>
      <c r="C164" s="18">
        <v>44865</v>
      </c>
      <c r="D164" s="19" t="s">
        <v>18</v>
      </c>
      <c r="E164" s="19" t="s">
        <v>484</v>
      </c>
      <c r="F164" s="35">
        <v>110</v>
      </c>
      <c r="G164" s="35">
        <v>145</v>
      </c>
      <c r="H164" s="35">
        <f>145-110</f>
        <v>35</v>
      </c>
      <c r="I164" s="20">
        <v>300</v>
      </c>
      <c r="J164" s="21">
        <f t="shared" si="9"/>
        <v>10500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3"/>
        <v>29</v>
      </c>
      <c r="C165" s="18"/>
      <c r="D165" s="19"/>
      <c r="E165" s="19"/>
      <c r="F165" s="35"/>
      <c r="G165" s="35"/>
      <c r="H165" s="35"/>
      <c r="I165" s="20"/>
      <c r="J165" s="21">
        <f t="shared" si="9"/>
        <v>0</v>
      </c>
      <c r="K165" s="7"/>
      <c r="V165" s="5">
        <f t="shared" si="10"/>
        <v>0</v>
      </c>
      <c r="W165" s="5">
        <f t="shared" si="11"/>
        <v>0</v>
      </c>
    </row>
    <row r="166" spans="1:23" s="36" customFormat="1" x14ac:dyDescent="0.3">
      <c r="A166" s="6"/>
      <c r="B166" s="17">
        <f t="shared" si="13"/>
        <v>30</v>
      </c>
      <c r="C166" s="18"/>
      <c r="D166" s="19"/>
      <c r="E166" s="19"/>
      <c r="F166" s="35"/>
      <c r="G166" s="35"/>
      <c r="H166" s="35"/>
      <c r="I166" s="20"/>
      <c r="J166" s="21">
        <f t="shared" si="9"/>
        <v>0</v>
      </c>
      <c r="K166" s="7"/>
      <c r="V166" s="5">
        <f t="shared" si="10"/>
        <v>0</v>
      </c>
      <c r="W166" s="5">
        <f t="shared" si="11"/>
        <v>0</v>
      </c>
    </row>
    <row r="167" spans="1:23" s="36" customFormat="1" x14ac:dyDescent="0.3">
      <c r="A167" s="6"/>
      <c r="B167" s="17">
        <f t="shared" si="13"/>
        <v>31</v>
      </c>
      <c r="C167" s="18"/>
      <c r="D167" s="19"/>
      <c r="E167" s="19"/>
      <c r="F167" s="35"/>
      <c r="G167" s="35"/>
      <c r="H167" s="35"/>
      <c r="I167" s="20"/>
      <c r="J167" s="21">
        <f t="shared" si="9"/>
        <v>0</v>
      </c>
      <c r="K167" s="7"/>
      <c r="V167" s="5">
        <f t="shared" si="10"/>
        <v>0</v>
      </c>
      <c r="W167" s="5">
        <f t="shared" si="11"/>
        <v>0</v>
      </c>
    </row>
    <row r="168" spans="1:23" s="36" customFormat="1" x14ac:dyDescent="0.3">
      <c r="A168" s="6"/>
      <c r="B168" s="17">
        <f t="shared" si="13"/>
        <v>32</v>
      </c>
      <c r="C168" s="18"/>
      <c r="D168" s="19"/>
      <c r="E168" s="19"/>
      <c r="F168" s="35"/>
      <c r="G168" s="35"/>
      <c r="H168" s="35"/>
      <c r="I168" s="20"/>
      <c r="J168" s="21">
        <f t="shared" si="9"/>
        <v>0</v>
      </c>
      <c r="K168" s="7"/>
      <c r="V168" s="5">
        <f t="shared" si="10"/>
        <v>0</v>
      </c>
      <c r="W168" s="5">
        <f t="shared" si="11"/>
        <v>0</v>
      </c>
    </row>
    <row r="169" spans="1:23" s="36" customFormat="1" x14ac:dyDescent="0.3">
      <c r="A169" s="6"/>
      <c r="B169" s="17">
        <f t="shared" si="13"/>
        <v>33</v>
      </c>
      <c r="C169" s="18"/>
      <c r="D169" s="19"/>
      <c r="E169" s="19"/>
      <c r="F169" s="35"/>
      <c r="G169" s="35"/>
      <c r="H169" s="35"/>
      <c r="I169" s="20"/>
      <c r="J169" s="21">
        <f t="shared" si="9"/>
        <v>0</v>
      </c>
      <c r="K169" s="7"/>
      <c r="V169" s="5">
        <f t="shared" si="10"/>
        <v>0</v>
      </c>
      <c r="W169" s="5">
        <f t="shared" si="11"/>
        <v>0</v>
      </c>
    </row>
    <row r="170" spans="1:23" s="36" customFormat="1" x14ac:dyDescent="0.3">
      <c r="A170" s="6"/>
      <c r="B170" s="17">
        <f t="shared" si="13"/>
        <v>34</v>
      </c>
      <c r="C170" s="18"/>
      <c r="D170" s="19"/>
      <c r="E170" s="19"/>
      <c r="F170" s="35"/>
      <c r="G170" s="35"/>
      <c r="H170" s="35"/>
      <c r="I170" s="20"/>
      <c r="J170" s="21">
        <f t="shared" si="9"/>
        <v>0</v>
      </c>
      <c r="K170" s="7"/>
      <c r="V170" s="5">
        <f t="shared" si="10"/>
        <v>0</v>
      </c>
      <c r="W170" s="5">
        <f t="shared" si="11"/>
        <v>0</v>
      </c>
    </row>
    <row r="171" spans="1:23" s="36" customFormat="1" x14ac:dyDescent="0.3">
      <c r="A171" s="6"/>
      <c r="B171" s="17">
        <f t="shared" si="13"/>
        <v>35</v>
      </c>
      <c r="C171" s="18"/>
      <c r="D171" s="19"/>
      <c r="E171" s="19"/>
      <c r="F171" s="35"/>
      <c r="G171" s="35"/>
      <c r="H171" s="35"/>
      <c r="I171" s="20"/>
      <c r="J171" s="21">
        <f t="shared" si="9"/>
        <v>0</v>
      </c>
      <c r="K171" s="7"/>
      <c r="V171" s="5">
        <f t="shared" si="10"/>
        <v>0</v>
      </c>
      <c r="W171" s="5">
        <f t="shared" si="11"/>
        <v>0</v>
      </c>
    </row>
    <row r="172" spans="1:23" s="36" customFormat="1" x14ac:dyDescent="0.3">
      <c r="A172" s="6"/>
      <c r="B172" s="17">
        <f t="shared" si="13"/>
        <v>36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x14ac:dyDescent="0.3">
      <c r="A173" s="6"/>
      <c r="B173" s="17">
        <f t="shared" si="13"/>
        <v>37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x14ac:dyDescent="0.3">
      <c r="A174" s="6"/>
      <c r="B174" s="17">
        <f t="shared" si="13"/>
        <v>38</v>
      </c>
      <c r="C174" s="18"/>
      <c r="D174" s="19"/>
      <c r="E174" s="19"/>
      <c r="F174" s="35"/>
      <c r="G174" s="35"/>
      <c r="H174" s="35"/>
      <c r="I174" s="20"/>
      <c r="J174" s="21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x14ac:dyDescent="0.3">
      <c r="A175" s="6"/>
      <c r="B175" s="17">
        <f t="shared" si="13"/>
        <v>39</v>
      </c>
      <c r="C175" s="18"/>
      <c r="D175" s="19"/>
      <c r="E175" s="19"/>
      <c r="F175" s="35"/>
      <c r="G175" s="35"/>
      <c r="H175" s="35"/>
      <c r="I175" s="20"/>
      <c r="J175" s="21">
        <f t="shared" si="9"/>
        <v>0</v>
      </c>
      <c r="K175" s="7"/>
      <c r="V175" s="5">
        <f t="shared" si="10"/>
        <v>0</v>
      </c>
      <c r="W175" s="5">
        <f t="shared" si="11"/>
        <v>0</v>
      </c>
    </row>
    <row r="176" spans="1:23" s="36" customFormat="1" x14ac:dyDescent="0.3">
      <c r="A176" s="6"/>
      <c r="B176" s="17">
        <f t="shared" si="13"/>
        <v>40</v>
      </c>
      <c r="C176" s="18"/>
      <c r="D176" s="19"/>
      <c r="E176" s="19"/>
      <c r="F176" s="35"/>
      <c r="G176" s="35"/>
      <c r="H176" s="35"/>
      <c r="I176" s="20"/>
      <c r="J176" s="21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x14ac:dyDescent="0.3">
      <c r="A177" s="6"/>
      <c r="B177" s="17">
        <f t="shared" si="13"/>
        <v>41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x14ac:dyDescent="0.3">
      <c r="A178" s="6"/>
      <c r="B178" s="17">
        <f t="shared" si="13"/>
        <v>42</v>
      </c>
      <c r="C178" s="18"/>
      <c r="D178" s="19"/>
      <c r="E178" s="19"/>
      <c r="F178" s="35"/>
      <c r="G178" s="35"/>
      <c r="H178" s="35"/>
      <c r="I178" s="20"/>
      <c r="J178" s="21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x14ac:dyDescent="0.3">
      <c r="A179" s="6"/>
      <c r="B179" s="17">
        <f t="shared" si="13"/>
        <v>43</v>
      </c>
      <c r="C179" s="18"/>
      <c r="D179" s="19"/>
      <c r="E179" s="19"/>
      <c r="F179" s="35"/>
      <c r="G179" s="35"/>
      <c r="H179" s="35"/>
      <c r="I179" s="20"/>
      <c r="J179" s="21">
        <f t="shared" si="9"/>
        <v>0</v>
      </c>
      <c r="K179" s="7"/>
      <c r="V179" s="5">
        <f t="shared" si="10"/>
        <v>0</v>
      </c>
      <c r="W179" s="5">
        <f t="shared" si="11"/>
        <v>0</v>
      </c>
    </row>
    <row r="180" spans="1:23" s="36" customFormat="1" x14ac:dyDescent="0.3">
      <c r="A180" s="6"/>
      <c r="B180" s="17">
        <f t="shared" si="13"/>
        <v>44</v>
      </c>
      <c r="C180" s="18"/>
      <c r="D180" s="19"/>
      <c r="E180" s="19"/>
      <c r="F180" s="35"/>
      <c r="G180" s="35"/>
      <c r="H180" s="35"/>
      <c r="I180" s="20"/>
      <c r="J180" s="21">
        <f t="shared" si="9"/>
        <v>0</v>
      </c>
      <c r="K180" s="7"/>
      <c r="V180" s="5">
        <f t="shared" si="10"/>
        <v>0</v>
      </c>
      <c r="W180" s="5">
        <f t="shared" si="11"/>
        <v>0</v>
      </c>
    </row>
    <row r="181" spans="1:23" s="36" customFormat="1" x14ac:dyDescent="0.3">
      <c r="A181" s="6"/>
      <c r="B181" s="17">
        <f t="shared" si="13"/>
        <v>45</v>
      </c>
      <c r="C181" s="18"/>
      <c r="D181" s="19"/>
      <c r="E181" s="19"/>
      <c r="F181" s="35"/>
      <c r="G181" s="35"/>
      <c r="H181" s="35"/>
      <c r="I181" s="20"/>
      <c r="J181" s="21">
        <f t="shared" si="9"/>
        <v>0</v>
      </c>
      <c r="K181" s="7"/>
      <c r="V181" s="5">
        <f t="shared" si="10"/>
        <v>0</v>
      </c>
      <c r="W181" s="5">
        <f t="shared" si="11"/>
        <v>0</v>
      </c>
    </row>
    <row r="182" spans="1:23" s="36" customFormat="1" ht="15" thickBot="1" x14ac:dyDescent="0.35">
      <c r="A182" s="6"/>
      <c r="B182" s="95">
        <f t="shared" si="13"/>
        <v>46</v>
      </c>
      <c r="C182" s="79"/>
      <c r="D182" s="80"/>
      <c r="E182" s="80"/>
      <c r="F182" s="96"/>
      <c r="G182" s="96"/>
      <c r="H182" s="96"/>
      <c r="I182" s="81"/>
      <c r="J182" s="82">
        <f t="shared" si="9"/>
        <v>0</v>
      </c>
      <c r="K182" s="7"/>
      <c r="V182" s="5">
        <f t="shared" si="10"/>
        <v>0</v>
      </c>
      <c r="W182" s="5">
        <f t="shared" si="11"/>
        <v>0</v>
      </c>
    </row>
    <row r="183" spans="1:23" s="36" customFormat="1" ht="24" thickBot="1" x14ac:dyDescent="0.5">
      <c r="A183" s="6"/>
      <c r="B183" s="165" t="s">
        <v>22</v>
      </c>
      <c r="C183" s="166"/>
      <c r="D183" s="166"/>
      <c r="E183" s="166"/>
      <c r="F183" s="166"/>
      <c r="G183" s="166"/>
      <c r="H183" s="167"/>
      <c r="I183" s="83" t="s">
        <v>23</v>
      </c>
      <c r="J183" s="84">
        <f>SUM(J137:J182)</f>
        <v>143100</v>
      </c>
      <c r="K183" s="7"/>
      <c r="L183" s="5"/>
      <c r="M183" s="5"/>
      <c r="N183" s="5"/>
      <c r="O183" s="5"/>
      <c r="P183" s="5"/>
      <c r="Q183" s="5"/>
      <c r="R183" s="5"/>
      <c r="V183" s="36">
        <f>SUM(V137:V182)</f>
        <v>24</v>
      </c>
      <c r="W183" s="36">
        <f>SUM(W137:W182)</f>
        <v>4</v>
      </c>
    </row>
    <row r="184" spans="1:23" s="36" customFormat="1" ht="30" customHeight="1" thickBot="1" x14ac:dyDescent="0.35">
      <c r="A184" s="30"/>
      <c r="B184" s="31"/>
      <c r="C184" s="31"/>
      <c r="D184" s="31"/>
      <c r="E184" s="31"/>
      <c r="F184" s="31"/>
      <c r="G184" s="31"/>
      <c r="H184" s="32"/>
      <c r="I184" s="31"/>
      <c r="J184" s="32"/>
      <c r="K184" s="33"/>
      <c r="L184" s="5"/>
      <c r="M184" s="5"/>
      <c r="N184" s="5"/>
      <c r="O184" s="5"/>
      <c r="P184" s="5"/>
      <c r="Q184" s="5"/>
      <c r="R184" s="5"/>
    </row>
  </sheetData>
  <mergeCells count="44">
    <mergeCell ref="B129:H129"/>
    <mergeCell ref="B133:J133"/>
    <mergeCell ref="B134:J134"/>
    <mergeCell ref="B135:J135"/>
    <mergeCell ref="B183:H183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59" r:id="rId1" xr:uid="{00000000-0004-0000-1B00-000000000000}"/>
    <hyperlink ref="B129" r:id="rId2" xr:uid="{00000000-0004-0000-1B00-000001000000}"/>
    <hyperlink ref="B183" r:id="rId3" xr:uid="{00000000-0004-0000-1B00-000002000000}"/>
    <hyperlink ref="M1" location="MASTER!A1" display="Back" xr:uid="{00000000-0004-0000-1B00-000003000000}"/>
    <hyperlink ref="M6:M7" location="'MAR 2022'!A70" display="EXTRA STOCK FUTURE" xr:uid="{00000000-0004-0000-1B00-000004000000}"/>
    <hyperlink ref="M8:M9" location="'MAR 2022'!A140" display="EXTRA NIFTY OPTION" xr:uid="{00000000-0004-0000-1B00-000005000000}"/>
  </hyperlinks>
  <pageMargins left="0" right="0" top="0" bottom="0" header="0" footer="0"/>
  <pageSetup paperSize="9" orientation="portrait" r:id="rId4"/>
  <drawing r:id="rId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184"/>
  <sheetViews>
    <sheetView topLeftCell="A4" zoomScaleNormal="100" workbookViewId="0">
      <selection activeCell="Q6" sqref="Q6:Q7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44866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217" t="s">
        <v>107</v>
      </c>
      <c r="N4" s="111">
        <f>COUNT(C6:C58)</f>
        <v>41</v>
      </c>
      <c r="O4" s="113">
        <f>V59</f>
        <v>35</v>
      </c>
      <c r="P4" s="113">
        <v>6</v>
      </c>
      <c r="Q4" s="197">
        <v>0</v>
      </c>
      <c r="R4" s="199">
        <f>O4/N4</f>
        <v>0.85365853658536583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213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44866</v>
      </c>
      <c r="D6" s="90" t="s">
        <v>18</v>
      </c>
      <c r="E6" s="90" t="s">
        <v>726</v>
      </c>
      <c r="F6" s="90">
        <v>160</v>
      </c>
      <c r="G6" s="90">
        <v>230</v>
      </c>
      <c r="H6" s="91">
        <f>230-160</f>
        <v>70</v>
      </c>
      <c r="I6" s="90">
        <v>100</v>
      </c>
      <c r="J6" s="92">
        <f t="shared" ref="J6:J58" si="0">H6*I6</f>
        <v>7000</v>
      </c>
      <c r="K6" s="7"/>
      <c r="M6" s="213" t="s">
        <v>108</v>
      </c>
      <c r="N6" s="112">
        <f>COUNT(C67:C128)</f>
        <v>34</v>
      </c>
      <c r="O6" s="113">
        <v>31</v>
      </c>
      <c r="P6" s="113">
        <v>3</v>
      </c>
      <c r="Q6" s="198">
        <v>0</v>
      </c>
      <c r="R6" s="203">
        <f t="shared" ref="R6" si="1">O6/N6</f>
        <v>0.91176470588235292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ht="15" thickBot="1" x14ac:dyDescent="0.35">
      <c r="A7" s="6"/>
      <c r="B7" s="17">
        <v>2</v>
      </c>
      <c r="C7" s="85">
        <v>44866</v>
      </c>
      <c r="D7" s="86" t="s">
        <v>18</v>
      </c>
      <c r="E7" s="86" t="s">
        <v>728</v>
      </c>
      <c r="F7" s="86">
        <v>140</v>
      </c>
      <c r="G7" s="86">
        <v>195</v>
      </c>
      <c r="H7" s="87">
        <f>195-140</f>
        <v>55</v>
      </c>
      <c r="I7" s="86">
        <v>100</v>
      </c>
      <c r="J7" s="21">
        <f t="shared" si="0"/>
        <v>5500</v>
      </c>
      <c r="K7" s="7"/>
      <c r="M7" s="213"/>
      <c r="N7" s="112"/>
      <c r="O7" s="114"/>
      <c r="P7" s="114"/>
      <c r="Q7" s="198"/>
      <c r="R7" s="200"/>
      <c r="V7" s="5">
        <f t="shared" si="2"/>
        <v>1</v>
      </c>
      <c r="W7" s="5">
        <f t="shared" si="3"/>
        <v>0</v>
      </c>
    </row>
    <row r="8" spans="1:23" x14ac:dyDescent="0.3">
      <c r="A8" s="6"/>
      <c r="B8" s="88">
        <v>3</v>
      </c>
      <c r="C8" s="85">
        <v>44867</v>
      </c>
      <c r="D8" s="86" t="s">
        <v>18</v>
      </c>
      <c r="E8" s="86" t="s">
        <v>728</v>
      </c>
      <c r="F8" s="86">
        <v>140</v>
      </c>
      <c r="G8" s="86">
        <v>190</v>
      </c>
      <c r="H8" s="87">
        <v>50</v>
      </c>
      <c r="I8" s="86">
        <v>100</v>
      </c>
      <c r="J8" s="21">
        <f t="shared" si="0"/>
        <v>5000</v>
      </c>
      <c r="K8" s="7"/>
      <c r="M8" s="214" t="s">
        <v>194</v>
      </c>
      <c r="N8" s="112">
        <f>COUNT(C137:C182)</f>
        <v>36</v>
      </c>
      <c r="O8" s="114">
        <v>34</v>
      </c>
      <c r="P8" s="113">
        <v>2</v>
      </c>
      <c r="Q8" s="198">
        <v>0</v>
      </c>
      <c r="R8" s="203">
        <f t="shared" ref="R8:R10" si="4">O8/N8</f>
        <v>0.94444444444444442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44867</v>
      </c>
      <c r="D9" s="86" t="s">
        <v>18</v>
      </c>
      <c r="E9" s="86" t="s">
        <v>743</v>
      </c>
      <c r="F9" s="86">
        <v>160</v>
      </c>
      <c r="G9" s="86">
        <v>228</v>
      </c>
      <c r="H9" s="87">
        <f>228-160</f>
        <v>68</v>
      </c>
      <c r="I9" s="86">
        <v>100</v>
      </c>
      <c r="J9" s="21">
        <f t="shared" si="0"/>
        <v>6800</v>
      </c>
      <c r="K9" s="7"/>
      <c r="M9" s="215"/>
      <c r="N9" s="184"/>
      <c r="O9" s="172"/>
      <c r="P9" s="114"/>
      <c r="Q9" s="174"/>
      <c r="R9" s="204"/>
      <c r="V9" s="5">
        <f t="shared" si="2"/>
        <v>1</v>
      </c>
      <c r="W9" s="5">
        <f t="shared" si="3"/>
        <v>0</v>
      </c>
    </row>
    <row r="10" spans="1:23" ht="16.5" customHeight="1" x14ac:dyDescent="0.3">
      <c r="A10" s="6"/>
      <c r="B10" s="88">
        <v>5</v>
      </c>
      <c r="C10" s="85">
        <v>44868</v>
      </c>
      <c r="D10" s="86" t="s">
        <v>18</v>
      </c>
      <c r="E10" s="86" t="s">
        <v>744</v>
      </c>
      <c r="F10" s="86">
        <v>140</v>
      </c>
      <c r="G10" s="86">
        <v>215</v>
      </c>
      <c r="H10" s="87">
        <f>215-140</f>
        <v>75</v>
      </c>
      <c r="I10" s="86">
        <v>100</v>
      </c>
      <c r="J10" s="21">
        <f t="shared" si="0"/>
        <v>7500</v>
      </c>
      <c r="K10" s="7"/>
      <c r="M10" s="207" t="s">
        <v>19</v>
      </c>
      <c r="N10" s="149">
        <f>SUM(N4:N9)</f>
        <v>111</v>
      </c>
      <c r="O10" s="209">
        <f>SUM(O4:O9)</f>
        <v>100</v>
      </c>
      <c r="P10" s="209">
        <f>SUM(P4:P9)</f>
        <v>11</v>
      </c>
      <c r="Q10" s="211">
        <f>SUM(Q4:Q9)</f>
        <v>0</v>
      </c>
      <c r="R10" s="199">
        <f t="shared" si="4"/>
        <v>0.90090090090090091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44868</v>
      </c>
      <c r="D11" s="86" t="s">
        <v>18</v>
      </c>
      <c r="E11" s="86" t="s">
        <v>745</v>
      </c>
      <c r="F11" s="86">
        <v>150</v>
      </c>
      <c r="G11" s="86">
        <v>192</v>
      </c>
      <c r="H11" s="87">
        <f>192-150</f>
        <v>42</v>
      </c>
      <c r="I11" s="86">
        <v>100</v>
      </c>
      <c r="J11" s="21">
        <f t="shared" si="0"/>
        <v>4200</v>
      </c>
      <c r="K11" s="7"/>
      <c r="M11" s="208"/>
      <c r="N11" s="150"/>
      <c r="O11" s="210"/>
      <c r="P11" s="210"/>
      <c r="Q11" s="212"/>
      <c r="R11" s="204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44869</v>
      </c>
      <c r="D12" s="86" t="s">
        <v>18</v>
      </c>
      <c r="E12" s="86" t="s">
        <v>723</v>
      </c>
      <c r="F12" s="86">
        <v>140</v>
      </c>
      <c r="G12" s="86">
        <v>180</v>
      </c>
      <c r="H12" s="87">
        <v>40</v>
      </c>
      <c r="I12" s="86">
        <v>100</v>
      </c>
      <c r="J12" s="21">
        <f t="shared" si="0"/>
        <v>4000</v>
      </c>
      <c r="K12" s="7"/>
      <c r="M12" s="126" t="s">
        <v>20</v>
      </c>
      <c r="N12" s="130"/>
      <c r="O12" s="131"/>
      <c r="P12" s="138">
        <f>R10</f>
        <v>0.90090090090090091</v>
      </c>
      <c r="Q12" s="139"/>
      <c r="R12" s="137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44869</v>
      </c>
      <c r="D13" s="86" t="s">
        <v>18</v>
      </c>
      <c r="E13" s="86" t="s">
        <v>726</v>
      </c>
      <c r="F13" s="86">
        <v>140</v>
      </c>
      <c r="G13" s="86">
        <v>165</v>
      </c>
      <c r="H13" s="87">
        <f>165-140</f>
        <v>25</v>
      </c>
      <c r="I13" s="86">
        <v>100</v>
      </c>
      <c r="J13" s="21">
        <f t="shared" si="0"/>
        <v>2500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44872</v>
      </c>
      <c r="D14" s="86" t="s">
        <v>18</v>
      </c>
      <c r="E14" s="86" t="s">
        <v>723</v>
      </c>
      <c r="F14" s="86">
        <v>130</v>
      </c>
      <c r="G14" s="86">
        <v>105</v>
      </c>
      <c r="H14" s="87">
        <v>-25</v>
      </c>
      <c r="I14" s="86">
        <v>100</v>
      </c>
      <c r="J14" s="21">
        <f t="shared" si="0"/>
        <v>-2500</v>
      </c>
      <c r="K14" s="7"/>
      <c r="M14" s="132"/>
      <c r="N14" s="133"/>
      <c r="O14" s="134"/>
      <c r="P14" s="141"/>
      <c r="Q14" s="142"/>
      <c r="R14" s="143"/>
      <c r="V14" s="5">
        <f t="shared" si="2"/>
        <v>0</v>
      </c>
      <c r="W14" s="5">
        <f t="shared" si="3"/>
        <v>1</v>
      </c>
    </row>
    <row r="15" spans="1:23" x14ac:dyDescent="0.3">
      <c r="A15" s="6"/>
      <c r="B15" s="17">
        <v>10</v>
      </c>
      <c r="C15" s="85">
        <v>44872</v>
      </c>
      <c r="D15" s="86" t="s">
        <v>18</v>
      </c>
      <c r="E15" s="86" t="s">
        <v>722</v>
      </c>
      <c r="F15" s="86">
        <v>140</v>
      </c>
      <c r="G15" s="86">
        <v>190</v>
      </c>
      <c r="H15" s="87">
        <v>50</v>
      </c>
      <c r="I15" s="86">
        <v>100</v>
      </c>
      <c r="J15" s="21">
        <f t="shared" si="0"/>
        <v>5000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85">
        <v>44872</v>
      </c>
      <c r="D16" s="86" t="s">
        <v>18</v>
      </c>
      <c r="E16" s="86" t="s">
        <v>743</v>
      </c>
      <c r="F16" s="86">
        <v>120</v>
      </c>
      <c r="G16" s="86">
        <v>159</v>
      </c>
      <c r="H16" s="87">
        <f>159-120</f>
        <v>39</v>
      </c>
      <c r="I16" s="86">
        <v>100</v>
      </c>
      <c r="J16" s="21">
        <f t="shared" si="0"/>
        <v>3900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85">
        <v>44874</v>
      </c>
      <c r="D17" s="86" t="s">
        <v>18</v>
      </c>
      <c r="E17" s="86" t="s">
        <v>752</v>
      </c>
      <c r="F17" s="86">
        <v>160</v>
      </c>
      <c r="G17" s="86">
        <v>192</v>
      </c>
      <c r="H17" s="87">
        <v>32</v>
      </c>
      <c r="I17" s="86">
        <v>100</v>
      </c>
      <c r="J17" s="21">
        <f t="shared" si="0"/>
        <v>3200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85">
        <v>44874</v>
      </c>
      <c r="D18" s="86" t="s">
        <v>18</v>
      </c>
      <c r="E18" s="86" t="s">
        <v>723</v>
      </c>
      <c r="F18" s="86">
        <v>140</v>
      </c>
      <c r="G18" s="86">
        <v>160</v>
      </c>
      <c r="H18" s="87">
        <v>20</v>
      </c>
      <c r="I18" s="86">
        <v>100</v>
      </c>
      <c r="J18" s="21">
        <f t="shared" si="0"/>
        <v>2000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85">
        <v>44875</v>
      </c>
      <c r="D19" s="86" t="s">
        <v>18</v>
      </c>
      <c r="E19" s="86" t="s">
        <v>749</v>
      </c>
      <c r="F19" s="86">
        <v>130</v>
      </c>
      <c r="G19" s="86">
        <v>230</v>
      </c>
      <c r="H19" s="87">
        <v>100</v>
      </c>
      <c r="I19" s="86">
        <v>100</v>
      </c>
      <c r="J19" s="21">
        <f t="shared" si="0"/>
        <v>10000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85">
        <v>44875</v>
      </c>
      <c r="D20" s="86" t="s">
        <v>18</v>
      </c>
      <c r="E20" s="86" t="s">
        <v>748</v>
      </c>
      <c r="F20" s="86">
        <v>100</v>
      </c>
      <c r="G20" s="86">
        <v>184</v>
      </c>
      <c r="H20" s="87">
        <v>84</v>
      </c>
      <c r="I20" s="86">
        <v>100</v>
      </c>
      <c r="J20" s="21">
        <f t="shared" si="0"/>
        <v>8400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85">
        <v>44876</v>
      </c>
      <c r="D21" s="86" t="s">
        <v>18</v>
      </c>
      <c r="E21" s="86" t="s">
        <v>752</v>
      </c>
      <c r="F21" s="86">
        <v>160</v>
      </c>
      <c r="G21" s="86">
        <v>210</v>
      </c>
      <c r="H21" s="87">
        <v>50</v>
      </c>
      <c r="I21" s="86">
        <v>100</v>
      </c>
      <c r="J21" s="21">
        <f t="shared" si="0"/>
        <v>5000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44876</v>
      </c>
      <c r="D22" s="19" t="s">
        <v>18</v>
      </c>
      <c r="E22" s="19" t="s">
        <v>753</v>
      </c>
      <c r="F22" s="35">
        <v>140</v>
      </c>
      <c r="G22" s="35">
        <v>90</v>
      </c>
      <c r="H22" s="35">
        <v>-50</v>
      </c>
      <c r="I22" s="20">
        <v>100</v>
      </c>
      <c r="J22" s="21">
        <f t="shared" si="0"/>
        <v>-5000</v>
      </c>
      <c r="K22" s="7"/>
      <c r="V22" s="5">
        <f t="shared" si="2"/>
        <v>0</v>
      </c>
      <c r="W22" s="5">
        <f t="shared" si="3"/>
        <v>1</v>
      </c>
    </row>
    <row r="23" spans="1:23" x14ac:dyDescent="0.3">
      <c r="A23" s="6"/>
      <c r="B23" s="17">
        <v>18</v>
      </c>
      <c r="C23" s="18">
        <v>44879</v>
      </c>
      <c r="D23" s="19" t="s">
        <v>18</v>
      </c>
      <c r="E23" s="19" t="s">
        <v>754</v>
      </c>
      <c r="F23" s="35">
        <v>140</v>
      </c>
      <c r="G23" s="35">
        <v>155</v>
      </c>
      <c r="H23" s="35">
        <v>15</v>
      </c>
      <c r="I23" s="20">
        <v>100</v>
      </c>
      <c r="J23" s="21">
        <f t="shared" si="0"/>
        <v>1500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44879</v>
      </c>
      <c r="D24" s="19" t="s">
        <v>18</v>
      </c>
      <c r="E24" s="19" t="s">
        <v>754</v>
      </c>
      <c r="F24" s="35">
        <v>170</v>
      </c>
      <c r="G24" s="35">
        <v>199</v>
      </c>
      <c r="H24" s="35">
        <f>199-170</f>
        <v>29</v>
      </c>
      <c r="I24" s="20">
        <v>100</v>
      </c>
      <c r="J24" s="21">
        <f t="shared" si="0"/>
        <v>2900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44880</v>
      </c>
      <c r="D25" s="19" t="s">
        <v>18</v>
      </c>
      <c r="E25" s="19" t="s">
        <v>755</v>
      </c>
      <c r="F25" s="35">
        <v>140</v>
      </c>
      <c r="G25" s="35">
        <v>157</v>
      </c>
      <c r="H25" s="35">
        <v>17</v>
      </c>
      <c r="I25" s="20">
        <v>100</v>
      </c>
      <c r="J25" s="21">
        <f t="shared" si="0"/>
        <v>1700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44881</v>
      </c>
      <c r="D26" s="19" t="s">
        <v>18</v>
      </c>
      <c r="E26" s="19" t="s">
        <v>757</v>
      </c>
      <c r="F26" s="35">
        <v>130</v>
      </c>
      <c r="G26" s="35">
        <v>214</v>
      </c>
      <c r="H26" s="35">
        <f>214-130</f>
        <v>84</v>
      </c>
      <c r="I26" s="20">
        <v>100</v>
      </c>
      <c r="J26" s="21">
        <f t="shared" si="0"/>
        <v>8400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44881</v>
      </c>
      <c r="D27" s="19" t="s">
        <v>18</v>
      </c>
      <c r="E27" s="19" t="s">
        <v>758</v>
      </c>
      <c r="F27" s="35">
        <v>130</v>
      </c>
      <c r="G27" s="35">
        <v>200</v>
      </c>
      <c r="H27" s="19">
        <f>200-130</f>
        <v>70</v>
      </c>
      <c r="I27" s="20">
        <v>100</v>
      </c>
      <c r="J27" s="21">
        <f t="shared" si="0"/>
        <v>7000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44882</v>
      </c>
      <c r="D28" s="19" t="s">
        <v>18</v>
      </c>
      <c r="E28" s="19" t="s">
        <v>759</v>
      </c>
      <c r="F28" s="35">
        <v>180</v>
      </c>
      <c r="G28" s="35">
        <v>278</v>
      </c>
      <c r="H28" s="19">
        <f>278-180</f>
        <v>98</v>
      </c>
      <c r="I28" s="20">
        <v>100</v>
      </c>
      <c r="J28" s="21">
        <f t="shared" si="0"/>
        <v>9800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44882</v>
      </c>
      <c r="D29" s="19" t="s">
        <v>18</v>
      </c>
      <c r="E29" s="19" t="s">
        <v>758</v>
      </c>
      <c r="F29" s="20">
        <v>110</v>
      </c>
      <c r="G29" s="20">
        <v>60</v>
      </c>
      <c r="H29" s="19">
        <v>-50</v>
      </c>
      <c r="I29" s="20">
        <v>100</v>
      </c>
      <c r="J29" s="21">
        <f t="shared" si="0"/>
        <v>-5000</v>
      </c>
      <c r="K29" s="7"/>
      <c r="V29" s="5">
        <f t="shared" si="2"/>
        <v>0</v>
      </c>
      <c r="W29" s="5">
        <f t="shared" si="3"/>
        <v>1</v>
      </c>
    </row>
    <row r="30" spans="1:23" x14ac:dyDescent="0.3">
      <c r="A30" s="6"/>
      <c r="B30" s="88">
        <v>25</v>
      </c>
      <c r="C30" s="24">
        <v>44883</v>
      </c>
      <c r="D30" s="25" t="s">
        <v>18</v>
      </c>
      <c r="E30" s="25" t="s">
        <v>756</v>
      </c>
      <c r="F30" s="26">
        <v>150</v>
      </c>
      <c r="G30" s="61">
        <v>222</v>
      </c>
      <c r="H30" s="61">
        <f>222-150</f>
        <v>72</v>
      </c>
      <c r="I30" s="26">
        <v>100</v>
      </c>
      <c r="J30" s="21">
        <f t="shared" si="0"/>
        <v>7200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44883</v>
      </c>
      <c r="D31" s="25" t="s">
        <v>18</v>
      </c>
      <c r="E31" s="25" t="s">
        <v>760</v>
      </c>
      <c r="F31" s="26">
        <v>140</v>
      </c>
      <c r="G31" s="61">
        <v>150</v>
      </c>
      <c r="H31" s="61">
        <v>10</v>
      </c>
      <c r="I31" s="26">
        <v>100</v>
      </c>
      <c r="J31" s="21">
        <f t="shared" si="0"/>
        <v>1000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44886</v>
      </c>
      <c r="D32" s="25" t="s">
        <v>18</v>
      </c>
      <c r="E32" s="25" t="s">
        <v>756</v>
      </c>
      <c r="F32" s="26">
        <v>150</v>
      </c>
      <c r="G32" s="61">
        <v>173</v>
      </c>
      <c r="H32" s="61">
        <v>23</v>
      </c>
      <c r="I32" s="26">
        <v>100</v>
      </c>
      <c r="J32" s="21">
        <f t="shared" si="0"/>
        <v>2300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44887</v>
      </c>
      <c r="D33" s="25" t="s">
        <v>18</v>
      </c>
      <c r="E33" s="25" t="s">
        <v>758</v>
      </c>
      <c r="F33" s="26">
        <v>140</v>
      </c>
      <c r="G33" s="61">
        <v>150</v>
      </c>
      <c r="H33" s="61">
        <v>10</v>
      </c>
      <c r="I33" s="26">
        <v>100</v>
      </c>
      <c r="J33" s="21">
        <f t="shared" si="0"/>
        <v>1000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44887</v>
      </c>
      <c r="D34" s="25" t="s">
        <v>18</v>
      </c>
      <c r="E34" s="25" t="s">
        <v>765</v>
      </c>
      <c r="F34" s="26">
        <v>150</v>
      </c>
      <c r="G34" s="61">
        <v>120</v>
      </c>
      <c r="H34" s="61">
        <v>-30</v>
      </c>
      <c r="I34" s="26">
        <v>100</v>
      </c>
      <c r="J34" s="21">
        <f t="shared" si="0"/>
        <v>-3000</v>
      </c>
      <c r="K34" s="7"/>
      <c r="V34" s="5">
        <f t="shared" si="2"/>
        <v>0</v>
      </c>
      <c r="W34" s="5">
        <f t="shared" si="3"/>
        <v>1</v>
      </c>
    </row>
    <row r="35" spans="1:23" x14ac:dyDescent="0.3">
      <c r="A35" s="6"/>
      <c r="B35" s="17">
        <v>30</v>
      </c>
      <c r="C35" s="24">
        <v>44888</v>
      </c>
      <c r="D35" s="25" t="s">
        <v>18</v>
      </c>
      <c r="E35" s="25" t="s">
        <v>757</v>
      </c>
      <c r="F35" s="26">
        <v>160</v>
      </c>
      <c r="G35" s="61">
        <v>260</v>
      </c>
      <c r="H35" s="61">
        <v>100</v>
      </c>
      <c r="I35" s="26">
        <v>100</v>
      </c>
      <c r="J35" s="21">
        <f t="shared" si="0"/>
        <v>10000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44888</v>
      </c>
      <c r="D36" s="25" t="s">
        <v>18</v>
      </c>
      <c r="E36" s="25" t="s">
        <v>766</v>
      </c>
      <c r="F36" s="26">
        <v>140</v>
      </c>
      <c r="G36" s="61">
        <v>231</v>
      </c>
      <c r="H36" s="61">
        <f>231-140</f>
        <v>91</v>
      </c>
      <c r="I36" s="26">
        <v>100</v>
      </c>
      <c r="J36" s="21">
        <f t="shared" si="0"/>
        <v>9100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44889</v>
      </c>
      <c r="D37" s="25" t="s">
        <v>18</v>
      </c>
      <c r="E37" s="25" t="s">
        <v>753</v>
      </c>
      <c r="F37" s="26">
        <v>120</v>
      </c>
      <c r="G37" s="61">
        <v>220</v>
      </c>
      <c r="H37" s="61">
        <v>100</v>
      </c>
      <c r="I37" s="26">
        <v>100</v>
      </c>
      <c r="J37" s="21">
        <f t="shared" si="0"/>
        <v>10000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44889</v>
      </c>
      <c r="D38" s="25" t="s">
        <v>18</v>
      </c>
      <c r="E38" s="25" t="s">
        <v>767</v>
      </c>
      <c r="F38" s="26">
        <v>100</v>
      </c>
      <c r="G38" s="61">
        <v>50</v>
      </c>
      <c r="H38" s="61">
        <v>-50</v>
      </c>
      <c r="I38" s="26">
        <v>100</v>
      </c>
      <c r="J38" s="21">
        <f t="shared" si="0"/>
        <v>-5000</v>
      </c>
      <c r="K38" s="7"/>
      <c r="V38" s="5">
        <f t="shared" si="2"/>
        <v>0</v>
      </c>
      <c r="W38" s="5">
        <f t="shared" si="3"/>
        <v>1</v>
      </c>
    </row>
    <row r="39" spans="1:23" x14ac:dyDescent="0.3">
      <c r="A39" s="6"/>
      <c r="B39" s="17">
        <v>34</v>
      </c>
      <c r="C39" s="24">
        <v>44890</v>
      </c>
      <c r="D39" s="25" t="s">
        <v>18</v>
      </c>
      <c r="E39" s="25" t="s">
        <v>768</v>
      </c>
      <c r="F39" s="26">
        <v>160</v>
      </c>
      <c r="G39" s="61">
        <v>204</v>
      </c>
      <c r="H39" s="61">
        <f>204-160</f>
        <v>44</v>
      </c>
      <c r="I39" s="26">
        <v>100</v>
      </c>
      <c r="J39" s="21">
        <f t="shared" si="0"/>
        <v>4400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44890</v>
      </c>
      <c r="D40" s="25" t="s">
        <v>18</v>
      </c>
      <c r="E40" s="25" t="s">
        <v>769</v>
      </c>
      <c r="F40" s="26">
        <v>140</v>
      </c>
      <c r="G40" s="61">
        <v>205</v>
      </c>
      <c r="H40" s="61">
        <f>205-140</f>
        <v>65</v>
      </c>
      <c r="I40" s="26">
        <v>100</v>
      </c>
      <c r="J40" s="21">
        <f t="shared" si="0"/>
        <v>6500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18">
        <v>44893</v>
      </c>
      <c r="D41" s="19" t="s">
        <v>18</v>
      </c>
      <c r="E41" s="19" t="s">
        <v>771</v>
      </c>
      <c r="F41" s="35">
        <v>160</v>
      </c>
      <c r="G41" s="35">
        <v>260</v>
      </c>
      <c r="H41" s="35">
        <v>100</v>
      </c>
      <c r="I41" s="26">
        <v>100</v>
      </c>
      <c r="J41" s="21">
        <f t="shared" si="0"/>
        <v>10000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18">
        <v>44893</v>
      </c>
      <c r="D42" s="19" t="s">
        <v>18</v>
      </c>
      <c r="E42" s="19" t="s">
        <v>772</v>
      </c>
      <c r="F42" s="35">
        <v>140</v>
      </c>
      <c r="G42" s="35">
        <v>152</v>
      </c>
      <c r="H42" s="35">
        <v>12</v>
      </c>
      <c r="I42" s="26">
        <v>100</v>
      </c>
      <c r="J42" s="21">
        <f t="shared" si="0"/>
        <v>1200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17">
        <v>38</v>
      </c>
      <c r="C43" s="24">
        <v>44894</v>
      </c>
      <c r="D43" s="25" t="s">
        <v>18</v>
      </c>
      <c r="E43" s="25" t="s">
        <v>772</v>
      </c>
      <c r="F43" s="26">
        <v>140</v>
      </c>
      <c r="G43" s="61">
        <v>167</v>
      </c>
      <c r="H43" s="61">
        <f>27</f>
        <v>27</v>
      </c>
      <c r="I43" s="26">
        <v>100</v>
      </c>
      <c r="J43" s="21">
        <f t="shared" si="0"/>
        <v>2700</v>
      </c>
      <c r="K43" s="7"/>
      <c r="V43" s="5">
        <f t="shared" si="2"/>
        <v>1</v>
      </c>
      <c r="W43" s="5">
        <f t="shared" si="3"/>
        <v>0</v>
      </c>
    </row>
    <row r="44" spans="1:23" x14ac:dyDescent="0.3">
      <c r="A44" s="6"/>
      <c r="B44" s="17">
        <v>39</v>
      </c>
      <c r="C44" s="24">
        <v>44895</v>
      </c>
      <c r="D44" s="25" t="s">
        <v>18</v>
      </c>
      <c r="E44" s="25" t="s">
        <v>773</v>
      </c>
      <c r="F44" s="26">
        <v>160</v>
      </c>
      <c r="G44" s="61">
        <v>110</v>
      </c>
      <c r="H44" s="61">
        <v>-40</v>
      </c>
      <c r="I44" s="26">
        <v>100</v>
      </c>
      <c r="J44" s="21">
        <f t="shared" si="0"/>
        <v>-4000</v>
      </c>
      <c r="K44" s="7"/>
      <c r="V44" s="5">
        <f t="shared" si="2"/>
        <v>0</v>
      </c>
      <c r="W44" s="5">
        <f t="shared" si="3"/>
        <v>1</v>
      </c>
    </row>
    <row r="45" spans="1:23" x14ac:dyDescent="0.3">
      <c r="A45" s="6"/>
      <c r="B45" s="17">
        <v>40</v>
      </c>
      <c r="C45" s="24">
        <v>44895</v>
      </c>
      <c r="D45" s="25" t="s">
        <v>18</v>
      </c>
      <c r="E45" s="25" t="s">
        <v>774</v>
      </c>
      <c r="F45" s="26">
        <v>150</v>
      </c>
      <c r="G45" s="61">
        <v>243</v>
      </c>
      <c r="H45" s="61">
        <f>243-150</f>
        <v>93</v>
      </c>
      <c r="I45" s="26">
        <v>100</v>
      </c>
      <c r="J45" s="21">
        <f t="shared" si="0"/>
        <v>9300</v>
      </c>
      <c r="K45" s="7"/>
      <c r="V45" s="5">
        <f t="shared" si="2"/>
        <v>1</v>
      </c>
      <c r="W45" s="5">
        <f t="shared" si="3"/>
        <v>0</v>
      </c>
    </row>
    <row r="46" spans="1:23" x14ac:dyDescent="0.3">
      <c r="A46" s="6"/>
      <c r="B46" s="17">
        <v>41</v>
      </c>
      <c r="C46" s="24">
        <v>44895</v>
      </c>
      <c r="D46" s="25" t="s">
        <v>18</v>
      </c>
      <c r="E46" s="25" t="s">
        <v>775</v>
      </c>
      <c r="F46" s="26">
        <v>140</v>
      </c>
      <c r="G46" s="61">
        <v>154</v>
      </c>
      <c r="H46" s="61">
        <v>14</v>
      </c>
      <c r="I46" s="26">
        <v>100</v>
      </c>
      <c r="J46" s="21">
        <f t="shared" si="0"/>
        <v>1400</v>
      </c>
      <c r="K46" s="7"/>
      <c r="V46" s="5">
        <f t="shared" si="2"/>
        <v>1</v>
      </c>
      <c r="W46" s="5">
        <f t="shared" si="3"/>
        <v>0</v>
      </c>
    </row>
    <row r="47" spans="1:23" x14ac:dyDescent="0.3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x14ac:dyDescent="0.3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x14ac:dyDescent="0.3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162900</v>
      </c>
      <c r="K59" s="7"/>
      <c r="V59" s="5">
        <f>SUM(V6:V58)</f>
        <v>35</v>
      </c>
      <c r="W59" s="5">
        <f>SUM(W6:W58)</f>
        <v>6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742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44866</v>
      </c>
      <c r="D67" s="67" t="s">
        <v>69</v>
      </c>
      <c r="E67" s="67" t="s">
        <v>716</v>
      </c>
      <c r="F67" s="68">
        <v>226</v>
      </c>
      <c r="G67" s="68">
        <v>221.5</v>
      </c>
      <c r="H67" s="97">
        <f>226-221.5</f>
        <v>4.5</v>
      </c>
      <c r="I67" s="68">
        <v>2300</v>
      </c>
      <c r="J67" s="92">
        <f>H67*I67</f>
        <v>10350</v>
      </c>
      <c r="K67" s="7"/>
      <c r="V67" s="5">
        <f t="shared" ref="V67:V128" si="5">IF($J67&gt;0,1,0)</f>
        <v>1</v>
      </c>
      <c r="W67" s="5">
        <f t="shared" ref="W67:W128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44867</v>
      </c>
      <c r="D68" s="67" t="s">
        <v>18</v>
      </c>
      <c r="E68" s="67" t="s">
        <v>746</v>
      </c>
      <c r="F68" s="97">
        <v>2840</v>
      </c>
      <c r="G68" s="97">
        <v>2870</v>
      </c>
      <c r="H68" s="97">
        <v>30</v>
      </c>
      <c r="I68" s="20">
        <v>250</v>
      </c>
      <c r="J68" s="21">
        <f>H68*I68</f>
        <v>7500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8" si="7">B68+1</f>
        <v>3</v>
      </c>
      <c r="C69" s="18">
        <v>44868</v>
      </c>
      <c r="D69" s="19" t="s">
        <v>69</v>
      </c>
      <c r="E69" s="19" t="s">
        <v>489</v>
      </c>
      <c r="F69" s="35">
        <v>745</v>
      </c>
      <c r="G69" s="97">
        <v>741</v>
      </c>
      <c r="H69" s="35">
        <f>745-741</f>
        <v>4</v>
      </c>
      <c r="I69" s="20">
        <v>875</v>
      </c>
      <c r="J69" s="21">
        <f>H69*I69</f>
        <v>3500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44868</v>
      </c>
      <c r="D70" s="19" t="s">
        <v>69</v>
      </c>
      <c r="E70" s="19" t="s">
        <v>544</v>
      </c>
      <c r="F70" s="35">
        <v>1498</v>
      </c>
      <c r="G70" s="97">
        <v>1483.5</v>
      </c>
      <c r="H70" s="35">
        <f>1498-1483.5</f>
        <v>14.5</v>
      </c>
      <c r="I70" s="20">
        <v>400</v>
      </c>
      <c r="J70" s="21">
        <f>H70*I70</f>
        <v>5800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44869</v>
      </c>
      <c r="D71" s="19" t="s">
        <v>18</v>
      </c>
      <c r="E71" s="19" t="s">
        <v>561</v>
      </c>
      <c r="F71" s="35">
        <v>3770</v>
      </c>
      <c r="G71" s="97">
        <v>3830</v>
      </c>
      <c r="H71" s="35">
        <f>3830-3770</f>
        <v>60</v>
      </c>
      <c r="I71" s="20">
        <v>250</v>
      </c>
      <c r="J71" s="21">
        <f>H71*I71</f>
        <v>15000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44869</v>
      </c>
      <c r="D72" s="19" t="s">
        <v>18</v>
      </c>
      <c r="E72" s="19" t="s">
        <v>489</v>
      </c>
      <c r="F72" s="20">
        <v>765</v>
      </c>
      <c r="G72" s="97">
        <v>758</v>
      </c>
      <c r="H72" s="35">
        <v>-7</v>
      </c>
      <c r="I72" s="20">
        <v>875</v>
      </c>
      <c r="J72" s="21">
        <f t="shared" ref="J72:J128" si="8">I72*H72</f>
        <v>-6125</v>
      </c>
      <c r="K72" s="7"/>
      <c r="V72" s="5">
        <f t="shared" si="5"/>
        <v>0</v>
      </c>
      <c r="W72" s="5">
        <f t="shared" si="6"/>
        <v>1</v>
      </c>
    </row>
    <row r="73" spans="1:23" s="36" customFormat="1" x14ac:dyDescent="0.3">
      <c r="A73" s="6"/>
      <c r="B73" s="17">
        <f t="shared" si="7"/>
        <v>7</v>
      </c>
      <c r="C73" s="18">
        <v>44872</v>
      </c>
      <c r="D73" s="19" t="s">
        <v>18</v>
      </c>
      <c r="E73" s="19" t="s">
        <v>598</v>
      </c>
      <c r="F73" s="35">
        <v>306</v>
      </c>
      <c r="G73" s="97">
        <v>310</v>
      </c>
      <c r="H73" s="35">
        <v>4</v>
      </c>
      <c r="I73" s="20">
        <v>1800</v>
      </c>
      <c r="J73" s="21">
        <f t="shared" si="8"/>
        <v>7200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44872</v>
      </c>
      <c r="D74" s="19" t="s">
        <v>18</v>
      </c>
      <c r="E74" s="19" t="s">
        <v>566</v>
      </c>
      <c r="F74" s="35">
        <v>2805</v>
      </c>
      <c r="G74" s="97">
        <v>2815</v>
      </c>
      <c r="H74" s="35">
        <v>10</v>
      </c>
      <c r="I74" s="20">
        <v>250</v>
      </c>
      <c r="J74" s="21">
        <f t="shared" si="8"/>
        <v>2500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44874</v>
      </c>
      <c r="D75" s="19" t="s">
        <v>18</v>
      </c>
      <c r="E75" s="19" t="s">
        <v>612</v>
      </c>
      <c r="F75" s="35">
        <v>818</v>
      </c>
      <c r="G75" s="97">
        <v>828</v>
      </c>
      <c r="H75" s="35">
        <v>10</v>
      </c>
      <c r="I75" s="20">
        <v>1000</v>
      </c>
      <c r="J75" s="21">
        <f t="shared" si="8"/>
        <v>10000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44874</v>
      </c>
      <c r="D76" s="19" t="s">
        <v>18</v>
      </c>
      <c r="E76" s="19" t="s">
        <v>70</v>
      </c>
      <c r="F76" s="35">
        <v>879</v>
      </c>
      <c r="G76" s="97">
        <v>884</v>
      </c>
      <c r="H76" s="35">
        <f>884-879</f>
        <v>5</v>
      </c>
      <c r="I76" s="20">
        <v>1200</v>
      </c>
      <c r="J76" s="21">
        <f t="shared" si="8"/>
        <v>6000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>
        <v>44875</v>
      </c>
      <c r="D77" s="19" t="s">
        <v>18</v>
      </c>
      <c r="E77" s="19" t="s">
        <v>751</v>
      </c>
      <c r="F77" s="19">
        <v>4880</v>
      </c>
      <c r="G77" s="97">
        <v>4893</v>
      </c>
      <c r="H77" s="35">
        <f>4893-4880</f>
        <v>13</v>
      </c>
      <c r="I77" s="20">
        <v>150</v>
      </c>
      <c r="J77" s="21">
        <f t="shared" si="8"/>
        <v>1950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>
        <v>44875</v>
      </c>
      <c r="D78" s="19" t="s">
        <v>69</v>
      </c>
      <c r="E78" s="19" t="s">
        <v>86</v>
      </c>
      <c r="F78" s="35">
        <v>7090</v>
      </c>
      <c r="G78" s="97">
        <v>7028</v>
      </c>
      <c r="H78" s="35">
        <f>7090-7028</f>
        <v>62</v>
      </c>
      <c r="I78" s="20">
        <v>125</v>
      </c>
      <c r="J78" s="21">
        <f t="shared" si="8"/>
        <v>7750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44876</v>
      </c>
      <c r="D79" s="19" t="s">
        <v>18</v>
      </c>
      <c r="E79" s="19" t="s">
        <v>181</v>
      </c>
      <c r="F79" s="35">
        <v>1740</v>
      </c>
      <c r="G79" s="97">
        <v>1760</v>
      </c>
      <c r="H79" s="35">
        <v>20</v>
      </c>
      <c r="I79" s="20">
        <v>300</v>
      </c>
      <c r="J79" s="21">
        <f t="shared" si="8"/>
        <v>6000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44876</v>
      </c>
      <c r="D80" s="19" t="s">
        <v>18</v>
      </c>
      <c r="E80" s="19" t="s">
        <v>612</v>
      </c>
      <c r="F80" s="77">
        <v>788</v>
      </c>
      <c r="G80" s="97">
        <v>798</v>
      </c>
      <c r="H80" s="78">
        <v>10</v>
      </c>
      <c r="I80" s="20">
        <v>1000</v>
      </c>
      <c r="J80" s="21">
        <f t="shared" si="8"/>
        <v>10000</v>
      </c>
      <c r="K80" s="7"/>
      <c r="V80" s="5">
        <f t="shared" si="5"/>
        <v>1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>
        <v>44879</v>
      </c>
      <c r="D81" s="19" t="s">
        <v>18</v>
      </c>
      <c r="E81" s="19" t="s">
        <v>761</v>
      </c>
      <c r="F81" s="35">
        <v>3125</v>
      </c>
      <c r="G81" s="97">
        <v>3135</v>
      </c>
      <c r="H81" s="78">
        <v>10</v>
      </c>
      <c r="I81" s="20">
        <v>200</v>
      </c>
      <c r="J81" s="21">
        <f t="shared" si="8"/>
        <v>2000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>
        <v>44880</v>
      </c>
      <c r="D82" s="19" t="s">
        <v>18</v>
      </c>
      <c r="E82" s="19" t="s">
        <v>167</v>
      </c>
      <c r="F82" s="35">
        <v>900</v>
      </c>
      <c r="G82" s="97">
        <v>910</v>
      </c>
      <c r="H82" s="78">
        <v>10</v>
      </c>
      <c r="I82" s="20">
        <v>625</v>
      </c>
      <c r="J82" s="21">
        <f t="shared" si="8"/>
        <v>6250</v>
      </c>
      <c r="K82" s="7"/>
      <c r="V82" s="5">
        <f t="shared" si="5"/>
        <v>1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>
        <v>44880</v>
      </c>
      <c r="D83" s="19" t="s">
        <v>69</v>
      </c>
      <c r="E83" s="19" t="s">
        <v>166</v>
      </c>
      <c r="F83" s="35">
        <v>1095</v>
      </c>
      <c r="G83" s="97">
        <v>1093</v>
      </c>
      <c r="H83" s="35">
        <v>2</v>
      </c>
      <c r="I83" s="20">
        <v>700</v>
      </c>
      <c r="J83" s="21">
        <f t="shared" si="8"/>
        <v>1400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>
        <v>44881</v>
      </c>
      <c r="D84" s="19" t="s">
        <v>69</v>
      </c>
      <c r="E84" s="19" t="s">
        <v>167</v>
      </c>
      <c r="F84" s="35">
        <v>910</v>
      </c>
      <c r="G84" s="97">
        <v>914</v>
      </c>
      <c r="H84" s="35">
        <v>4</v>
      </c>
      <c r="I84" s="20">
        <v>625</v>
      </c>
      <c r="J84" s="21">
        <f t="shared" si="8"/>
        <v>2500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>
        <v>44881</v>
      </c>
      <c r="D85" s="19" t="s">
        <v>18</v>
      </c>
      <c r="E85" s="19" t="s">
        <v>376</v>
      </c>
      <c r="F85" s="35">
        <v>1970</v>
      </c>
      <c r="G85" s="97">
        <v>1972</v>
      </c>
      <c r="H85" s="35">
        <v>2</v>
      </c>
      <c r="I85" s="20">
        <v>400</v>
      </c>
      <c r="J85" s="21">
        <f t="shared" si="8"/>
        <v>800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>
        <v>44882</v>
      </c>
      <c r="D86" s="19" t="s">
        <v>18</v>
      </c>
      <c r="E86" s="19" t="s">
        <v>80</v>
      </c>
      <c r="F86" s="35">
        <v>2050</v>
      </c>
      <c r="G86" s="97">
        <v>2063</v>
      </c>
      <c r="H86" s="35">
        <v>13</v>
      </c>
      <c r="I86" s="20">
        <v>300</v>
      </c>
      <c r="J86" s="21">
        <f t="shared" si="8"/>
        <v>3900</v>
      </c>
      <c r="K86" s="7"/>
      <c r="V86" s="5">
        <f t="shared" si="5"/>
        <v>1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>
        <v>44882</v>
      </c>
      <c r="D87" s="19" t="s">
        <v>18</v>
      </c>
      <c r="E87" s="19" t="s">
        <v>92</v>
      </c>
      <c r="F87" s="35">
        <v>842</v>
      </c>
      <c r="G87" s="97">
        <v>847.4</v>
      </c>
      <c r="H87" s="35">
        <f>847.4-842</f>
        <v>5.3999999999999773</v>
      </c>
      <c r="I87" s="20">
        <v>950</v>
      </c>
      <c r="J87" s="21">
        <f t="shared" si="8"/>
        <v>5129.9999999999782</v>
      </c>
      <c r="K87" s="7"/>
      <c r="V87" s="5">
        <f t="shared" si="5"/>
        <v>1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>
        <v>44883</v>
      </c>
      <c r="D88" s="19" t="s">
        <v>18</v>
      </c>
      <c r="E88" s="19" t="s">
        <v>493</v>
      </c>
      <c r="F88" s="35">
        <v>487</v>
      </c>
      <c r="G88" s="97">
        <f>481</f>
        <v>481</v>
      </c>
      <c r="H88" s="35">
        <v>-6</v>
      </c>
      <c r="I88" s="20">
        <v>1500</v>
      </c>
      <c r="J88" s="21">
        <f t="shared" si="8"/>
        <v>-9000</v>
      </c>
      <c r="K88" s="7"/>
      <c r="V88" s="5">
        <f t="shared" si="5"/>
        <v>0</v>
      </c>
      <c r="W88" s="5">
        <f t="shared" si="6"/>
        <v>1</v>
      </c>
    </row>
    <row r="89" spans="1:23" s="36" customFormat="1" x14ac:dyDescent="0.3">
      <c r="A89" s="6"/>
      <c r="B89" s="17">
        <f t="shared" si="7"/>
        <v>23</v>
      </c>
      <c r="C89" s="18">
        <v>44883</v>
      </c>
      <c r="D89" s="19" t="s">
        <v>18</v>
      </c>
      <c r="E89" s="19" t="s">
        <v>762</v>
      </c>
      <c r="F89" s="35">
        <v>1960</v>
      </c>
      <c r="G89" s="97">
        <v>1964</v>
      </c>
      <c r="H89" s="35">
        <v>4</v>
      </c>
      <c r="I89" s="20">
        <v>400</v>
      </c>
      <c r="J89" s="21">
        <f t="shared" si="8"/>
        <v>1600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>
        <v>44886</v>
      </c>
      <c r="D90" s="19" t="s">
        <v>18</v>
      </c>
      <c r="E90" s="19" t="s">
        <v>70</v>
      </c>
      <c r="F90" s="35">
        <v>864</v>
      </c>
      <c r="G90" s="97">
        <v>871</v>
      </c>
      <c r="H90" s="35">
        <f>871-864</f>
        <v>7</v>
      </c>
      <c r="I90" s="20">
        <v>1200</v>
      </c>
      <c r="J90" s="21">
        <f t="shared" si="8"/>
        <v>8400</v>
      </c>
      <c r="K90" s="7"/>
      <c r="V90" s="5">
        <f t="shared" si="5"/>
        <v>1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>
        <v>44886</v>
      </c>
      <c r="D91" s="19" t="s">
        <v>18</v>
      </c>
      <c r="E91" s="19" t="s">
        <v>545</v>
      </c>
      <c r="F91" s="35">
        <v>2635</v>
      </c>
      <c r="G91" s="97">
        <v>2666</v>
      </c>
      <c r="H91" s="35">
        <v>31</v>
      </c>
      <c r="I91" s="20">
        <v>475</v>
      </c>
      <c r="J91" s="21">
        <f>I90*H90</f>
        <v>8400</v>
      </c>
      <c r="K91" s="7"/>
      <c r="V91" s="5">
        <f t="shared" si="5"/>
        <v>1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>
        <v>44887</v>
      </c>
      <c r="D92" s="19" t="s">
        <v>18</v>
      </c>
      <c r="E92" s="19" t="s">
        <v>706</v>
      </c>
      <c r="F92" s="35">
        <v>434</v>
      </c>
      <c r="G92" s="97">
        <v>438</v>
      </c>
      <c r="H92" s="35">
        <f>8</f>
        <v>8</v>
      </c>
      <c r="I92" s="20">
        <v>1075</v>
      </c>
      <c r="J92" s="21">
        <f>I91*H91</f>
        <v>14725</v>
      </c>
      <c r="K92" s="7"/>
      <c r="V92" s="5">
        <f t="shared" si="5"/>
        <v>1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>
        <v>44888</v>
      </c>
      <c r="D93" s="19" t="s">
        <v>18</v>
      </c>
      <c r="E93" s="19" t="s">
        <v>376</v>
      </c>
      <c r="F93" s="35">
        <v>1950</v>
      </c>
      <c r="G93" s="97">
        <v>1955</v>
      </c>
      <c r="H93" s="35">
        <v>5</v>
      </c>
      <c r="I93" s="20">
        <v>400</v>
      </c>
      <c r="J93" s="21">
        <f t="shared" si="8"/>
        <v>2000</v>
      </c>
      <c r="K93" s="7"/>
      <c r="V93" s="5">
        <f t="shared" si="5"/>
        <v>1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>
        <v>44888</v>
      </c>
      <c r="D94" s="19" t="s">
        <v>69</v>
      </c>
      <c r="E94" s="19" t="s">
        <v>305</v>
      </c>
      <c r="F94" s="35">
        <v>3625</v>
      </c>
      <c r="G94" s="97">
        <v>3605</v>
      </c>
      <c r="H94" s="35">
        <v>20</v>
      </c>
      <c r="I94" s="20">
        <v>250</v>
      </c>
      <c r="J94" s="21">
        <f t="shared" si="8"/>
        <v>5000</v>
      </c>
      <c r="K94" s="7"/>
      <c r="V94" s="5">
        <f t="shared" si="5"/>
        <v>1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>
        <v>44889</v>
      </c>
      <c r="D95" s="19" t="s">
        <v>69</v>
      </c>
      <c r="E95" s="19" t="s">
        <v>558</v>
      </c>
      <c r="F95" s="35">
        <v>236</v>
      </c>
      <c r="G95" s="97">
        <v>233</v>
      </c>
      <c r="H95" s="35">
        <v>3</v>
      </c>
      <c r="I95" s="20">
        <v>2900</v>
      </c>
      <c r="J95" s="21">
        <f t="shared" si="8"/>
        <v>8700</v>
      </c>
      <c r="K95" s="7"/>
      <c r="V95" s="5">
        <f t="shared" si="5"/>
        <v>1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>
        <v>44890</v>
      </c>
      <c r="D96" s="19" t="s">
        <v>18</v>
      </c>
      <c r="E96" s="19" t="s">
        <v>237</v>
      </c>
      <c r="F96" s="35">
        <v>4440</v>
      </c>
      <c r="G96" s="97">
        <v>4470</v>
      </c>
      <c r="H96" s="35">
        <v>30</v>
      </c>
      <c r="I96" s="20">
        <v>125</v>
      </c>
      <c r="J96" s="21">
        <f t="shared" si="8"/>
        <v>3750</v>
      </c>
      <c r="K96" s="7"/>
      <c r="V96" s="5">
        <f t="shared" si="5"/>
        <v>1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>
        <v>44890</v>
      </c>
      <c r="D97" s="19" t="s">
        <v>69</v>
      </c>
      <c r="E97" s="19" t="s">
        <v>397</v>
      </c>
      <c r="F97" s="35">
        <v>530</v>
      </c>
      <c r="G97" s="97">
        <v>522.6</v>
      </c>
      <c r="H97" s="35">
        <f>530-522.6</f>
        <v>7.3999999999999773</v>
      </c>
      <c r="I97" s="20">
        <v>1250</v>
      </c>
      <c r="J97" s="21">
        <f t="shared" si="8"/>
        <v>9249.9999999999709</v>
      </c>
      <c r="K97" s="7"/>
      <c r="V97" s="5">
        <f t="shared" si="5"/>
        <v>1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>
        <v>44893</v>
      </c>
      <c r="D98" s="19" t="s">
        <v>18</v>
      </c>
      <c r="E98" s="19" t="s">
        <v>249</v>
      </c>
      <c r="F98" s="35">
        <v>6980</v>
      </c>
      <c r="G98" s="97">
        <v>6940</v>
      </c>
      <c r="H98" s="35">
        <v>-40</v>
      </c>
      <c r="I98" s="20">
        <v>100</v>
      </c>
      <c r="J98" s="21">
        <f t="shared" si="8"/>
        <v>-4000</v>
      </c>
      <c r="K98" s="7"/>
      <c r="V98" s="5">
        <f t="shared" si="5"/>
        <v>0</v>
      </c>
      <c r="W98" s="5">
        <f t="shared" si="6"/>
        <v>1</v>
      </c>
    </row>
    <row r="99" spans="1:23" s="36" customFormat="1" x14ac:dyDescent="0.3">
      <c r="A99" s="6"/>
      <c r="B99" s="17">
        <f t="shared" si="7"/>
        <v>33</v>
      </c>
      <c r="C99" s="18">
        <v>44894</v>
      </c>
      <c r="D99" s="19" t="s">
        <v>18</v>
      </c>
      <c r="E99" s="19" t="s">
        <v>776</v>
      </c>
      <c r="F99" s="35">
        <v>3060</v>
      </c>
      <c r="G99" s="97">
        <v>3083</v>
      </c>
      <c r="H99" s="35">
        <v>23</v>
      </c>
      <c r="I99" s="20">
        <v>250</v>
      </c>
      <c r="J99" s="21">
        <f t="shared" si="8"/>
        <v>5750</v>
      </c>
      <c r="K99" s="7"/>
      <c r="V99" s="5">
        <f t="shared" si="5"/>
        <v>1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>
        <v>44895</v>
      </c>
      <c r="D100" s="19" t="s">
        <v>18</v>
      </c>
      <c r="E100" s="19" t="s">
        <v>254</v>
      </c>
      <c r="F100" s="35">
        <v>404</v>
      </c>
      <c r="G100" s="97">
        <v>405.6</v>
      </c>
      <c r="H100" s="35">
        <v>1.6</v>
      </c>
      <c r="I100" s="20">
        <v>1650</v>
      </c>
      <c r="J100" s="21">
        <f t="shared" si="8"/>
        <v>2640</v>
      </c>
      <c r="K100" s="7"/>
      <c r="V100" s="5">
        <f t="shared" si="5"/>
        <v>1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ht="15" thickBot="1" x14ac:dyDescent="0.35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ht="15" hidden="1" thickBot="1" x14ac:dyDescent="0.35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t="15" hidden="1" thickBot="1" x14ac:dyDescent="0.35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t="15" hidden="1" thickBot="1" x14ac:dyDescent="0.35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t="15" hidden="1" thickBot="1" x14ac:dyDescent="0.35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t="15" hidden="1" thickBot="1" x14ac:dyDescent="0.35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t="15" hidden="1" thickBot="1" x14ac:dyDescent="0.35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t="15" hidden="1" thickBot="1" x14ac:dyDescent="0.35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t="15" hidden="1" thickBot="1" x14ac:dyDescent="0.35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t="15" hidden="1" thickBot="1" x14ac:dyDescent="0.35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t="15" hidden="1" thickBot="1" x14ac:dyDescent="0.35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hidden="1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15" hidden="1" thickBot="1" x14ac:dyDescent="0.35">
      <c r="A121" s="6"/>
      <c r="B121" s="17">
        <f t="shared" si="7"/>
        <v>51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52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15" hidden="1" thickBot="1" x14ac:dyDescent="0.35">
      <c r="A123" s="6"/>
      <c r="B123" s="17">
        <f t="shared" si="7"/>
        <v>53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hidden="1" thickBot="1" x14ac:dyDescent="0.35">
      <c r="A124" s="6"/>
      <c r="B124" s="17">
        <f t="shared" si="7"/>
        <v>54</v>
      </c>
      <c r="C124" s="18"/>
      <c r="D124" s="19"/>
      <c r="E124" s="19"/>
      <c r="F124" s="35"/>
      <c r="G124" s="35"/>
      <c r="H124" s="35"/>
      <c r="I124" s="20"/>
      <c r="J124" s="21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15" hidden="1" thickBot="1" x14ac:dyDescent="0.35">
      <c r="A125" s="6"/>
      <c r="B125" s="17">
        <f t="shared" si="7"/>
        <v>55</v>
      </c>
      <c r="C125" s="18"/>
      <c r="D125" s="19"/>
      <c r="E125" s="19"/>
      <c r="F125" s="35"/>
      <c r="G125" s="35"/>
      <c r="H125" s="35"/>
      <c r="I125" s="20"/>
      <c r="J125" s="21">
        <f t="shared" si="8"/>
        <v>0</v>
      </c>
      <c r="K125" s="7"/>
      <c r="V125" s="5">
        <f t="shared" si="5"/>
        <v>0</v>
      </c>
      <c r="W125" s="5">
        <f t="shared" si="6"/>
        <v>0</v>
      </c>
    </row>
    <row r="126" spans="1:23" s="36" customFormat="1" ht="15" hidden="1" thickBot="1" x14ac:dyDescent="0.35">
      <c r="A126" s="6"/>
      <c r="B126" s="17">
        <f t="shared" si="7"/>
        <v>56</v>
      </c>
      <c r="C126" s="18"/>
      <c r="D126" s="19"/>
      <c r="E126" s="19"/>
      <c r="F126" s="35"/>
      <c r="G126" s="35"/>
      <c r="H126" s="35"/>
      <c r="I126" s="20"/>
      <c r="J126" s="21">
        <f t="shared" si="8"/>
        <v>0</v>
      </c>
      <c r="K126" s="7"/>
      <c r="V126" s="5">
        <f t="shared" si="5"/>
        <v>0</v>
      </c>
      <c r="W126" s="5">
        <f t="shared" si="6"/>
        <v>0</v>
      </c>
    </row>
    <row r="127" spans="1:23" s="36" customFormat="1" ht="15" hidden="1" thickBot="1" x14ac:dyDescent="0.35">
      <c r="A127" s="6"/>
      <c r="B127" s="17">
        <f t="shared" si="7"/>
        <v>57</v>
      </c>
      <c r="C127" s="18"/>
      <c r="D127" s="19"/>
      <c r="E127" s="19"/>
      <c r="F127" s="35"/>
      <c r="G127" s="35"/>
      <c r="H127" s="35"/>
      <c r="I127" s="20"/>
      <c r="J127" s="21">
        <f t="shared" si="8"/>
        <v>0</v>
      </c>
      <c r="K127" s="7"/>
      <c r="V127" s="5">
        <f t="shared" si="5"/>
        <v>0</v>
      </c>
      <c r="W127" s="5">
        <f t="shared" si="6"/>
        <v>0</v>
      </c>
    </row>
    <row r="128" spans="1:23" s="36" customFormat="1" ht="15" hidden="1" thickBot="1" x14ac:dyDescent="0.35">
      <c r="A128" s="6"/>
      <c r="B128" s="17">
        <f t="shared" si="7"/>
        <v>58</v>
      </c>
      <c r="C128" s="79"/>
      <c r="D128" s="80"/>
      <c r="E128" s="80"/>
      <c r="F128" s="81"/>
      <c r="G128" s="81"/>
      <c r="H128" s="80"/>
      <c r="I128" s="81"/>
      <c r="J128" s="82">
        <f t="shared" si="8"/>
        <v>0</v>
      </c>
      <c r="K128" s="7"/>
      <c r="V128" s="5">
        <f t="shared" si="5"/>
        <v>0</v>
      </c>
      <c r="W128" s="5">
        <f t="shared" si="6"/>
        <v>0</v>
      </c>
    </row>
    <row r="129" spans="1:23" s="36" customFormat="1" ht="24" thickBot="1" x14ac:dyDescent="0.5">
      <c r="A129" s="6"/>
      <c r="B129" s="144" t="s">
        <v>22</v>
      </c>
      <c r="C129" s="145"/>
      <c r="D129" s="145"/>
      <c r="E129" s="145"/>
      <c r="F129" s="145"/>
      <c r="G129" s="145"/>
      <c r="H129" s="146"/>
      <c r="I129" s="83" t="s">
        <v>23</v>
      </c>
      <c r="J129" s="84">
        <f>SUM(J67:J128)</f>
        <v>166619.99999999994</v>
      </c>
      <c r="K129" s="7"/>
      <c r="L129" s="5"/>
      <c r="M129" s="5"/>
      <c r="N129" s="5"/>
      <c r="O129" s="5"/>
      <c r="P129" s="5"/>
      <c r="Q129" s="5"/>
      <c r="R129" s="5"/>
      <c r="V129" s="36">
        <f>SUM(V67:V128)</f>
        <v>31</v>
      </c>
      <c r="W129" s="36">
        <f>SUM(W67:W128)</f>
        <v>3</v>
      </c>
    </row>
    <row r="130" spans="1:23" s="36" customFormat="1" ht="30" customHeight="1" thickBot="1" x14ac:dyDescent="0.35">
      <c r="A130" s="30"/>
      <c r="B130" s="31"/>
      <c r="C130" s="31"/>
      <c r="D130" s="31"/>
      <c r="E130" s="31"/>
      <c r="F130" s="31"/>
      <c r="G130" s="31"/>
      <c r="H130" s="32"/>
      <c r="I130" s="31"/>
      <c r="J130" s="32"/>
      <c r="K130" s="33"/>
      <c r="L130" s="5"/>
      <c r="M130" s="5"/>
      <c r="N130" s="5"/>
      <c r="O130" s="5"/>
      <c r="P130" s="5"/>
      <c r="Q130" s="5"/>
      <c r="R130" s="5"/>
    </row>
    <row r="131" spans="1:23" ht="15" thickBot="1" x14ac:dyDescent="0.35"/>
    <row r="132" spans="1:23" s="36" customFormat="1" ht="30" customHeight="1" thickBot="1" x14ac:dyDescent="0.35">
      <c r="A132" s="1"/>
      <c r="B132" s="2"/>
      <c r="C132" s="2"/>
      <c r="D132" s="2"/>
      <c r="E132" s="2"/>
      <c r="F132" s="2"/>
      <c r="G132" s="2"/>
      <c r="H132" s="3"/>
      <c r="I132" s="2"/>
      <c r="J132" s="3"/>
      <c r="K132" s="4"/>
    </row>
    <row r="133" spans="1:23" s="36" customFormat="1" ht="25.2" thickBot="1" x14ac:dyDescent="0.35">
      <c r="A133" s="6" t="s">
        <v>1</v>
      </c>
      <c r="B133" s="119" t="s">
        <v>2</v>
      </c>
      <c r="C133" s="120"/>
      <c r="D133" s="120"/>
      <c r="E133" s="120"/>
      <c r="F133" s="120"/>
      <c r="G133" s="120"/>
      <c r="H133" s="120"/>
      <c r="I133" s="120"/>
      <c r="J133" s="121"/>
      <c r="K133" s="7"/>
    </row>
    <row r="134" spans="1:23" s="36" customFormat="1" ht="16.2" thickBot="1" x14ac:dyDescent="0.35">
      <c r="A134" s="6"/>
      <c r="B134" s="216">
        <v>44866</v>
      </c>
      <c r="C134" s="169"/>
      <c r="D134" s="169"/>
      <c r="E134" s="169"/>
      <c r="F134" s="169"/>
      <c r="G134" s="169"/>
      <c r="H134" s="169"/>
      <c r="I134" s="169"/>
      <c r="J134" s="170"/>
      <c r="K134" s="7"/>
      <c r="L134" s="22"/>
    </row>
    <row r="135" spans="1:23" s="36" customFormat="1" ht="16.2" thickBot="1" x14ac:dyDescent="0.35">
      <c r="A135" s="6"/>
      <c r="B135" s="106" t="s">
        <v>699</v>
      </c>
      <c r="C135" s="107"/>
      <c r="D135" s="107"/>
      <c r="E135" s="107"/>
      <c r="F135" s="107"/>
      <c r="G135" s="107"/>
      <c r="H135" s="107"/>
      <c r="I135" s="107"/>
      <c r="J135" s="108"/>
      <c r="K135" s="7"/>
    </row>
    <row r="136" spans="1:23" s="22" customFormat="1" ht="15" thickBot="1" x14ac:dyDescent="0.35">
      <c r="A136" s="69"/>
      <c r="B136" s="70" t="s">
        <v>9</v>
      </c>
      <c r="C136" s="71" t="s">
        <v>10</v>
      </c>
      <c r="D136" s="72" t="s">
        <v>11</v>
      </c>
      <c r="E136" s="72" t="s">
        <v>12</v>
      </c>
      <c r="F136" s="73" t="s">
        <v>65</v>
      </c>
      <c r="G136" s="73" t="s">
        <v>66</v>
      </c>
      <c r="H136" s="74" t="s">
        <v>67</v>
      </c>
      <c r="I136" s="73" t="s">
        <v>68</v>
      </c>
      <c r="J136" s="75" t="s">
        <v>17</v>
      </c>
      <c r="K136" s="76"/>
      <c r="L136" s="36"/>
      <c r="M136" s="36"/>
      <c r="N136" s="36"/>
      <c r="O136" s="36" t="s">
        <v>21</v>
      </c>
      <c r="P136" s="36"/>
      <c r="Q136" s="36"/>
      <c r="R136" s="36"/>
      <c r="V136" s="5" t="s">
        <v>5</v>
      </c>
      <c r="W136" s="5" t="s">
        <v>6</v>
      </c>
    </row>
    <row r="137" spans="1:23" s="36" customFormat="1" x14ac:dyDescent="0.3">
      <c r="A137" s="6"/>
      <c r="B137" s="14">
        <v>1</v>
      </c>
      <c r="C137" s="93">
        <v>44866</v>
      </c>
      <c r="D137" s="94" t="s">
        <v>18</v>
      </c>
      <c r="E137" s="94" t="s">
        <v>528</v>
      </c>
      <c r="F137" s="60">
        <v>100</v>
      </c>
      <c r="G137" s="60">
        <v>135</v>
      </c>
      <c r="H137" s="60">
        <v>35</v>
      </c>
      <c r="I137" s="15">
        <v>300</v>
      </c>
      <c r="J137" s="16">
        <f t="shared" ref="J137:J182" si="9">I137*H137</f>
        <v>10500</v>
      </c>
      <c r="K137" s="7"/>
      <c r="V137" s="5">
        <f t="shared" ref="V137:V182" si="10">IF($J137&gt;0,1,0)</f>
        <v>1</v>
      </c>
      <c r="W137" s="5">
        <f t="shared" ref="W137:W182" si="11">IF($J137&lt;0,1,0)</f>
        <v>0</v>
      </c>
    </row>
    <row r="138" spans="1:23" s="36" customFormat="1" x14ac:dyDescent="0.3">
      <c r="A138" s="6"/>
      <c r="B138" s="17">
        <f>B137+1</f>
        <v>2</v>
      </c>
      <c r="C138" s="18">
        <v>44866</v>
      </c>
      <c r="D138" s="19" t="s">
        <v>18</v>
      </c>
      <c r="E138" s="19" t="s">
        <v>528</v>
      </c>
      <c r="F138" s="35">
        <v>120</v>
      </c>
      <c r="G138" s="35">
        <v>126</v>
      </c>
      <c r="H138" s="35">
        <v>6</v>
      </c>
      <c r="I138" s="20">
        <v>300</v>
      </c>
      <c r="J138" s="21">
        <f t="shared" si="9"/>
        <v>1800</v>
      </c>
      <c r="K138" s="7"/>
      <c r="L138" s="36" t="s">
        <v>21</v>
      </c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ref="B139:B159" si="12">B138+1</f>
        <v>3</v>
      </c>
      <c r="C139" s="18">
        <v>44867</v>
      </c>
      <c r="D139" s="19" t="s">
        <v>18</v>
      </c>
      <c r="E139" s="19" t="s">
        <v>747</v>
      </c>
      <c r="F139" s="35">
        <v>100</v>
      </c>
      <c r="G139" s="35">
        <v>127</v>
      </c>
      <c r="H139" s="35">
        <v>27</v>
      </c>
      <c r="I139" s="20">
        <v>300</v>
      </c>
      <c r="J139" s="21">
        <f t="shared" si="9"/>
        <v>8100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4</v>
      </c>
      <c r="C140" s="18">
        <v>44867</v>
      </c>
      <c r="D140" s="19" t="s">
        <v>18</v>
      </c>
      <c r="E140" s="19" t="s">
        <v>541</v>
      </c>
      <c r="F140" s="35">
        <v>80</v>
      </c>
      <c r="G140" s="35">
        <v>95</v>
      </c>
      <c r="H140" s="35">
        <v>15</v>
      </c>
      <c r="I140" s="20">
        <v>300</v>
      </c>
      <c r="J140" s="21">
        <f t="shared" si="9"/>
        <v>4500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5</v>
      </c>
      <c r="C141" s="18">
        <v>44868</v>
      </c>
      <c r="D141" s="19" t="s">
        <v>18</v>
      </c>
      <c r="E141" s="19" t="s">
        <v>526</v>
      </c>
      <c r="F141" s="35">
        <v>90</v>
      </c>
      <c r="G141" s="35">
        <v>110</v>
      </c>
      <c r="H141" s="35">
        <v>20</v>
      </c>
      <c r="I141" s="20">
        <v>300</v>
      </c>
      <c r="J141" s="21">
        <f t="shared" si="9"/>
        <v>6000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6</v>
      </c>
      <c r="C142" s="18">
        <v>44868</v>
      </c>
      <c r="D142" s="19" t="s">
        <v>18</v>
      </c>
      <c r="E142" s="19" t="s">
        <v>747</v>
      </c>
      <c r="F142" s="20">
        <v>110</v>
      </c>
      <c r="G142" s="35">
        <v>145</v>
      </c>
      <c r="H142" s="35">
        <v>35</v>
      </c>
      <c r="I142" s="20">
        <v>300</v>
      </c>
      <c r="J142" s="21">
        <f t="shared" si="9"/>
        <v>10500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7</v>
      </c>
      <c r="C143" s="18">
        <v>44869</v>
      </c>
      <c r="D143" s="19" t="s">
        <v>18</v>
      </c>
      <c r="E143" s="19" t="s">
        <v>528</v>
      </c>
      <c r="F143" s="35">
        <v>110</v>
      </c>
      <c r="G143" s="35">
        <v>145</v>
      </c>
      <c r="H143" s="35">
        <f>145-110</f>
        <v>35</v>
      </c>
      <c r="I143" s="20">
        <v>300</v>
      </c>
      <c r="J143" s="21">
        <f t="shared" si="9"/>
        <v>10500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8</v>
      </c>
      <c r="C144" s="18">
        <v>44869</v>
      </c>
      <c r="D144" s="19" t="s">
        <v>18</v>
      </c>
      <c r="E144" s="19" t="s">
        <v>539</v>
      </c>
      <c r="F144" s="35">
        <v>85</v>
      </c>
      <c r="G144" s="35">
        <v>115</v>
      </c>
      <c r="H144" s="35">
        <f>115-85</f>
        <v>30</v>
      </c>
      <c r="I144" s="20">
        <v>300</v>
      </c>
      <c r="J144" s="21">
        <f t="shared" si="9"/>
        <v>9000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9</v>
      </c>
      <c r="C145" s="18">
        <v>44872</v>
      </c>
      <c r="D145" s="19" t="s">
        <v>18</v>
      </c>
      <c r="E145" s="19" t="s">
        <v>750</v>
      </c>
      <c r="F145" s="35">
        <v>110</v>
      </c>
      <c r="G145" s="35">
        <v>145</v>
      </c>
      <c r="H145" s="35">
        <f>145-110</f>
        <v>35</v>
      </c>
      <c r="I145" s="20">
        <v>300</v>
      </c>
      <c r="J145" s="21">
        <f t="shared" si="9"/>
        <v>10500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10</v>
      </c>
      <c r="C146" s="18">
        <v>44872</v>
      </c>
      <c r="D146" s="19" t="s">
        <v>18</v>
      </c>
      <c r="E146" s="19" t="s">
        <v>536</v>
      </c>
      <c r="F146" s="35">
        <v>120</v>
      </c>
      <c r="G146" s="35">
        <v>155</v>
      </c>
      <c r="H146" s="35">
        <f>155-120</f>
        <v>35</v>
      </c>
      <c r="I146" s="20">
        <v>300</v>
      </c>
      <c r="J146" s="21">
        <f t="shared" si="9"/>
        <v>10500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11</v>
      </c>
      <c r="C147" s="18">
        <v>44874</v>
      </c>
      <c r="D147" s="19" t="s">
        <v>18</v>
      </c>
      <c r="E147" s="19" t="s">
        <v>535</v>
      </c>
      <c r="F147" s="19">
        <v>100</v>
      </c>
      <c r="G147" s="35">
        <v>135</v>
      </c>
      <c r="H147" s="35">
        <v>35</v>
      </c>
      <c r="I147" s="20">
        <v>300</v>
      </c>
      <c r="J147" s="21">
        <f t="shared" si="9"/>
        <v>10500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12</v>
      </c>
      <c r="C148" s="18">
        <v>44874</v>
      </c>
      <c r="D148" s="19" t="s">
        <v>18</v>
      </c>
      <c r="E148" s="19" t="s">
        <v>750</v>
      </c>
      <c r="F148" s="35">
        <v>100</v>
      </c>
      <c r="G148" s="35">
        <v>4</v>
      </c>
      <c r="H148" s="35">
        <v>35</v>
      </c>
      <c r="I148" s="20">
        <v>300</v>
      </c>
      <c r="J148" s="21">
        <f t="shared" si="9"/>
        <v>10500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13</v>
      </c>
      <c r="C149" s="18">
        <v>44875</v>
      </c>
      <c r="D149" s="19" t="s">
        <v>18</v>
      </c>
      <c r="E149" s="19" t="s">
        <v>747</v>
      </c>
      <c r="F149" s="35">
        <v>110</v>
      </c>
      <c r="G149" s="35">
        <v>139</v>
      </c>
      <c r="H149" s="35">
        <f>139-110</f>
        <v>29</v>
      </c>
      <c r="I149" s="20">
        <v>300</v>
      </c>
      <c r="J149" s="21">
        <f t="shared" si="9"/>
        <v>8700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14</v>
      </c>
      <c r="C150" s="18">
        <v>44875</v>
      </c>
      <c r="D150" s="19" t="s">
        <v>18</v>
      </c>
      <c r="E150" s="19" t="s">
        <v>747</v>
      </c>
      <c r="F150" s="77">
        <v>115</v>
      </c>
      <c r="G150" s="35">
        <v>130</v>
      </c>
      <c r="H150" s="78">
        <v>15</v>
      </c>
      <c r="I150" s="20">
        <v>300</v>
      </c>
      <c r="J150" s="21">
        <f t="shared" si="9"/>
        <v>4500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15</v>
      </c>
      <c r="C151" s="18">
        <v>44876</v>
      </c>
      <c r="D151" s="19" t="s">
        <v>18</v>
      </c>
      <c r="E151" s="19" t="s">
        <v>620</v>
      </c>
      <c r="F151" s="35">
        <v>110</v>
      </c>
      <c r="G151" s="35">
        <v>90</v>
      </c>
      <c r="H151" s="78">
        <v>-20</v>
      </c>
      <c r="I151" s="20">
        <v>300</v>
      </c>
      <c r="J151" s="21">
        <f t="shared" si="9"/>
        <v>-6000</v>
      </c>
      <c r="K151" s="7"/>
      <c r="V151" s="5">
        <f t="shared" si="10"/>
        <v>0</v>
      </c>
      <c r="W151" s="5">
        <f t="shared" si="11"/>
        <v>1</v>
      </c>
    </row>
    <row r="152" spans="1:23" s="36" customFormat="1" x14ac:dyDescent="0.3">
      <c r="A152" s="6"/>
      <c r="B152" s="17">
        <f t="shared" si="12"/>
        <v>16</v>
      </c>
      <c r="C152" s="18">
        <v>44876</v>
      </c>
      <c r="D152" s="19" t="s">
        <v>18</v>
      </c>
      <c r="E152" s="19" t="s">
        <v>620</v>
      </c>
      <c r="F152" s="35">
        <v>110</v>
      </c>
      <c r="G152" s="35">
        <v>133</v>
      </c>
      <c r="H152" s="78">
        <f>133-110</f>
        <v>23</v>
      </c>
      <c r="I152" s="20">
        <v>300</v>
      </c>
      <c r="J152" s="21">
        <f t="shared" si="9"/>
        <v>6900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17</v>
      </c>
      <c r="C153" s="18">
        <v>44879</v>
      </c>
      <c r="D153" s="19" t="s">
        <v>18</v>
      </c>
      <c r="E153" s="19" t="s">
        <v>620</v>
      </c>
      <c r="F153" s="35">
        <v>115</v>
      </c>
      <c r="G153" s="35">
        <v>130</v>
      </c>
      <c r="H153" s="78">
        <v>15</v>
      </c>
      <c r="I153" s="20">
        <v>300</v>
      </c>
      <c r="J153" s="21">
        <f t="shared" si="9"/>
        <v>4500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2"/>
        <v>18</v>
      </c>
      <c r="C154" s="18">
        <v>44879</v>
      </c>
      <c r="D154" s="19" t="s">
        <v>18</v>
      </c>
      <c r="E154" s="19" t="s">
        <v>763</v>
      </c>
      <c r="F154" s="35">
        <v>115</v>
      </c>
      <c r="G154" s="35">
        <v>121.2</v>
      </c>
      <c r="H154" s="78">
        <f>121.2-115</f>
        <v>6.2000000000000028</v>
      </c>
      <c r="I154" s="20">
        <v>300</v>
      </c>
      <c r="J154" s="21">
        <f t="shared" si="9"/>
        <v>1860.0000000000009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2"/>
        <v>19</v>
      </c>
      <c r="C155" s="18">
        <v>44880</v>
      </c>
      <c r="D155" s="19" t="s">
        <v>18</v>
      </c>
      <c r="E155" s="19" t="s">
        <v>763</v>
      </c>
      <c r="F155" s="35">
        <v>100</v>
      </c>
      <c r="G155" s="35">
        <v>135</v>
      </c>
      <c r="H155" s="78">
        <f>135-100</f>
        <v>35</v>
      </c>
      <c r="I155" s="20">
        <v>300</v>
      </c>
      <c r="J155" s="21">
        <f t="shared" si="9"/>
        <v>10500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2"/>
        <v>20</v>
      </c>
      <c r="C156" s="18">
        <v>44881</v>
      </c>
      <c r="D156" s="19" t="s">
        <v>18</v>
      </c>
      <c r="E156" s="19" t="s">
        <v>620</v>
      </c>
      <c r="F156" s="35">
        <v>115</v>
      </c>
      <c r="G156" s="35">
        <v>127.9</v>
      </c>
      <c r="H156" s="35">
        <f>127.9-115</f>
        <v>12.900000000000006</v>
      </c>
      <c r="I156" s="20">
        <v>300</v>
      </c>
      <c r="J156" s="21">
        <f t="shared" si="9"/>
        <v>3870.0000000000018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2"/>
        <v>21</v>
      </c>
      <c r="C157" s="18">
        <v>44881</v>
      </c>
      <c r="D157" s="19" t="s">
        <v>18</v>
      </c>
      <c r="E157" s="19" t="s">
        <v>532</v>
      </c>
      <c r="F157" s="35">
        <v>110</v>
      </c>
      <c r="G157" s="35">
        <v>116</v>
      </c>
      <c r="H157" s="35">
        <v>6</v>
      </c>
      <c r="I157" s="20">
        <v>300</v>
      </c>
      <c r="J157" s="21">
        <f t="shared" si="9"/>
        <v>1800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2"/>
        <v>22</v>
      </c>
      <c r="C158" s="18">
        <v>44882</v>
      </c>
      <c r="D158" s="19" t="s">
        <v>18</v>
      </c>
      <c r="E158" s="19" t="s">
        <v>540</v>
      </c>
      <c r="F158" s="35">
        <v>85</v>
      </c>
      <c r="G158" s="35">
        <v>115</v>
      </c>
      <c r="H158" s="35">
        <f>115-85</f>
        <v>30</v>
      </c>
      <c r="I158" s="20">
        <v>300</v>
      </c>
      <c r="J158" s="21">
        <f t="shared" si="9"/>
        <v>9000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2"/>
        <v>23</v>
      </c>
      <c r="C159" s="18">
        <v>44882</v>
      </c>
      <c r="D159" s="19" t="s">
        <v>18</v>
      </c>
      <c r="E159" s="19" t="s">
        <v>529</v>
      </c>
      <c r="F159" s="35">
        <v>125</v>
      </c>
      <c r="G159" s="35">
        <v>160</v>
      </c>
      <c r="H159" s="35">
        <f>160-125</f>
        <v>35</v>
      </c>
      <c r="I159" s="20">
        <v>300</v>
      </c>
      <c r="J159" s="21">
        <f t="shared" si="9"/>
        <v>10500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>B159+1</f>
        <v>24</v>
      </c>
      <c r="C160" s="18">
        <v>44883</v>
      </c>
      <c r="D160" s="19" t="s">
        <v>18</v>
      </c>
      <c r="E160" s="19" t="s">
        <v>535</v>
      </c>
      <c r="F160" s="35">
        <v>125</v>
      </c>
      <c r="G160" s="35">
        <v>105</v>
      </c>
      <c r="H160" s="35">
        <v>-20</v>
      </c>
      <c r="I160" s="20">
        <v>300</v>
      </c>
      <c r="J160" s="21">
        <f t="shared" si="9"/>
        <v>-6000</v>
      </c>
      <c r="K160" s="7"/>
      <c r="V160" s="5">
        <f t="shared" si="10"/>
        <v>0</v>
      </c>
      <c r="W160" s="5">
        <f t="shared" si="11"/>
        <v>1</v>
      </c>
    </row>
    <row r="161" spans="1:23" s="36" customFormat="1" x14ac:dyDescent="0.3">
      <c r="A161" s="6"/>
      <c r="B161" s="17">
        <f t="shared" ref="B161:B182" si="13">B160+1</f>
        <v>25</v>
      </c>
      <c r="C161" s="18">
        <v>44883</v>
      </c>
      <c r="D161" s="19" t="s">
        <v>18</v>
      </c>
      <c r="E161" s="19" t="s">
        <v>764</v>
      </c>
      <c r="F161" s="35">
        <v>100</v>
      </c>
      <c r="G161" s="35">
        <v>135</v>
      </c>
      <c r="H161" s="35">
        <v>35</v>
      </c>
      <c r="I161" s="20">
        <v>300</v>
      </c>
      <c r="J161" s="21">
        <f t="shared" si="9"/>
        <v>10500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26</v>
      </c>
      <c r="C162" s="18">
        <v>44883</v>
      </c>
      <c r="D162" s="19" t="s">
        <v>18</v>
      </c>
      <c r="E162" s="19" t="s">
        <v>535</v>
      </c>
      <c r="F162" s="35">
        <v>120</v>
      </c>
      <c r="G162" s="35">
        <v>133</v>
      </c>
      <c r="H162" s="35">
        <v>13</v>
      </c>
      <c r="I162" s="20">
        <v>300</v>
      </c>
      <c r="J162" s="21">
        <f t="shared" si="9"/>
        <v>3900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27</v>
      </c>
      <c r="C163" s="18">
        <v>44886</v>
      </c>
      <c r="D163" s="19" t="s">
        <v>18</v>
      </c>
      <c r="E163" s="19" t="s">
        <v>750</v>
      </c>
      <c r="F163" s="35">
        <v>120</v>
      </c>
      <c r="G163" s="35">
        <v>140</v>
      </c>
      <c r="H163" s="35">
        <v>20</v>
      </c>
      <c r="I163" s="20">
        <v>300</v>
      </c>
      <c r="J163" s="21">
        <f t="shared" si="9"/>
        <v>6000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28</v>
      </c>
      <c r="C164" s="18">
        <v>44886</v>
      </c>
      <c r="D164" s="19" t="s">
        <v>18</v>
      </c>
      <c r="E164" s="19" t="s">
        <v>750</v>
      </c>
      <c r="F164" s="35">
        <v>110</v>
      </c>
      <c r="G164" s="35">
        <v>140</v>
      </c>
      <c r="H164" s="35">
        <v>30</v>
      </c>
      <c r="I164" s="20">
        <v>300</v>
      </c>
      <c r="J164" s="21">
        <f t="shared" si="9"/>
        <v>9000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3"/>
        <v>29</v>
      </c>
      <c r="C165" s="18">
        <v>44887</v>
      </c>
      <c r="D165" s="19" t="s">
        <v>18</v>
      </c>
      <c r="E165" s="19" t="s">
        <v>750</v>
      </c>
      <c r="F165" s="35">
        <v>105</v>
      </c>
      <c r="G165" s="35">
        <v>120</v>
      </c>
      <c r="H165" s="35">
        <v>15</v>
      </c>
      <c r="I165" s="20">
        <v>300</v>
      </c>
      <c r="J165" s="21">
        <f t="shared" si="9"/>
        <v>4500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3"/>
        <v>30</v>
      </c>
      <c r="C166" s="18">
        <v>44887</v>
      </c>
      <c r="D166" s="19" t="s">
        <v>18</v>
      </c>
      <c r="E166" s="19" t="s">
        <v>538</v>
      </c>
      <c r="F166" s="35">
        <v>95</v>
      </c>
      <c r="G166" s="35">
        <v>119</v>
      </c>
      <c r="H166" s="35">
        <f>119-95</f>
        <v>24</v>
      </c>
      <c r="I166" s="20">
        <v>300</v>
      </c>
      <c r="J166" s="21">
        <f t="shared" si="9"/>
        <v>7200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3"/>
        <v>31</v>
      </c>
      <c r="C167" s="18">
        <v>44888</v>
      </c>
      <c r="D167" s="19" t="s">
        <v>18</v>
      </c>
      <c r="E167" s="19" t="s">
        <v>763</v>
      </c>
      <c r="F167" s="35">
        <v>110</v>
      </c>
      <c r="G167" s="35">
        <v>125</v>
      </c>
      <c r="H167" s="35">
        <v>15</v>
      </c>
      <c r="I167" s="20">
        <v>300</v>
      </c>
      <c r="J167" s="21">
        <f t="shared" si="9"/>
        <v>4500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3"/>
        <v>32</v>
      </c>
      <c r="C168" s="18">
        <v>44888</v>
      </c>
      <c r="D168" s="19" t="s">
        <v>18</v>
      </c>
      <c r="E168" s="19" t="s">
        <v>538</v>
      </c>
      <c r="F168" s="35">
        <v>125</v>
      </c>
      <c r="G168" s="35">
        <v>146</v>
      </c>
      <c r="H168" s="35">
        <f>146-125</f>
        <v>21</v>
      </c>
      <c r="I168" s="20">
        <v>300</v>
      </c>
      <c r="J168" s="21">
        <f t="shared" si="9"/>
        <v>6300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3"/>
        <v>33</v>
      </c>
      <c r="C169" s="18">
        <v>44889</v>
      </c>
      <c r="D169" s="19" t="s">
        <v>18</v>
      </c>
      <c r="E169" s="19" t="s">
        <v>529</v>
      </c>
      <c r="F169" s="35">
        <v>90</v>
      </c>
      <c r="G169" s="35">
        <v>125</v>
      </c>
      <c r="H169" s="35">
        <f>125-90</f>
        <v>35</v>
      </c>
      <c r="I169" s="20">
        <v>300</v>
      </c>
      <c r="J169" s="21">
        <f t="shared" si="9"/>
        <v>10500</v>
      </c>
      <c r="K169" s="7"/>
      <c r="V169" s="5">
        <f t="shared" si="10"/>
        <v>1</v>
      </c>
      <c r="W169" s="5">
        <f t="shared" si="11"/>
        <v>0</v>
      </c>
    </row>
    <row r="170" spans="1:23" s="36" customFormat="1" x14ac:dyDescent="0.3">
      <c r="A170" s="6"/>
      <c r="B170" s="17">
        <f t="shared" si="13"/>
        <v>34</v>
      </c>
      <c r="C170" s="18">
        <v>44889</v>
      </c>
      <c r="D170" s="19" t="s">
        <v>18</v>
      </c>
      <c r="E170" s="19" t="s">
        <v>529</v>
      </c>
      <c r="F170" s="35">
        <v>125</v>
      </c>
      <c r="G170" s="35">
        <v>160</v>
      </c>
      <c r="H170" s="35">
        <f>160-125</f>
        <v>35</v>
      </c>
      <c r="I170" s="20">
        <v>300</v>
      </c>
      <c r="J170" s="21">
        <f t="shared" si="9"/>
        <v>10500</v>
      </c>
      <c r="K170" s="7"/>
      <c r="V170" s="5">
        <f t="shared" si="10"/>
        <v>1</v>
      </c>
      <c r="W170" s="5">
        <f t="shared" si="11"/>
        <v>0</v>
      </c>
    </row>
    <row r="171" spans="1:23" s="36" customFormat="1" x14ac:dyDescent="0.3">
      <c r="A171" s="6"/>
      <c r="B171" s="17">
        <f t="shared" si="13"/>
        <v>35</v>
      </c>
      <c r="C171" s="18">
        <v>44890</v>
      </c>
      <c r="D171" s="19" t="s">
        <v>18</v>
      </c>
      <c r="E171" s="19" t="s">
        <v>530</v>
      </c>
      <c r="F171" s="35">
        <v>100</v>
      </c>
      <c r="G171" s="35">
        <v>120</v>
      </c>
      <c r="H171" s="35">
        <v>20</v>
      </c>
      <c r="I171" s="20">
        <v>300</v>
      </c>
      <c r="J171" s="21">
        <f t="shared" si="9"/>
        <v>6000</v>
      </c>
      <c r="K171" s="7"/>
      <c r="V171" s="5">
        <f t="shared" si="10"/>
        <v>1</v>
      </c>
      <c r="W171" s="5">
        <f t="shared" si="11"/>
        <v>0</v>
      </c>
    </row>
    <row r="172" spans="1:23" s="36" customFormat="1" x14ac:dyDescent="0.3">
      <c r="A172" s="6"/>
      <c r="B172" s="17">
        <f t="shared" si="13"/>
        <v>36</v>
      </c>
      <c r="C172" s="18">
        <v>44890</v>
      </c>
      <c r="D172" s="19" t="s">
        <v>18</v>
      </c>
      <c r="E172" s="19" t="s">
        <v>770</v>
      </c>
      <c r="F172" s="35">
        <v>100</v>
      </c>
      <c r="G172" s="35">
        <v>110</v>
      </c>
      <c r="H172" s="35">
        <v>10</v>
      </c>
      <c r="I172" s="20">
        <v>300</v>
      </c>
      <c r="J172" s="21">
        <f t="shared" si="9"/>
        <v>3000</v>
      </c>
      <c r="K172" s="7"/>
      <c r="V172" s="5">
        <f t="shared" si="10"/>
        <v>1</v>
      </c>
      <c r="W172" s="5">
        <f t="shared" si="11"/>
        <v>0</v>
      </c>
    </row>
    <row r="173" spans="1:23" s="36" customFormat="1" x14ac:dyDescent="0.3">
      <c r="A173" s="6"/>
      <c r="B173" s="17">
        <f t="shared" si="13"/>
        <v>37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x14ac:dyDescent="0.3">
      <c r="A174" s="6"/>
      <c r="B174" s="17">
        <f t="shared" si="13"/>
        <v>38</v>
      </c>
      <c r="C174" s="18"/>
      <c r="D174" s="19"/>
      <c r="E174" s="19"/>
      <c r="F174" s="35"/>
      <c r="G174" s="35"/>
      <c r="H174" s="35"/>
      <c r="I174" s="20"/>
      <c r="J174" s="21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x14ac:dyDescent="0.3">
      <c r="A175" s="6"/>
      <c r="B175" s="17">
        <f t="shared" si="13"/>
        <v>39</v>
      </c>
      <c r="C175" s="18"/>
      <c r="D175" s="19"/>
      <c r="E175" s="19"/>
      <c r="F175" s="35"/>
      <c r="G175" s="35"/>
      <c r="H175" s="35"/>
      <c r="I175" s="20"/>
      <c r="J175" s="21">
        <f t="shared" si="9"/>
        <v>0</v>
      </c>
      <c r="K175" s="7"/>
      <c r="V175" s="5">
        <f t="shared" si="10"/>
        <v>0</v>
      </c>
      <c r="W175" s="5">
        <f t="shared" si="11"/>
        <v>0</v>
      </c>
    </row>
    <row r="176" spans="1:23" s="36" customFormat="1" x14ac:dyDescent="0.3">
      <c r="A176" s="6"/>
      <c r="B176" s="17">
        <f t="shared" si="13"/>
        <v>40</v>
      </c>
      <c r="C176" s="18"/>
      <c r="D176" s="19"/>
      <c r="E176" s="19"/>
      <c r="F176" s="35"/>
      <c r="G176" s="35"/>
      <c r="H176" s="35"/>
      <c r="I176" s="20"/>
      <c r="J176" s="21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x14ac:dyDescent="0.3">
      <c r="A177" s="6"/>
      <c r="B177" s="17">
        <f t="shared" si="13"/>
        <v>41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x14ac:dyDescent="0.3">
      <c r="A178" s="6"/>
      <c r="B178" s="17">
        <f t="shared" si="13"/>
        <v>42</v>
      </c>
      <c r="C178" s="18"/>
      <c r="D178" s="19"/>
      <c r="E178" s="19"/>
      <c r="F178" s="35"/>
      <c r="G178" s="35"/>
      <c r="H178" s="35"/>
      <c r="I178" s="20"/>
      <c r="J178" s="21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x14ac:dyDescent="0.3">
      <c r="A179" s="6"/>
      <c r="B179" s="17">
        <f t="shared" si="13"/>
        <v>43</v>
      </c>
      <c r="C179" s="18"/>
      <c r="D179" s="19"/>
      <c r="E179" s="19"/>
      <c r="F179" s="35"/>
      <c r="G179" s="35"/>
      <c r="H179" s="35"/>
      <c r="I179" s="20"/>
      <c r="J179" s="21">
        <f t="shared" si="9"/>
        <v>0</v>
      </c>
      <c r="K179" s="7"/>
      <c r="V179" s="5">
        <f t="shared" si="10"/>
        <v>0</v>
      </c>
      <c r="W179" s="5">
        <f t="shared" si="11"/>
        <v>0</v>
      </c>
    </row>
    <row r="180" spans="1:23" s="36" customFormat="1" x14ac:dyDescent="0.3">
      <c r="A180" s="6"/>
      <c r="B180" s="17">
        <f t="shared" si="13"/>
        <v>44</v>
      </c>
      <c r="C180" s="18"/>
      <c r="D180" s="19"/>
      <c r="E180" s="19"/>
      <c r="F180" s="35"/>
      <c r="G180" s="35"/>
      <c r="H180" s="35"/>
      <c r="I180" s="20"/>
      <c r="J180" s="21">
        <f t="shared" si="9"/>
        <v>0</v>
      </c>
      <c r="K180" s="7"/>
      <c r="V180" s="5">
        <f t="shared" si="10"/>
        <v>0</v>
      </c>
      <c r="W180" s="5">
        <f t="shared" si="11"/>
        <v>0</v>
      </c>
    </row>
    <row r="181" spans="1:23" s="36" customFormat="1" x14ac:dyDescent="0.3">
      <c r="A181" s="6"/>
      <c r="B181" s="17">
        <f t="shared" si="13"/>
        <v>45</v>
      </c>
      <c r="C181" s="18"/>
      <c r="D181" s="19"/>
      <c r="E181" s="19"/>
      <c r="F181" s="35"/>
      <c r="G181" s="35"/>
      <c r="H181" s="35"/>
      <c r="I181" s="20"/>
      <c r="J181" s="21">
        <f t="shared" si="9"/>
        <v>0</v>
      </c>
      <c r="K181" s="7"/>
      <c r="V181" s="5">
        <f t="shared" si="10"/>
        <v>0</v>
      </c>
      <c r="W181" s="5">
        <f t="shared" si="11"/>
        <v>0</v>
      </c>
    </row>
    <row r="182" spans="1:23" s="36" customFormat="1" ht="15" thickBot="1" x14ac:dyDescent="0.35">
      <c r="A182" s="6"/>
      <c r="B182" s="95">
        <f t="shared" si="13"/>
        <v>46</v>
      </c>
      <c r="C182" s="79"/>
      <c r="D182" s="80"/>
      <c r="E182" s="80"/>
      <c r="F182" s="96"/>
      <c r="G182" s="96"/>
      <c r="H182" s="96"/>
      <c r="I182" s="81"/>
      <c r="J182" s="82">
        <f t="shared" si="9"/>
        <v>0</v>
      </c>
      <c r="K182" s="7"/>
      <c r="V182" s="5">
        <f t="shared" si="10"/>
        <v>0</v>
      </c>
      <c r="W182" s="5">
        <f t="shared" si="11"/>
        <v>0</v>
      </c>
    </row>
    <row r="183" spans="1:23" s="36" customFormat="1" ht="24" thickBot="1" x14ac:dyDescent="0.5">
      <c r="A183" s="6"/>
      <c r="B183" s="165" t="s">
        <v>22</v>
      </c>
      <c r="C183" s="166"/>
      <c r="D183" s="166"/>
      <c r="E183" s="166"/>
      <c r="F183" s="166"/>
      <c r="G183" s="166"/>
      <c r="H183" s="167"/>
      <c r="I183" s="83" t="s">
        <v>23</v>
      </c>
      <c r="J183" s="84">
        <f>SUM(J137:J182)</f>
        <v>234930</v>
      </c>
      <c r="K183" s="7"/>
      <c r="L183" s="5"/>
      <c r="M183" s="5"/>
      <c r="N183" s="5"/>
      <c r="O183" s="5"/>
      <c r="P183" s="5"/>
      <c r="Q183" s="5"/>
      <c r="R183" s="5"/>
      <c r="V183" s="36">
        <f>SUM(V137:V182)</f>
        <v>34</v>
      </c>
      <c r="W183" s="36">
        <f>SUM(W137:W182)</f>
        <v>2</v>
      </c>
    </row>
    <row r="184" spans="1:23" s="36" customFormat="1" ht="30" customHeight="1" thickBot="1" x14ac:dyDescent="0.35">
      <c r="A184" s="30"/>
      <c r="B184" s="31"/>
      <c r="C184" s="31"/>
      <c r="D184" s="31"/>
      <c r="E184" s="31"/>
      <c r="F184" s="31"/>
      <c r="G184" s="31"/>
      <c r="H184" s="32"/>
      <c r="I184" s="31"/>
      <c r="J184" s="32"/>
      <c r="K184" s="33"/>
      <c r="L184" s="5"/>
      <c r="M184" s="5"/>
      <c r="N184" s="5"/>
      <c r="O184" s="5"/>
      <c r="P184" s="5"/>
      <c r="Q184" s="5"/>
      <c r="R184" s="5"/>
    </row>
  </sheetData>
  <mergeCells count="44">
    <mergeCell ref="B129:H129"/>
    <mergeCell ref="B133:J133"/>
    <mergeCell ref="B134:J134"/>
    <mergeCell ref="B135:J135"/>
    <mergeCell ref="B183:H183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59" r:id="rId1" xr:uid="{00000000-0004-0000-1C00-000000000000}"/>
    <hyperlink ref="B129" r:id="rId2" xr:uid="{00000000-0004-0000-1C00-000001000000}"/>
    <hyperlink ref="B183" r:id="rId3" xr:uid="{00000000-0004-0000-1C00-000002000000}"/>
    <hyperlink ref="M1" location="MASTER!A1" display="Back" xr:uid="{00000000-0004-0000-1C00-000003000000}"/>
    <hyperlink ref="M6:M7" location="'NOV 2022'!A70" display="EXTRA STOCK FUTURE" xr:uid="{00000000-0004-0000-1C00-000004000000}"/>
    <hyperlink ref="M8:M9" location="'NOV 2022'!A140" display="EXTRA NIFTY OPTION" xr:uid="{00000000-0004-0000-1C00-000005000000}"/>
    <hyperlink ref="M4:M5" location="'NOV 2022'!A1" display="EXTRA BANKNIFTY OPTION" xr:uid="{00000000-0004-0000-1C00-000006000000}"/>
  </hyperlinks>
  <pageMargins left="0" right="0" top="0" bottom="0" header="0" footer="0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12"/>
  <sheetViews>
    <sheetView topLeftCell="A112" workbookViewId="0"/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4414062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5.2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44075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161"/>
      <c r="O3" s="125"/>
      <c r="P3" s="125"/>
      <c r="Q3" s="125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55" t="s">
        <v>107</v>
      </c>
      <c r="N4" s="157">
        <v>63</v>
      </c>
      <c r="O4" s="113">
        <v>55</v>
      </c>
      <c r="P4" s="113">
        <v>8</v>
      </c>
      <c r="Q4" s="115">
        <f>N4-O4-P4</f>
        <v>0</v>
      </c>
      <c r="R4" s="117">
        <f>O4/N4</f>
        <v>0.87301587301587302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56"/>
      <c r="N5" s="158"/>
      <c r="O5" s="114"/>
      <c r="P5" s="114"/>
      <c r="Q5" s="116"/>
      <c r="R5" s="118"/>
      <c r="V5" s="5" t="s">
        <v>5</v>
      </c>
      <c r="W5" s="5" t="s">
        <v>6</v>
      </c>
    </row>
    <row r="6" spans="1:23" x14ac:dyDescent="0.3">
      <c r="A6" s="6"/>
      <c r="B6" s="14">
        <v>1</v>
      </c>
      <c r="C6" s="66">
        <v>44075</v>
      </c>
      <c r="D6" s="67" t="s">
        <v>18</v>
      </c>
      <c r="E6" s="67" t="s">
        <v>56</v>
      </c>
      <c r="F6" s="68">
        <v>170</v>
      </c>
      <c r="G6" s="68">
        <v>191</v>
      </c>
      <c r="H6" s="60">
        <v>11</v>
      </c>
      <c r="I6" s="15">
        <v>100</v>
      </c>
      <c r="J6" s="16">
        <f>H6*I6</f>
        <v>1100</v>
      </c>
      <c r="K6" s="7"/>
      <c r="M6" s="162" t="s">
        <v>108</v>
      </c>
      <c r="N6" s="158">
        <v>32</v>
      </c>
      <c r="O6" s="114">
        <v>25</v>
      </c>
      <c r="P6" s="114">
        <v>6</v>
      </c>
      <c r="Q6" s="163">
        <v>1</v>
      </c>
      <c r="R6" s="118">
        <f t="shared" ref="R6" si="0">O6/N6</f>
        <v>0.78125</v>
      </c>
      <c r="V6" s="5">
        <f ca="1">SUM(V6:V70)</f>
        <v>0</v>
      </c>
      <c r="W6" s="5">
        <f>IF($J6&lt;0,1,0)</f>
        <v>0</v>
      </c>
    </row>
    <row r="7" spans="1:23" ht="15" thickBot="1" x14ac:dyDescent="0.35">
      <c r="A7" s="6"/>
      <c r="B7" s="17">
        <v>2</v>
      </c>
      <c r="C7" s="66">
        <v>44075</v>
      </c>
      <c r="D7" s="67" t="s">
        <v>18</v>
      </c>
      <c r="E7" s="67" t="s">
        <v>62</v>
      </c>
      <c r="F7" s="68">
        <v>170</v>
      </c>
      <c r="G7" s="68">
        <v>225</v>
      </c>
      <c r="H7" s="67">
        <v>55</v>
      </c>
      <c r="I7" s="20">
        <v>100</v>
      </c>
      <c r="J7" s="21">
        <f t="shared" ref="J7:J69" si="1">H7*I7</f>
        <v>5500</v>
      </c>
      <c r="K7" s="7"/>
      <c r="M7" s="162"/>
      <c r="N7" s="158"/>
      <c r="O7" s="114"/>
      <c r="P7" s="114"/>
      <c r="Q7" s="164"/>
      <c r="R7" s="118"/>
      <c r="V7" s="5">
        <f t="shared" ref="V7:V14" si="2">IF($J7&gt;0,1,0)</f>
        <v>1</v>
      </c>
      <c r="W7" s="5">
        <f t="shared" ref="W7:W14" si="3">IF($J7&lt;0,1,0)</f>
        <v>0</v>
      </c>
    </row>
    <row r="8" spans="1:23" ht="15" customHeight="1" x14ac:dyDescent="0.3">
      <c r="A8" s="6"/>
      <c r="B8" s="17">
        <v>3</v>
      </c>
      <c r="C8" s="18">
        <v>44076</v>
      </c>
      <c r="D8" s="19" t="s">
        <v>18</v>
      </c>
      <c r="E8" s="19" t="s">
        <v>62</v>
      </c>
      <c r="F8" s="35">
        <v>150</v>
      </c>
      <c r="G8" s="35">
        <v>190</v>
      </c>
      <c r="H8" s="35">
        <v>40</v>
      </c>
      <c r="I8" s="20">
        <v>100</v>
      </c>
      <c r="J8" s="21">
        <f t="shared" si="1"/>
        <v>4000</v>
      </c>
      <c r="K8" s="7"/>
      <c r="M8" s="154" t="s">
        <v>19</v>
      </c>
      <c r="N8" s="149">
        <f>SUM(N4:N7)</f>
        <v>95</v>
      </c>
      <c r="O8" s="149">
        <f>SUM(O4:O7)</f>
        <v>80</v>
      </c>
      <c r="P8" s="149">
        <f>SUM(P4:P7)</f>
        <v>14</v>
      </c>
      <c r="Q8" s="151">
        <f>SUM(Q4:Q7)</f>
        <v>1</v>
      </c>
      <c r="R8" s="117">
        <f t="shared" ref="R8" si="4">O8/N8</f>
        <v>0.84210526315789469</v>
      </c>
      <c r="V8" s="5">
        <f t="shared" si="2"/>
        <v>1</v>
      </c>
      <c r="W8" s="5">
        <f t="shared" si="3"/>
        <v>0</v>
      </c>
    </row>
    <row r="9" spans="1:23" ht="15" customHeight="1" thickBot="1" x14ac:dyDescent="0.35">
      <c r="A9" s="6"/>
      <c r="B9" s="17">
        <v>4</v>
      </c>
      <c r="C9" s="18">
        <v>44076</v>
      </c>
      <c r="D9" s="19" t="s">
        <v>18</v>
      </c>
      <c r="E9" s="19" t="s">
        <v>72</v>
      </c>
      <c r="F9" s="35">
        <v>140</v>
      </c>
      <c r="G9" s="35">
        <v>215</v>
      </c>
      <c r="H9" s="35">
        <v>75</v>
      </c>
      <c r="I9" s="20">
        <v>100</v>
      </c>
      <c r="J9" s="21">
        <f t="shared" si="1"/>
        <v>7500</v>
      </c>
      <c r="K9" s="7"/>
      <c r="M9" s="148"/>
      <c r="N9" s="150"/>
      <c r="O9" s="150"/>
      <c r="P9" s="150"/>
      <c r="Q9" s="152"/>
      <c r="R9" s="153"/>
      <c r="V9" s="5">
        <f t="shared" si="2"/>
        <v>1</v>
      </c>
      <c r="W9" s="5">
        <f t="shared" si="3"/>
        <v>0</v>
      </c>
    </row>
    <row r="10" spans="1:23" ht="15.75" customHeight="1" x14ac:dyDescent="0.3">
      <c r="A10" s="6"/>
      <c r="B10" s="17">
        <v>5</v>
      </c>
      <c r="C10" s="18">
        <v>44076</v>
      </c>
      <c r="D10" s="19" t="s">
        <v>18</v>
      </c>
      <c r="E10" s="19" t="s">
        <v>73</v>
      </c>
      <c r="F10" s="35">
        <v>150</v>
      </c>
      <c r="G10" s="35">
        <v>182</v>
      </c>
      <c r="H10" s="35">
        <v>32</v>
      </c>
      <c r="I10" s="20">
        <v>100</v>
      </c>
      <c r="J10" s="21">
        <f t="shared" si="1"/>
        <v>3200</v>
      </c>
      <c r="K10" s="7"/>
      <c r="M10" s="126" t="s">
        <v>20</v>
      </c>
      <c r="N10" s="127"/>
      <c r="O10" s="128"/>
      <c r="P10" s="135">
        <f>R8</f>
        <v>0.84210526315789469</v>
      </c>
      <c r="Q10" s="136"/>
      <c r="R10" s="137"/>
      <c r="V10" s="5">
        <f t="shared" si="2"/>
        <v>1</v>
      </c>
      <c r="W10" s="5">
        <f t="shared" si="3"/>
        <v>0</v>
      </c>
    </row>
    <row r="11" spans="1:23" x14ac:dyDescent="0.3">
      <c r="A11" s="6"/>
      <c r="B11" s="17">
        <v>6</v>
      </c>
      <c r="C11" s="18">
        <v>44077</v>
      </c>
      <c r="D11" s="19" t="s">
        <v>18</v>
      </c>
      <c r="E11" s="19" t="s">
        <v>74</v>
      </c>
      <c r="F11" s="35">
        <v>60</v>
      </c>
      <c r="G11" s="35">
        <v>75</v>
      </c>
      <c r="H11" s="35">
        <v>15</v>
      </c>
      <c r="I11" s="20">
        <v>100</v>
      </c>
      <c r="J11" s="21">
        <f t="shared" si="1"/>
        <v>1500</v>
      </c>
      <c r="K11" s="7"/>
      <c r="M11" s="129"/>
      <c r="N11" s="130"/>
      <c r="O11" s="131"/>
      <c r="P11" s="138"/>
      <c r="Q11" s="139"/>
      <c r="R11" s="140"/>
      <c r="V11" s="5">
        <f t="shared" si="2"/>
        <v>1</v>
      </c>
      <c r="W11" s="5">
        <f t="shared" si="3"/>
        <v>0</v>
      </c>
    </row>
    <row r="12" spans="1:23" ht="15" thickBot="1" x14ac:dyDescent="0.35">
      <c r="A12" s="6"/>
      <c r="B12" s="17">
        <v>7</v>
      </c>
      <c r="C12" s="18">
        <v>44078</v>
      </c>
      <c r="D12" s="19" t="s">
        <v>18</v>
      </c>
      <c r="E12" s="19" t="s">
        <v>77</v>
      </c>
      <c r="F12" s="35">
        <v>160</v>
      </c>
      <c r="G12" s="35">
        <v>210</v>
      </c>
      <c r="H12" s="35">
        <v>50</v>
      </c>
      <c r="I12" s="20">
        <v>100</v>
      </c>
      <c r="J12" s="21">
        <f t="shared" si="1"/>
        <v>5000</v>
      </c>
      <c r="K12" s="7"/>
      <c r="M12" s="132"/>
      <c r="N12" s="133"/>
      <c r="O12" s="134"/>
      <c r="P12" s="141"/>
      <c r="Q12" s="142"/>
      <c r="R12" s="143"/>
      <c r="V12" s="5">
        <f t="shared" si="2"/>
        <v>1</v>
      </c>
      <c r="W12" s="5">
        <f t="shared" si="3"/>
        <v>0</v>
      </c>
    </row>
    <row r="13" spans="1:23" x14ac:dyDescent="0.3">
      <c r="A13" s="6"/>
      <c r="B13" s="17">
        <v>8</v>
      </c>
      <c r="C13" s="18">
        <v>44078</v>
      </c>
      <c r="D13" s="19" t="s">
        <v>18</v>
      </c>
      <c r="E13" s="19" t="s">
        <v>78</v>
      </c>
      <c r="F13" s="35">
        <v>170</v>
      </c>
      <c r="G13" s="35">
        <v>270</v>
      </c>
      <c r="H13" s="35">
        <v>100</v>
      </c>
      <c r="I13" s="20">
        <v>100</v>
      </c>
      <c r="J13" s="21">
        <f t="shared" si="1"/>
        <v>10000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7">
        <v>9</v>
      </c>
      <c r="C14" s="18">
        <v>44078</v>
      </c>
      <c r="D14" s="19" t="s">
        <v>18</v>
      </c>
      <c r="E14" s="19" t="s">
        <v>79</v>
      </c>
      <c r="F14" s="35">
        <v>150</v>
      </c>
      <c r="G14" s="35">
        <v>250</v>
      </c>
      <c r="H14" s="35">
        <v>100</v>
      </c>
      <c r="I14" s="20">
        <v>100</v>
      </c>
      <c r="J14" s="21">
        <f t="shared" si="1"/>
        <v>10000</v>
      </c>
      <c r="K14" s="7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18">
        <v>44078</v>
      </c>
      <c r="D15" s="19" t="s">
        <v>18</v>
      </c>
      <c r="E15" s="19" t="s">
        <v>47</v>
      </c>
      <c r="F15" s="35">
        <v>150</v>
      </c>
      <c r="G15" s="35">
        <v>249</v>
      </c>
      <c r="H15" s="35">
        <v>99</v>
      </c>
      <c r="I15" s="20">
        <v>100</v>
      </c>
      <c r="J15" s="21">
        <f t="shared" si="1"/>
        <v>9900</v>
      </c>
      <c r="K15" s="7"/>
      <c r="V15" s="5">
        <f>IF($J15&gt;0,1,0)</f>
        <v>1</v>
      </c>
      <c r="W15" s="5">
        <f>IF($J15&lt;0,1,0)</f>
        <v>0</v>
      </c>
    </row>
    <row r="16" spans="1:23" hidden="1" x14ac:dyDescent="0.3">
      <c r="A16" s="6"/>
      <c r="B16" s="17">
        <v>11</v>
      </c>
      <c r="C16" s="18"/>
      <c r="D16" s="19"/>
      <c r="E16" s="19"/>
      <c r="F16" s="35"/>
      <c r="G16" s="35"/>
      <c r="H16" s="35"/>
      <c r="I16" s="20"/>
      <c r="J16" s="21">
        <f t="shared" si="1"/>
        <v>0</v>
      </c>
      <c r="K16" s="7"/>
      <c r="V16" s="5">
        <f t="shared" ref="V16:V69" si="5">IF($J16&gt;0,1,0)</f>
        <v>0</v>
      </c>
      <c r="W16" s="5">
        <f t="shared" ref="W16:W70" si="6">IF($J16&lt;0,1,0)</f>
        <v>0</v>
      </c>
    </row>
    <row r="17" spans="1:23" hidden="1" x14ac:dyDescent="0.3">
      <c r="A17" s="6"/>
      <c r="B17" s="17">
        <v>12</v>
      </c>
      <c r="C17" s="18"/>
      <c r="D17" s="19"/>
      <c r="E17" s="19"/>
      <c r="F17" s="35"/>
      <c r="G17" s="35"/>
      <c r="H17" s="35"/>
      <c r="I17" s="20"/>
      <c r="J17" s="21">
        <f t="shared" si="1"/>
        <v>0</v>
      </c>
      <c r="K17" s="7"/>
      <c r="V17" s="5">
        <f t="shared" si="5"/>
        <v>0</v>
      </c>
      <c r="W17" s="5">
        <f t="shared" si="6"/>
        <v>0</v>
      </c>
    </row>
    <row r="18" spans="1:23" hidden="1" x14ac:dyDescent="0.3">
      <c r="A18" s="6"/>
      <c r="B18" s="17">
        <v>13</v>
      </c>
      <c r="C18" s="18"/>
      <c r="D18" s="19"/>
      <c r="E18" s="19"/>
      <c r="F18" s="35"/>
      <c r="G18" s="35"/>
      <c r="H18" s="35"/>
      <c r="I18" s="20"/>
      <c r="J18" s="21">
        <f t="shared" si="1"/>
        <v>0</v>
      </c>
      <c r="K18" s="7"/>
      <c r="V18" s="5">
        <f t="shared" si="5"/>
        <v>0</v>
      </c>
      <c r="W18" s="5">
        <f t="shared" si="6"/>
        <v>0</v>
      </c>
    </row>
    <row r="19" spans="1:23" hidden="1" x14ac:dyDescent="0.3">
      <c r="A19" s="6"/>
      <c r="B19" s="17">
        <v>14</v>
      </c>
      <c r="C19" s="18"/>
      <c r="D19" s="19"/>
      <c r="E19" s="19"/>
      <c r="F19" s="35"/>
      <c r="G19" s="35"/>
      <c r="H19" s="35"/>
      <c r="I19" s="20"/>
      <c r="J19" s="21">
        <f t="shared" si="1"/>
        <v>0</v>
      </c>
      <c r="K19" s="7"/>
      <c r="O19" s="22"/>
      <c r="P19" s="22"/>
      <c r="Q19" s="22"/>
      <c r="R19" s="22"/>
      <c r="V19" s="5">
        <f t="shared" si="5"/>
        <v>0</v>
      </c>
      <c r="W19" s="5">
        <f t="shared" si="6"/>
        <v>0</v>
      </c>
    </row>
    <row r="20" spans="1:23" hidden="1" x14ac:dyDescent="0.3">
      <c r="A20" s="6"/>
      <c r="B20" s="17">
        <v>15</v>
      </c>
      <c r="C20" s="18"/>
      <c r="D20" s="19"/>
      <c r="E20" s="19"/>
      <c r="F20" s="35"/>
      <c r="G20" s="35"/>
      <c r="H20" s="35"/>
      <c r="I20" s="20"/>
      <c r="J20" s="21">
        <f t="shared" si="1"/>
        <v>0</v>
      </c>
      <c r="K20" s="7"/>
      <c r="V20" s="5">
        <f t="shared" si="5"/>
        <v>0</v>
      </c>
      <c r="W20" s="5">
        <f t="shared" si="6"/>
        <v>0</v>
      </c>
    </row>
    <row r="21" spans="1:23" hidden="1" x14ac:dyDescent="0.3">
      <c r="A21" s="6"/>
      <c r="B21" s="17">
        <v>16</v>
      </c>
      <c r="C21" s="18"/>
      <c r="D21" s="19"/>
      <c r="E21" s="19"/>
      <c r="F21" s="35"/>
      <c r="G21" s="35"/>
      <c r="H21" s="35"/>
      <c r="I21" s="20"/>
      <c r="J21" s="21">
        <f t="shared" si="1"/>
        <v>0</v>
      </c>
      <c r="K21" s="7"/>
      <c r="V21" s="5">
        <f t="shared" si="5"/>
        <v>0</v>
      </c>
      <c r="W21" s="5">
        <f t="shared" si="6"/>
        <v>0</v>
      </c>
    </row>
    <row r="22" spans="1:23" hidden="1" x14ac:dyDescent="0.3">
      <c r="A22" s="6"/>
      <c r="B22" s="17">
        <v>17</v>
      </c>
      <c r="C22" s="18"/>
      <c r="D22" s="19"/>
      <c r="E22" s="19"/>
      <c r="F22" s="35"/>
      <c r="G22" s="35"/>
      <c r="H22" s="35"/>
      <c r="I22" s="20"/>
      <c r="J22" s="21">
        <f t="shared" si="1"/>
        <v>0</v>
      </c>
      <c r="K22" s="7"/>
      <c r="V22" s="5">
        <f t="shared" si="5"/>
        <v>0</v>
      </c>
      <c r="W22" s="5">
        <f t="shared" si="6"/>
        <v>0</v>
      </c>
    </row>
    <row r="23" spans="1:23" hidden="1" x14ac:dyDescent="0.3">
      <c r="A23" s="6"/>
      <c r="B23" s="17">
        <v>18</v>
      </c>
      <c r="C23" s="18"/>
      <c r="D23" s="19"/>
      <c r="E23" s="19"/>
      <c r="F23" s="35"/>
      <c r="G23" s="35"/>
      <c r="H23" s="35"/>
      <c r="I23" s="20"/>
      <c r="J23" s="21">
        <f t="shared" si="1"/>
        <v>0</v>
      </c>
      <c r="K23" s="7"/>
      <c r="V23" s="5">
        <f t="shared" si="5"/>
        <v>0</v>
      </c>
      <c r="W23" s="5">
        <f t="shared" si="6"/>
        <v>0</v>
      </c>
    </row>
    <row r="24" spans="1:23" hidden="1" x14ac:dyDescent="0.3">
      <c r="A24" s="6"/>
      <c r="B24" s="17">
        <v>19</v>
      </c>
      <c r="C24" s="18"/>
      <c r="D24" s="19"/>
      <c r="E24" s="19"/>
      <c r="F24" s="35"/>
      <c r="G24" s="35"/>
      <c r="H24" s="35"/>
      <c r="I24" s="20"/>
      <c r="J24" s="21">
        <f t="shared" si="1"/>
        <v>0</v>
      </c>
      <c r="K24" s="7"/>
      <c r="V24" s="5">
        <f t="shared" si="5"/>
        <v>0</v>
      </c>
      <c r="W24" s="5">
        <f t="shared" si="6"/>
        <v>0</v>
      </c>
    </row>
    <row r="25" spans="1:23" hidden="1" x14ac:dyDescent="0.3">
      <c r="A25" s="6"/>
      <c r="B25" s="17">
        <v>20</v>
      </c>
      <c r="C25" s="18"/>
      <c r="D25" s="19"/>
      <c r="E25" s="19"/>
      <c r="F25" s="35"/>
      <c r="G25" s="35"/>
      <c r="H25" s="19"/>
      <c r="I25" s="20"/>
      <c r="J25" s="21">
        <f t="shared" si="1"/>
        <v>0</v>
      </c>
      <c r="K25" s="7"/>
      <c r="V25" s="5">
        <f t="shared" si="5"/>
        <v>0</v>
      </c>
      <c r="W25" s="5">
        <f t="shared" si="6"/>
        <v>0</v>
      </c>
    </row>
    <row r="26" spans="1:23" hidden="1" x14ac:dyDescent="0.3">
      <c r="A26" s="6"/>
      <c r="B26" s="17">
        <v>21</v>
      </c>
      <c r="C26" s="18"/>
      <c r="D26" s="19"/>
      <c r="E26" s="19"/>
      <c r="F26" s="35"/>
      <c r="G26" s="35"/>
      <c r="H26" s="19"/>
      <c r="I26" s="20"/>
      <c r="J26" s="21">
        <f t="shared" si="1"/>
        <v>0</v>
      </c>
      <c r="K26" s="7"/>
      <c r="V26" s="5">
        <f t="shared" si="5"/>
        <v>0</v>
      </c>
      <c r="W26" s="5">
        <f t="shared" si="6"/>
        <v>0</v>
      </c>
    </row>
    <row r="27" spans="1:23" hidden="1" x14ac:dyDescent="0.3">
      <c r="A27" s="6"/>
      <c r="B27" s="17">
        <v>22</v>
      </c>
      <c r="C27" s="18"/>
      <c r="D27" s="19"/>
      <c r="E27" s="19"/>
      <c r="F27" s="20"/>
      <c r="G27" s="20"/>
      <c r="H27" s="19"/>
      <c r="I27" s="20"/>
      <c r="J27" s="21">
        <f t="shared" si="1"/>
        <v>0</v>
      </c>
      <c r="K27" s="7"/>
      <c r="V27" s="5">
        <f t="shared" si="5"/>
        <v>0</v>
      </c>
      <c r="W27" s="5">
        <f t="shared" si="6"/>
        <v>0</v>
      </c>
    </row>
    <row r="28" spans="1:23" x14ac:dyDescent="0.3">
      <c r="A28" s="6"/>
      <c r="B28" s="23">
        <v>11</v>
      </c>
      <c r="C28" s="24">
        <v>44081</v>
      </c>
      <c r="D28" s="25" t="s">
        <v>18</v>
      </c>
      <c r="E28" s="25" t="s">
        <v>82</v>
      </c>
      <c r="F28" s="26">
        <v>140</v>
      </c>
      <c r="G28" s="61">
        <v>153</v>
      </c>
      <c r="H28" s="61">
        <v>13</v>
      </c>
      <c r="I28" s="26">
        <v>100</v>
      </c>
      <c r="J28" s="21">
        <f t="shared" si="1"/>
        <v>1300</v>
      </c>
      <c r="K28" s="7"/>
      <c r="V28" s="5">
        <f t="shared" si="5"/>
        <v>1</v>
      </c>
      <c r="W28" s="5">
        <f t="shared" si="6"/>
        <v>0</v>
      </c>
    </row>
    <row r="29" spans="1:23" x14ac:dyDescent="0.3">
      <c r="A29" s="6"/>
      <c r="B29" s="23">
        <v>12</v>
      </c>
      <c r="C29" s="24">
        <v>44081</v>
      </c>
      <c r="D29" s="25" t="s">
        <v>18</v>
      </c>
      <c r="E29" s="25" t="s">
        <v>83</v>
      </c>
      <c r="F29" s="26">
        <v>150</v>
      </c>
      <c r="G29" s="61">
        <v>168</v>
      </c>
      <c r="H29" s="61">
        <v>18</v>
      </c>
      <c r="I29" s="26">
        <v>100</v>
      </c>
      <c r="J29" s="21">
        <f t="shared" si="1"/>
        <v>1800</v>
      </c>
      <c r="K29" s="7"/>
      <c r="V29" s="5">
        <f t="shared" si="5"/>
        <v>1</v>
      </c>
      <c r="W29" s="5">
        <f t="shared" si="6"/>
        <v>0</v>
      </c>
    </row>
    <row r="30" spans="1:23" x14ac:dyDescent="0.3">
      <c r="A30" s="6"/>
      <c r="B30" s="23">
        <v>13</v>
      </c>
      <c r="C30" s="24">
        <v>44082</v>
      </c>
      <c r="D30" s="25" t="s">
        <v>18</v>
      </c>
      <c r="E30" s="25" t="s">
        <v>79</v>
      </c>
      <c r="F30" s="26">
        <v>120</v>
      </c>
      <c r="G30" s="61">
        <v>190</v>
      </c>
      <c r="H30" s="61">
        <v>70</v>
      </c>
      <c r="I30" s="26">
        <v>100</v>
      </c>
      <c r="J30" s="21">
        <f t="shared" si="1"/>
        <v>7000</v>
      </c>
      <c r="K30" s="7"/>
      <c r="V30" s="5">
        <f t="shared" si="5"/>
        <v>1</v>
      </c>
      <c r="W30" s="5">
        <f t="shared" si="6"/>
        <v>0</v>
      </c>
    </row>
    <row r="31" spans="1:23" x14ac:dyDescent="0.3">
      <c r="A31" s="6"/>
      <c r="B31" s="23">
        <v>14</v>
      </c>
      <c r="C31" s="24">
        <v>44082</v>
      </c>
      <c r="D31" s="25" t="s">
        <v>18</v>
      </c>
      <c r="E31" s="25" t="s">
        <v>84</v>
      </c>
      <c r="F31" s="26">
        <v>170</v>
      </c>
      <c r="G31" s="61">
        <v>270</v>
      </c>
      <c r="H31" s="61">
        <v>100</v>
      </c>
      <c r="I31" s="26">
        <v>100</v>
      </c>
      <c r="J31" s="21">
        <f t="shared" si="1"/>
        <v>10000</v>
      </c>
      <c r="K31" s="7"/>
      <c r="V31" s="5">
        <f t="shared" si="5"/>
        <v>1</v>
      </c>
      <c r="W31" s="5">
        <f t="shared" si="6"/>
        <v>0</v>
      </c>
    </row>
    <row r="32" spans="1:23" x14ac:dyDescent="0.3">
      <c r="A32" s="6"/>
      <c r="B32" s="23">
        <v>15</v>
      </c>
      <c r="C32" s="24">
        <v>44083</v>
      </c>
      <c r="D32" s="25" t="s">
        <v>18</v>
      </c>
      <c r="E32" s="25" t="s">
        <v>34</v>
      </c>
      <c r="F32" s="26">
        <v>130</v>
      </c>
      <c r="G32" s="61">
        <v>95</v>
      </c>
      <c r="H32" s="61">
        <v>-35</v>
      </c>
      <c r="I32" s="26">
        <v>100</v>
      </c>
      <c r="J32" s="21">
        <f t="shared" si="1"/>
        <v>-3500</v>
      </c>
      <c r="K32" s="7"/>
      <c r="V32" s="5">
        <f t="shared" si="5"/>
        <v>0</v>
      </c>
      <c r="W32" s="5">
        <f t="shared" si="6"/>
        <v>1</v>
      </c>
    </row>
    <row r="33" spans="1:23" x14ac:dyDescent="0.3">
      <c r="A33" s="6"/>
      <c r="B33" s="23">
        <v>16</v>
      </c>
      <c r="C33" s="24">
        <v>44083</v>
      </c>
      <c r="D33" s="25" t="s">
        <v>18</v>
      </c>
      <c r="E33" s="25" t="s">
        <v>85</v>
      </c>
      <c r="F33" s="26">
        <v>130</v>
      </c>
      <c r="G33" s="61">
        <v>180</v>
      </c>
      <c r="H33" s="61">
        <v>50</v>
      </c>
      <c r="I33" s="26">
        <v>100</v>
      </c>
      <c r="J33" s="21">
        <f t="shared" si="1"/>
        <v>5000</v>
      </c>
      <c r="K33" s="7"/>
      <c r="V33" s="5">
        <f t="shared" si="5"/>
        <v>1</v>
      </c>
      <c r="W33" s="5">
        <f t="shared" si="6"/>
        <v>0</v>
      </c>
    </row>
    <row r="34" spans="1:23" x14ac:dyDescent="0.3">
      <c r="A34" s="6"/>
      <c r="B34" s="23">
        <v>17</v>
      </c>
      <c r="C34" s="24">
        <v>44084</v>
      </c>
      <c r="D34" s="25" t="s">
        <v>18</v>
      </c>
      <c r="E34" s="25" t="s">
        <v>82</v>
      </c>
      <c r="F34" s="26">
        <v>50</v>
      </c>
      <c r="G34" s="61">
        <v>90</v>
      </c>
      <c r="H34" s="61">
        <v>40</v>
      </c>
      <c r="I34" s="26">
        <v>100</v>
      </c>
      <c r="J34" s="21">
        <f t="shared" si="1"/>
        <v>4000</v>
      </c>
      <c r="K34" s="7"/>
      <c r="V34" s="5">
        <f t="shared" si="5"/>
        <v>1</v>
      </c>
      <c r="W34" s="5">
        <f t="shared" si="6"/>
        <v>0</v>
      </c>
    </row>
    <row r="35" spans="1:23" x14ac:dyDescent="0.3">
      <c r="A35" s="6"/>
      <c r="B35" s="23">
        <v>18</v>
      </c>
      <c r="C35" s="24">
        <v>44084</v>
      </c>
      <c r="D35" s="25" t="s">
        <v>18</v>
      </c>
      <c r="E35" s="25" t="s">
        <v>47</v>
      </c>
      <c r="F35" s="26">
        <v>25</v>
      </c>
      <c r="G35" s="61">
        <v>75</v>
      </c>
      <c r="H35" s="61">
        <v>50</v>
      </c>
      <c r="I35" s="26">
        <v>100</v>
      </c>
      <c r="J35" s="21">
        <f t="shared" si="1"/>
        <v>5000</v>
      </c>
      <c r="K35" s="7"/>
      <c r="V35" s="5">
        <f t="shared" si="5"/>
        <v>1</v>
      </c>
      <c r="W35" s="5">
        <f t="shared" si="6"/>
        <v>0</v>
      </c>
    </row>
    <row r="36" spans="1:23" x14ac:dyDescent="0.3">
      <c r="A36" s="6"/>
      <c r="B36" s="23">
        <v>19</v>
      </c>
      <c r="C36" s="24">
        <v>44084</v>
      </c>
      <c r="D36" s="25" t="s">
        <v>18</v>
      </c>
      <c r="E36" s="25" t="s">
        <v>79</v>
      </c>
      <c r="F36" s="26">
        <v>45</v>
      </c>
      <c r="G36" s="61">
        <v>125</v>
      </c>
      <c r="H36" s="61">
        <v>80</v>
      </c>
      <c r="I36" s="26">
        <v>100</v>
      </c>
      <c r="J36" s="21">
        <f t="shared" si="1"/>
        <v>8000</v>
      </c>
      <c r="K36" s="7"/>
      <c r="V36" s="5">
        <f t="shared" si="5"/>
        <v>1</v>
      </c>
      <c r="W36" s="5">
        <f t="shared" si="6"/>
        <v>0</v>
      </c>
    </row>
    <row r="37" spans="1:23" x14ac:dyDescent="0.3">
      <c r="A37" s="6"/>
      <c r="B37" s="23">
        <v>20</v>
      </c>
      <c r="C37" s="24">
        <v>44088</v>
      </c>
      <c r="D37" s="25" t="s">
        <v>18</v>
      </c>
      <c r="E37" s="25" t="s">
        <v>82</v>
      </c>
      <c r="F37" s="26">
        <v>180</v>
      </c>
      <c r="G37" s="61">
        <v>270</v>
      </c>
      <c r="H37" s="61">
        <v>90</v>
      </c>
      <c r="I37" s="26">
        <v>100</v>
      </c>
      <c r="J37" s="21">
        <f t="shared" si="1"/>
        <v>9000</v>
      </c>
      <c r="K37" s="7"/>
      <c r="V37" s="5">
        <f t="shared" si="5"/>
        <v>1</v>
      </c>
      <c r="W37" s="5">
        <f t="shared" si="6"/>
        <v>0</v>
      </c>
    </row>
    <row r="38" spans="1:23" x14ac:dyDescent="0.3">
      <c r="A38" s="6"/>
      <c r="B38" s="23">
        <v>21</v>
      </c>
      <c r="C38" s="24">
        <v>44088</v>
      </c>
      <c r="D38" s="25" t="s">
        <v>18</v>
      </c>
      <c r="E38" s="25" t="s">
        <v>91</v>
      </c>
      <c r="F38" s="26">
        <v>170</v>
      </c>
      <c r="G38" s="61">
        <v>270</v>
      </c>
      <c r="H38" s="61">
        <v>100</v>
      </c>
      <c r="I38" s="26">
        <v>100</v>
      </c>
      <c r="J38" s="21">
        <f t="shared" si="1"/>
        <v>10000</v>
      </c>
      <c r="K38" s="7"/>
      <c r="V38" s="5">
        <f t="shared" si="5"/>
        <v>1</v>
      </c>
      <c r="W38" s="5">
        <f t="shared" si="6"/>
        <v>0</v>
      </c>
    </row>
    <row r="39" spans="1:23" x14ac:dyDescent="0.3">
      <c r="A39" s="6"/>
      <c r="B39" s="23">
        <v>22</v>
      </c>
      <c r="C39" s="24">
        <v>44088</v>
      </c>
      <c r="D39" s="25" t="s">
        <v>18</v>
      </c>
      <c r="E39" s="25" t="s">
        <v>85</v>
      </c>
      <c r="F39" s="26">
        <v>170</v>
      </c>
      <c r="G39" s="61">
        <v>270</v>
      </c>
      <c r="H39" s="61">
        <v>100</v>
      </c>
      <c r="I39" s="26">
        <v>100</v>
      </c>
      <c r="J39" s="21">
        <f t="shared" si="1"/>
        <v>10000</v>
      </c>
      <c r="K39" s="7"/>
      <c r="V39" s="5">
        <f t="shared" si="5"/>
        <v>1</v>
      </c>
      <c r="W39" s="5">
        <f t="shared" si="6"/>
        <v>0</v>
      </c>
    </row>
    <row r="40" spans="1:23" x14ac:dyDescent="0.3">
      <c r="A40" s="6"/>
      <c r="B40" s="23">
        <v>23</v>
      </c>
      <c r="C40" s="24">
        <v>44088</v>
      </c>
      <c r="D40" s="25" t="s">
        <v>18</v>
      </c>
      <c r="E40" s="25" t="s">
        <v>37</v>
      </c>
      <c r="F40" s="26">
        <v>190</v>
      </c>
      <c r="G40" s="61">
        <v>290</v>
      </c>
      <c r="H40" s="61">
        <v>100</v>
      </c>
      <c r="I40" s="26">
        <v>100</v>
      </c>
      <c r="J40" s="21">
        <f t="shared" si="1"/>
        <v>10000</v>
      </c>
      <c r="K40" s="7"/>
      <c r="V40" s="5">
        <f t="shared" si="5"/>
        <v>1</v>
      </c>
      <c r="W40" s="5">
        <f t="shared" si="6"/>
        <v>0</v>
      </c>
    </row>
    <row r="41" spans="1:23" x14ac:dyDescent="0.3">
      <c r="A41" s="6"/>
      <c r="B41" s="23">
        <v>24</v>
      </c>
      <c r="C41" s="24">
        <v>44089</v>
      </c>
      <c r="D41" s="25" t="s">
        <v>18</v>
      </c>
      <c r="E41" s="25" t="s">
        <v>94</v>
      </c>
      <c r="F41" s="26">
        <v>170</v>
      </c>
      <c r="G41" s="61">
        <v>190</v>
      </c>
      <c r="H41" s="61">
        <v>23</v>
      </c>
      <c r="I41" s="26">
        <v>100</v>
      </c>
      <c r="J41" s="21">
        <f t="shared" si="1"/>
        <v>2300</v>
      </c>
      <c r="K41" s="7"/>
      <c r="V41" s="5">
        <f t="shared" si="5"/>
        <v>1</v>
      </c>
      <c r="W41" s="5">
        <f t="shared" si="6"/>
        <v>0</v>
      </c>
    </row>
    <row r="42" spans="1:23" x14ac:dyDescent="0.3">
      <c r="A42" s="6"/>
      <c r="B42" s="23">
        <v>25</v>
      </c>
      <c r="C42" s="24">
        <v>44090</v>
      </c>
      <c r="D42" s="25" t="s">
        <v>18</v>
      </c>
      <c r="E42" s="25" t="s">
        <v>78</v>
      </c>
      <c r="F42" s="26">
        <v>150</v>
      </c>
      <c r="G42" s="61">
        <v>170</v>
      </c>
      <c r="H42" s="61">
        <v>20</v>
      </c>
      <c r="I42" s="26">
        <v>100</v>
      </c>
      <c r="J42" s="21">
        <f t="shared" si="1"/>
        <v>2000</v>
      </c>
      <c r="K42" s="7"/>
      <c r="V42" s="5">
        <f t="shared" si="5"/>
        <v>1</v>
      </c>
      <c r="W42" s="5">
        <f t="shared" si="6"/>
        <v>0</v>
      </c>
    </row>
    <row r="43" spans="1:23" x14ac:dyDescent="0.3">
      <c r="A43" s="6"/>
      <c r="B43" s="23">
        <v>26</v>
      </c>
      <c r="C43" s="24">
        <v>44090</v>
      </c>
      <c r="D43" s="25" t="s">
        <v>18</v>
      </c>
      <c r="E43" s="25" t="s">
        <v>94</v>
      </c>
      <c r="F43" s="26">
        <v>130</v>
      </c>
      <c r="G43" s="61">
        <v>230</v>
      </c>
      <c r="H43" s="61">
        <v>100</v>
      </c>
      <c r="I43" s="26">
        <v>100</v>
      </c>
      <c r="J43" s="21">
        <f t="shared" si="1"/>
        <v>10000</v>
      </c>
      <c r="K43" s="7"/>
      <c r="V43" s="5">
        <f t="shared" si="5"/>
        <v>1</v>
      </c>
      <c r="W43" s="5">
        <f t="shared" si="6"/>
        <v>0</v>
      </c>
    </row>
    <row r="44" spans="1:23" x14ac:dyDescent="0.3">
      <c r="A44" s="6"/>
      <c r="B44" s="23">
        <v>27</v>
      </c>
      <c r="C44" s="24">
        <v>44092</v>
      </c>
      <c r="D44" s="25" t="s">
        <v>18</v>
      </c>
      <c r="E44" s="25" t="s">
        <v>43</v>
      </c>
      <c r="F44" s="26">
        <v>180</v>
      </c>
      <c r="G44" s="61">
        <v>250</v>
      </c>
      <c r="H44" s="61">
        <v>70</v>
      </c>
      <c r="I44" s="26">
        <v>100</v>
      </c>
      <c r="J44" s="21">
        <f t="shared" si="1"/>
        <v>7000</v>
      </c>
      <c r="K44" s="7"/>
      <c r="V44" s="5">
        <f t="shared" si="5"/>
        <v>1</v>
      </c>
      <c r="W44" s="5">
        <f t="shared" si="6"/>
        <v>0</v>
      </c>
    </row>
    <row r="45" spans="1:23" x14ac:dyDescent="0.3">
      <c r="A45" s="6"/>
      <c r="B45" s="23">
        <v>28</v>
      </c>
      <c r="C45" s="24">
        <v>44092</v>
      </c>
      <c r="D45" s="25" t="s">
        <v>18</v>
      </c>
      <c r="E45" s="25" t="s">
        <v>40</v>
      </c>
      <c r="F45" s="26">
        <v>160</v>
      </c>
      <c r="G45" s="61">
        <v>110</v>
      </c>
      <c r="H45" s="61">
        <v>-50</v>
      </c>
      <c r="I45" s="26">
        <v>100</v>
      </c>
      <c r="J45" s="21">
        <f t="shared" si="1"/>
        <v>-5000</v>
      </c>
      <c r="K45" s="7"/>
      <c r="V45" s="5">
        <f t="shared" si="5"/>
        <v>0</v>
      </c>
      <c r="W45" s="5">
        <f t="shared" si="6"/>
        <v>1</v>
      </c>
    </row>
    <row r="46" spans="1:23" x14ac:dyDescent="0.3">
      <c r="A46" s="6"/>
      <c r="B46" s="23">
        <v>29</v>
      </c>
      <c r="C46" s="24">
        <v>44092</v>
      </c>
      <c r="D46" s="25" t="s">
        <v>18</v>
      </c>
      <c r="E46" s="25" t="s">
        <v>50</v>
      </c>
      <c r="F46" s="26">
        <v>170</v>
      </c>
      <c r="G46" s="61">
        <v>120</v>
      </c>
      <c r="H46" s="61">
        <v>-50</v>
      </c>
      <c r="I46" s="26">
        <v>100</v>
      </c>
      <c r="J46" s="21">
        <f t="shared" si="1"/>
        <v>-5000</v>
      </c>
      <c r="K46" s="7"/>
      <c r="V46" s="5">
        <f t="shared" si="5"/>
        <v>0</v>
      </c>
      <c r="W46" s="5">
        <f t="shared" si="6"/>
        <v>1</v>
      </c>
    </row>
    <row r="47" spans="1:23" x14ac:dyDescent="0.3">
      <c r="A47" s="6"/>
      <c r="B47" s="23">
        <v>30</v>
      </c>
      <c r="C47" s="24">
        <v>44095</v>
      </c>
      <c r="D47" s="25" t="s">
        <v>18</v>
      </c>
      <c r="E47" s="25" t="s">
        <v>41</v>
      </c>
      <c r="F47" s="26">
        <v>180</v>
      </c>
      <c r="G47" s="61">
        <v>228</v>
      </c>
      <c r="H47" s="61">
        <v>48</v>
      </c>
      <c r="I47" s="26">
        <v>100</v>
      </c>
      <c r="J47" s="21">
        <f t="shared" si="1"/>
        <v>4800</v>
      </c>
      <c r="K47" s="7"/>
      <c r="V47" s="5">
        <f t="shared" si="5"/>
        <v>1</v>
      </c>
      <c r="W47" s="5">
        <f t="shared" si="6"/>
        <v>0</v>
      </c>
    </row>
    <row r="48" spans="1:23" x14ac:dyDescent="0.3">
      <c r="A48" s="6"/>
      <c r="B48" s="23">
        <v>31</v>
      </c>
      <c r="C48" s="24">
        <v>44095</v>
      </c>
      <c r="D48" s="25" t="s">
        <v>18</v>
      </c>
      <c r="E48" s="25" t="s">
        <v>40</v>
      </c>
      <c r="F48" s="26">
        <v>170</v>
      </c>
      <c r="G48" s="61">
        <v>270</v>
      </c>
      <c r="H48" s="61">
        <v>100</v>
      </c>
      <c r="I48" s="26">
        <v>100</v>
      </c>
      <c r="J48" s="21">
        <f t="shared" si="1"/>
        <v>10000</v>
      </c>
      <c r="K48" s="7"/>
      <c r="V48" s="5">
        <f t="shared" si="5"/>
        <v>1</v>
      </c>
      <c r="W48" s="5">
        <f t="shared" si="6"/>
        <v>0</v>
      </c>
    </row>
    <row r="49" spans="1:23" x14ac:dyDescent="0.3">
      <c r="A49" s="6"/>
      <c r="B49" s="23">
        <v>32</v>
      </c>
      <c r="C49" s="24">
        <v>44095</v>
      </c>
      <c r="D49" s="25" t="s">
        <v>18</v>
      </c>
      <c r="E49" s="25" t="s">
        <v>42</v>
      </c>
      <c r="F49" s="26">
        <v>150</v>
      </c>
      <c r="G49" s="61">
        <v>250</v>
      </c>
      <c r="H49" s="61">
        <v>100</v>
      </c>
      <c r="I49" s="26">
        <v>100</v>
      </c>
      <c r="J49" s="21">
        <f t="shared" si="1"/>
        <v>10000</v>
      </c>
      <c r="K49" s="7"/>
      <c r="V49" s="5">
        <f t="shared" si="5"/>
        <v>1</v>
      </c>
      <c r="W49" s="5">
        <f t="shared" si="6"/>
        <v>0</v>
      </c>
    </row>
    <row r="50" spans="1:23" x14ac:dyDescent="0.3">
      <c r="A50" s="6"/>
      <c r="B50" s="23">
        <v>33</v>
      </c>
      <c r="C50" s="24">
        <v>44095</v>
      </c>
      <c r="D50" s="25" t="s">
        <v>18</v>
      </c>
      <c r="E50" s="25" t="s">
        <v>95</v>
      </c>
      <c r="F50" s="26">
        <v>180</v>
      </c>
      <c r="G50" s="61">
        <v>280</v>
      </c>
      <c r="H50" s="61">
        <v>100</v>
      </c>
      <c r="I50" s="26">
        <v>100</v>
      </c>
      <c r="J50" s="21">
        <f t="shared" si="1"/>
        <v>10000</v>
      </c>
      <c r="K50" s="7"/>
      <c r="V50" s="5">
        <f t="shared" si="5"/>
        <v>1</v>
      </c>
      <c r="W50" s="5">
        <f t="shared" si="6"/>
        <v>0</v>
      </c>
    </row>
    <row r="51" spans="1:23" x14ac:dyDescent="0.3">
      <c r="A51" s="6"/>
      <c r="B51" s="23">
        <v>34</v>
      </c>
      <c r="C51" s="24">
        <v>44096</v>
      </c>
      <c r="D51" s="25" t="s">
        <v>18</v>
      </c>
      <c r="E51" s="25" t="s">
        <v>96</v>
      </c>
      <c r="F51" s="26">
        <v>140</v>
      </c>
      <c r="G51" s="61">
        <v>220</v>
      </c>
      <c r="H51" s="61">
        <v>80</v>
      </c>
      <c r="I51" s="26">
        <v>100</v>
      </c>
      <c r="J51" s="21">
        <f t="shared" si="1"/>
        <v>8000</v>
      </c>
      <c r="K51" s="7"/>
      <c r="V51" s="5">
        <f t="shared" si="5"/>
        <v>1</v>
      </c>
      <c r="W51" s="5">
        <f t="shared" si="6"/>
        <v>0</v>
      </c>
    </row>
    <row r="52" spans="1:23" x14ac:dyDescent="0.3">
      <c r="A52" s="6"/>
      <c r="B52" s="23">
        <v>35</v>
      </c>
      <c r="C52" s="24">
        <v>44096</v>
      </c>
      <c r="D52" s="25" t="s">
        <v>18</v>
      </c>
      <c r="E52" s="25" t="s">
        <v>96</v>
      </c>
      <c r="F52" s="26">
        <v>150</v>
      </c>
      <c r="G52" s="61">
        <v>100</v>
      </c>
      <c r="H52" s="61">
        <v>-50</v>
      </c>
      <c r="I52" s="26">
        <v>100</v>
      </c>
      <c r="J52" s="21">
        <f t="shared" si="1"/>
        <v>-5000</v>
      </c>
      <c r="K52" s="7"/>
      <c r="V52" s="5">
        <f t="shared" si="5"/>
        <v>0</v>
      </c>
      <c r="W52" s="5">
        <f t="shared" si="6"/>
        <v>1</v>
      </c>
    </row>
    <row r="53" spans="1:23" x14ac:dyDescent="0.3">
      <c r="A53" s="6"/>
      <c r="B53" s="23">
        <v>36</v>
      </c>
      <c r="C53" s="24">
        <v>44097</v>
      </c>
      <c r="D53" s="25" t="s">
        <v>18</v>
      </c>
      <c r="E53" s="25" t="s">
        <v>98</v>
      </c>
      <c r="F53" s="26">
        <v>120</v>
      </c>
      <c r="G53" s="61">
        <v>220</v>
      </c>
      <c r="H53" s="61">
        <v>100</v>
      </c>
      <c r="I53" s="26">
        <v>100</v>
      </c>
      <c r="J53" s="21">
        <f t="shared" si="1"/>
        <v>10000</v>
      </c>
      <c r="K53" s="7"/>
      <c r="V53" s="5">
        <f t="shared" si="5"/>
        <v>1</v>
      </c>
      <c r="W53" s="5">
        <f t="shared" si="6"/>
        <v>0</v>
      </c>
    </row>
    <row r="54" spans="1:23" x14ac:dyDescent="0.3">
      <c r="A54" s="6"/>
      <c r="B54" s="23">
        <v>37</v>
      </c>
      <c r="C54" s="24">
        <v>44097</v>
      </c>
      <c r="D54" s="25" t="s">
        <v>18</v>
      </c>
      <c r="E54" s="25" t="s">
        <v>96</v>
      </c>
      <c r="F54" s="26">
        <v>80</v>
      </c>
      <c r="G54" s="61">
        <v>180</v>
      </c>
      <c r="H54" s="61">
        <v>100</v>
      </c>
      <c r="I54" s="26">
        <v>100</v>
      </c>
      <c r="J54" s="21">
        <f t="shared" si="1"/>
        <v>10000</v>
      </c>
      <c r="K54" s="7"/>
      <c r="V54" s="5">
        <f t="shared" si="5"/>
        <v>1</v>
      </c>
      <c r="W54" s="5">
        <f t="shared" si="6"/>
        <v>0</v>
      </c>
    </row>
    <row r="55" spans="1:23" x14ac:dyDescent="0.3">
      <c r="A55" s="6"/>
      <c r="B55" s="23">
        <v>38</v>
      </c>
      <c r="C55" s="24">
        <v>44097</v>
      </c>
      <c r="D55" s="25" t="s">
        <v>18</v>
      </c>
      <c r="E55" s="25" t="s">
        <v>99</v>
      </c>
      <c r="F55" s="26">
        <v>120</v>
      </c>
      <c r="G55" s="61">
        <v>137</v>
      </c>
      <c r="H55" s="61">
        <v>17</v>
      </c>
      <c r="I55" s="26">
        <v>100</v>
      </c>
      <c r="J55" s="21">
        <f t="shared" si="1"/>
        <v>1700</v>
      </c>
      <c r="K55" s="7"/>
      <c r="V55" s="5">
        <f t="shared" si="5"/>
        <v>1</v>
      </c>
      <c r="W55" s="5">
        <f t="shared" si="6"/>
        <v>0</v>
      </c>
    </row>
    <row r="56" spans="1:23" x14ac:dyDescent="0.3">
      <c r="A56" s="6"/>
      <c r="B56" s="23">
        <v>39</v>
      </c>
      <c r="C56" s="24">
        <v>44098</v>
      </c>
      <c r="D56" s="25" t="s">
        <v>18</v>
      </c>
      <c r="E56" s="25" t="s">
        <v>100</v>
      </c>
      <c r="F56" s="26">
        <v>35</v>
      </c>
      <c r="G56" s="61">
        <v>95</v>
      </c>
      <c r="H56" s="61">
        <v>60</v>
      </c>
      <c r="I56" s="26">
        <v>100</v>
      </c>
      <c r="J56" s="21">
        <f t="shared" si="1"/>
        <v>6000</v>
      </c>
      <c r="K56" s="7"/>
      <c r="V56" s="5">
        <f t="shared" si="5"/>
        <v>1</v>
      </c>
      <c r="W56" s="5">
        <f t="shared" si="6"/>
        <v>0</v>
      </c>
    </row>
    <row r="57" spans="1:23" x14ac:dyDescent="0.3">
      <c r="A57" s="6"/>
      <c r="B57" s="23">
        <v>40</v>
      </c>
      <c r="C57" s="24">
        <v>44098</v>
      </c>
      <c r="D57" s="25" t="s">
        <v>18</v>
      </c>
      <c r="E57" s="25" t="s">
        <v>97</v>
      </c>
      <c r="F57" s="26">
        <v>50</v>
      </c>
      <c r="G57" s="61">
        <v>130</v>
      </c>
      <c r="H57" s="61">
        <v>80</v>
      </c>
      <c r="I57" s="26">
        <v>100</v>
      </c>
      <c r="J57" s="21">
        <f t="shared" si="1"/>
        <v>8000</v>
      </c>
      <c r="K57" s="7"/>
      <c r="V57" s="5">
        <f t="shared" si="5"/>
        <v>1</v>
      </c>
      <c r="W57" s="5">
        <f t="shared" si="6"/>
        <v>0</v>
      </c>
    </row>
    <row r="58" spans="1:23" x14ac:dyDescent="0.3">
      <c r="A58" s="6"/>
      <c r="B58" s="23">
        <v>41</v>
      </c>
      <c r="C58" s="24">
        <v>44099</v>
      </c>
      <c r="D58" s="25" t="s">
        <v>18</v>
      </c>
      <c r="E58" s="25" t="s">
        <v>101</v>
      </c>
      <c r="F58" s="26">
        <v>150</v>
      </c>
      <c r="G58" s="61">
        <v>163.5</v>
      </c>
      <c r="H58" s="61">
        <v>13.5</v>
      </c>
      <c r="I58" s="26">
        <v>100</v>
      </c>
      <c r="J58" s="21">
        <f t="shared" si="1"/>
        <v>1350</v>
      </c>
      <c r="K58" s="7"/>
      <c r="V58" s="5">
        <f t="shared" si="5"/>
        <v>1</v>
      </c>
      <c r="W58" s="5">
        <f t="shared" si="6"/>
        <v>0</v>
      </c>
    </row>
    <row r="59" spans="1:23" x14ac:dyDescent="0.3">
      <c r="A59" s="6"/>
      <c r="B59" s="23">
        <v>42</v>
      </c>
      <c r="C59" s="24">
        <v>44099</v>
      </c>
      <c r="D59" s="25" t="s">
        <v>18</v>
      </c>
      <c r="E59" s="25" t="s">
        <v>102</v>
      </c>
      <c r="F59" s="26">
        <v>140</v>
      </c>
      <c r="G59" s="61">
        <v>164</v>
      </c>
      <c r="H59" s="61">
        <v>24</v>
      </c>
      <c r="I59" s="26">
        <v>100</v>
      </c>
      <c r="J59" s="21">
        <f t="shared" si="1"/>
        <v>2400</v>
      </c>
      <c r="K59" s="7"/>
      <c r="V59" s="5">
        <f t="shared" si="5"/>
        <v>1</v>
      </c>
      <c r="W59" s="5">
        <f t="shared" si="6"/>
        <v>0</v>
      </c>
    </row>
    <row r="60" spans="1:23" x14ac:dyDescent="0.3">
      <c r="A60" s="6"/>
      <c r="B60" s="23">
        <v>43</v>
      </c>
      <c r="C60" s="24">
        <v>44099</v>
      </c>
      <c r="D60" s="25" t="s">
        <v>18</v>
      </c>
      <c r="E60" s="25" t="s">
        <v>103</v>
      </c>
      <c r="F60" s="26">
        <v>160</v>
      </c>
      <c r="G60" s="61">
        <v>110</v>
      </c>
      <c r="H60" s="61">
        <v>-50</v>
      </c>
      <c r="I60" s="26">
        <v>100</v>
      </c>
      <c r="J60" s="21">
        <f t="shared" si="1"/>
        <v>-5000</v>
      </c>
      <c r="K60" s="7"/>
      <c r="V60" s="5">
        <f t="shared" si="5"/>
        <v>0</v>
      </c>
      <c r="W60" s="5">
        <f t="shared" si="6"/>
        <v>1</v>
      </c>
    </row>
    <row r="61" spans="1:23" x14ac:dyDescent="0.3">
      <c r="A61" s="6"/>
      <c r="B61" s="23">
        <v>44</v>
      </c>
      <c r="C61" s="24">
        <v>44102</v>
      </c>
      <c r="D61" s="25" t="s">
        <v>18</v>
      </c>
      <c r="E61" s="25" t="s">
        <v>49</v>
      </c>
      <c r="F61" s="26">
        <v>160</v>
      </c>
      <c r="G61" s="61">
        <v>110</v>
      </c>
      <c r="H61" s="61">
        <v>-50</v>
      </c>
      <c r="I61" s="26">
        <v>100</v>
      </c>
      <c r="J61" s="21">
        <f t="shared" si="1"/>
        <v>-5000</v>
      </c>
      <c r="K61" s="7"/>
      <c r="V61" s="5">
        <f t="shared" si="5"/>
        <v>0</v>
      </c>
      <c r="W61" s="5">
        <f t="shared" si="6"/>
        <v>1</v>
      </c>
    </row>
    <row r="62" spans="1:23" x14ac:dyDescent="0.3">
      <c r="A62" s="6"/>
      <c r="B62" s="23">
        <v>45</v>
      </c>
      <c r="C62" s="24">
        <v>44102</v>
      </c>
      <c r="D62" s="25" t="s">
        <v>18</v>
      </c>
      <c r="E62" s="25" t="s">
        <v>49</v>
      </c>
      <c r="F62" s="26">
        <v>160</v>
      </c>
      <c r="G62" s="61">
        <v>172</v>
      </c>
      <c r="H62" s="61">
        <v>12</v>
      </c>
      <c r="I62" s="26">
        <v>100</v>
      </c>
      <c r="J62" s="21">
        <f t="shared" si="1"/>
        <v>1200</v>
      </c>
      <c r="K62" s="7"/>
      <c r="V62" s="5">
        <f t="shared" si="5"/>
        <v>1</v>
      </c>
      <c r="W62" s="5">
        <f t="shared" si="6"/>
        <v>0</v>
      </c>
    </row>
    <row r="63" spans="1:23" x14ac:dyDescent="0.3">
      <c r="A63" s="6"/>
      <c r="B63" s="23">
        <v>46</v>
      </c>
      <c r="C63" s="24">
        <v>44103</v>
      </c>
      <c r="D63" s="25" t="s">
        <v>18</v>
      </c>
      <c r="E63" s="25" t="s">
        <v>44</v>
      </c>
      <c r="F63" s="26">
        <v>130</v>
      </c>
      <c r="G63" s="61">
        <v>80</v>
      </c>
      <c r="H63" s="61">
        <v>-50</v>
      </c>
      <c r="I63" s="26">
        <v>100</v>
      </c>
      <c r="J63" s="21">
        <f t="shared" si="1"/>
        <v>-5000</v>
      </c>
      <c r="K63" s="7"/>
      <c r="V63" s="5">
        <f t="shared" si="5"/>
        <v>0</v>
      </c>
      <c r="W63" s="5">
        <f t="shared" si="6"/>
        <v>1</v>
      </c>
    </row>
    <row r="64" spans="1:23" x14ac:dyDescent="0.3">
      <c r="A64" s="6"/>
      <c r="B64" s="23">
        <v>47</v>
      </c>
      <c r="C64" s="24">
        <v>44103</v>
      </c>
      <c r="D64" s="25" t="s">
        <v>18</v>
      </c>
      <c r="E64" s="25" t="s">
        <v>40</v>
      </c>
      <c r="F64" s="26">
        <v>160</v>
      </c>
      <c r="G64" s="61">
        <v>189</v>
      </c>
      <c r="H64" s="61">
        <v>29</v>
      </c>
      <c r="I64" s="26">
        <v>100</v>
      </c>
      <c r="J64" s="21">
        <f t="shared" si="1"/>
        <v>2900</v>
      </c>
      <c r="K64" s="7"/>
      <c r="V64" s="5">
        <f t="shared" si="5"/>
        <v>1</v>
      </c>
      <c r="W64" s="5">
        <f t="shared" si="6"/>
        <v>0</v>
      </c>
    </row>
    <row r="65" spans="1:23" x14ac:dyDescent="0.3">
      <c r="A65" s="6"/>
      <c r="B65" s="23">
        <v>48</v>
      </c>
      <c r="C65" s="24">
        <v>44103</v>
      </c>
      <c r="D65" s="25" t="s">
        <v>18</v>
      </c>
      <c r="E65" s="25" t="s">
        <v>41</v>
      </c>
      <c r="F65" s="26">
        <v>130</v>
      </c>
      <c r="G65" s="61">
        <v>150</v>
      </c>
      <c r="H65" s="61">
        <v>20</v>
      </c>
      <c r="I65" s="26">
        <v>100</v>
      </c>
      <c r="J65" s="21">
        <f t="shared" si="1"/>
        <v>2000</v>
      </c>
      <c r="K65" s="7"/>
      <c r="V65" s="5">
        <f t="shared" si="5"/>
        <v>1</v>
      </c>
      <c r="W65" s="5">
        <f t="shared" si="6"/>
        <v>0</v>
      </c>
    </row>
    <row r="66" spans="1:23" x14ac:dyDescent="0.3">
      <c r="A66" s="6"/>
      <c r="B66" s="23">
        <v>49</v>
      </c>
      <c r="C66" s="24">
        <v>44104</v>
      </c>
      <c r="D66" s="25" t="s">
        <v>18</v>
      </c>
      <c r="E66" s="25" t="s">
        <v>106</v>
      </c>
      <c r="F66" s="26">
        <v>170</v>
      </c>
      <c r="G66" s="61">
        <v>220</v>
      </c>
      <c r="H66" s="61">
        <v>50</v>
      </c>
      <c r="I66" s="26">
        <v>100</v>
      </c>
      <c r="J66" s="21">
        <f t="shared" si="1"/>
        <v>5000</v>
      </c>
      <c r="K66" s="7"/>
      <c r="V66" s="5">
        <f t="shared" si="5"/>
        <v>1</v>
      </c>
      <c r="W66" s="5">
        <f t="shared" si="6"/>
        <v>0</v>
      </c>
    </row>
    <row r="67" spans="1:23" x14ac:dyDescent="0.3">
      <c r="A67" s="6"/>
      <c r="B67" s="23">
        <v>50</v>
      </c>
      <c r="C67" s="24">
        <v>44104</v>
      </c>
      <c r="D67" s="25" t="s">
        <v>18</v>
      </c>
      <c r="E67" s="25" t="s">
        <v>40</v>
      </c>
      <c r="F67" s="61">
        <v>140</v>
      </c>
      <c r="G67" s="61">
        <v>90</v>
      </c>
      <c r="H67" s="61">
        <v>-50</v>
      </c>
      <c r="I67" s="26">
        <v>100</v>
      </c>
      <c r="J67" s="21">
        <f t="shared" si="1"/>
        <v>-5000</v>
      </c>
      <c r="K67" s="7"/>
      <c r="V67" s="5">
        <f t="shared" si="5"/>
        <v>0</v>
      </c>
      <c r="W67" s="5">
        <f t="shared" si="6"/>
        <v>1</v>
      </c>
    </row>
    <row r="68" spans="1:23" x14ac:dyDescent="0.3">
      <c r="A68" s="6"/>
      <c r="B68" s="23">
        <v>51</v>
      </c>
      <c r="C68" s="24">
        <v>44104</v>
      </c>
      <c r="D68" s="25" t="s">
        <v>18</v>
      </c>
      <c r="E68" s="25" t="s">
        <v>101</v>
      </c>
      <c r="F68" s="61">
        <v>150</v>
      </c>
      <c r="G68" s="61">
        <v>180</v>
      </c>
      <c r="H68" s="61">
        <v>30</v>
      </c>
      <c r="I68" s="26">
        <v>100</v>
      </c>
      <c r="J68" s="21">
        <f t="shared" si="1"/>
        <v>3000</v>
      </c>
      <c r="K68" s="7"/>
      <c r="V68" s="5">
        <f t="shared" si="5"/>
        <v>1</v>
      </c>
      <c r="W68" s="5">
        <f t="shared" si="6"/>
        <v>0</v>
      </c>
    </row>
    <row r="69" spans="1:23" ht="15" thickBot="1" x14ac:dyDescent="0.35">
      <c r="A69" s="6"/>
      <c r="B69" s="23">
        <v>52</v>
      </c>
      <c r="C69" s="24"/>
      <c r="D69" s="25"/>
      <c r="E69" s="25"/>
      <c r="F69" s="26"/>
      <c r="G69" s="26"/>
      <c r="H69" s="25"/>
      <c r="I69" s="26"/>
      <c r="J69" s="27">
        <f t="shared" si="1"/>
        <v>0</v>
      </c>
      <c r="K69" s="7"/>
      <c r="V69" s="5">
        <f t="shared" si="5"/>
        <v>0</v>
      </c>
      <c r="W69" s="5">
        <f t="shared" si="6"/>
        <v>0</v>
      </c>
    </row>
    <row r="70" spans="1:23" ht="24" thickBot="1" x14ac:dyDescent="0.5">
      <c r="A70" s="6"/>
      <c r="B70" s="144" t="s">
        <v>22</v>
      </c>
      <c r="C70" s="145"/>
      <c r="D70" s="145"/>
      <c r="E70" s="145"/>
      <c r="F70" s="145"/>
      <c r="G70" s="145"/>
      <c r="H70" s="146"/>
      <c r="I70" s="28" t="s">
        <v>23</v>
      </c>
      <c r="J70" s="29">
        <f>SUM(J6:J69)</f>
        <v>217950</v>
      </c>
      <c r="K70" s="7"/>
      <c r="W70" s="5">
        <f t="shared" si="6"/>
        <v>0</v>
      </c>
    </row>
    <row r="71" spans="1:23" ht="30" customHeight="1" thickBot="1" x14ac:dyDescent="0.35">
      <c r="A71" s="30"/>
      <c r="B71" s="31"/>
      <c r="C71" s="31"/>
      <c r="D71" s="31"/>
      <c r="E71" s="31"/>
      <c r="F71" s="31"/>
      <c r="G71" s="31"/>
      <c r="H71" s="32"/>
      <c r="I71" s="31"/>
      <c r="J71" s="32"/>
      <c r="K71" s="33"/>
      <c r="L71" s="36"/>
      <c r="M71" s="36"/>
      <c r="N71" s="36"/>
      <c r="O71" s="36"/>
      <c r="P71" s="36"/>
      <c r="Q71" s="36"/>
      <c r="R71" s="36"/>
    </row>
    <row r="72" spans="1:23" ht="15" thickBot="1" x14ac:dyDescent="0.35">
      <c r="L72" s="36"/>
      <c r="M72" s="36"/>
      <c r="N72" s="36"/>
      <c r="O72" s="22"/>
      <c r="P72" s="22"/>
      <c r="Q72" s="22"/>
      <c r="R72" s="22"/>
    </row>
    <row r="73" spans="1:23" s="36" customFormat="1" ht="30" customHeight="1" thickBot="1" x14ac:dyDescent="0.35">
      <c r="A73" s="1"/>
      <c r="B73" s="2"/>
      <c r="C73" s="2"/>
      <c r="D73" s="2"/>
      <c r="E73" s="2"/>
      <c r="F73" s="2"/>
      <c r="G73" s="2"/>
      <c r="H73" s="3"/>
      <c r="I73" s="2"/>
      <c r="J73" s="3"/>
      <c r="K73" s="4"/>
    </row>
    <row r="74" spans="1:23" s="36" customFormat="1" ht="25.2" thickBot="1" x14ac:dyDescent="0.35">
      <c r="A74" s="6" t="s">
        <v>1</v>
      </c>
      <c r="B74" s="119" t="s">
        <v>2</v>
      </c>
      <c r="C74" s="120"/>
      <c r="D74" s="120"/>
      <c r="E74" s="120"/>
      <c r="F74" s="120"/>
      <c r="G74" s="120"/>
      <c r="H74" s="120"/>
      <c r="I74" s="120"/>
      <c r="J74" s="121"/>
      <c r="K74" s="7"/>
    </row>
    <row r="75" spans="1:23" s="36" customFormat="1" ht="16.2" thickBot="1" x14ac:dyDescent="0.35">
      <c r="A75" s="6"/>
      <c r="B75" s="168" t="s">
        <v>64</v>
      </c>
      <c r="C75" s="169"/>
      <c r="D75" s="169"/>
      <c r="E75" s="169"/>
      <c r="F75" s="169"/>
      <c r="G75" s="169"/>
      <c r="H75" s="169"/>
      <c r="I75" s="169"/>
      <c r="J75" s="170"/>
      <c r="K75" s="7"/>
      <c r="L75" s="22"/>
    </row>
    <row r="76" spans="1:23" s="36" customFormat="1" ht="16.2" thickBot="1" x14ac:dyDescent="0.35">
      <c r="A76" s="6"/>
      <c r="B76" s="106" t="s">
        <v>90</v>
      </c>
      <c r="C76" s="107"/>
      <c r="D76" s="107"/>
      <c r="E76" s="107"/>
      <c r="F76" s="107"/>
      <c r="G76" s="107"/>
      <c r="H76" s="107"/>
      <c r="I76" s="107"/>
      <c r="J76" s="108"/>
      <c r="K76" s="7"/>
    </row>
    <row r="77" spans="1:23" s="22" customFormat="1" ht="15" thickBot="1" x14ac:dyDescent="0.35">
      <c r="A77" s="69"/>
      <c r="B77" s="70" t="s">
        <v>9</v>
      </c>
      <c r="C77" s="71" t="s">
        <v>10</v>
      </c>
      <c r="D77" s="72" t="s">
        <v>11</v>
      </c>
      <c r="E77" s="72" t="s">
        <v>12</v>
      </c>
      <c r="F77" s="73" t="s">
        <v>65</v>
      </c>
      <c r="G77" s="73" t="s">
        <v>66</v>
      </c>
      <c r="H77" s="74" t="s">
        <v>67</v>
      </c>
      <c r="I77" s="73" t="s">
        <v>68</v>
      </c>
      <c r="J77" s="75" t="s">
        <v>17</v>
      </c>
      <c r="K77" s="76"/>
      <c r="L77" s="36"/>
      <c r="M77" s="36"/>
      <c r="N77" s="36"/>
      <c r="O77" s="36" t="s">
        <v>21</v>
      </c>
      <c r="P77" s="36"/>
      <c r="Q77" s="36"/>
      <c r="R77" s="36"/>
      <c r="V77" s="5" t="s">
        <v>5</v>
      </c>
      <c r="W77" s="5" t="s">
        <v>6</v>
      </c>
    </row>
    <row r="78" spans="1:23" s="36" customFormat="1" x14ac:dyDescent="0.3">
      <c r="A78" s="6"/>
      <c r="B78" s="14">
        <v>1</v>
      </c>
      <c r="C78" s="18">
        <v>44075</v>
      </c>
      <c r="D78" s="19" t="s">
        <v>69</v>
      </c>
      <c r="E78" s="19" t="s">
        <v>70</v>
      </c>
      <c r="F78" s="35">
        <v>490</v>
      </c>
      <c r="G78" s="35">
        <v>484</v>
      </c>
      <c r="H78" s="35">
        <v>6</v>
      </c>
      <c r="I78" s="20">
        <v>1200</v>
      </c>
      <c r="J78" s="16">
        <f t="shared" ref="J78:J110" si="7">I78*H78</f>
        <v>7200</v>
      </c>
      <c r="K78" s="7"/>
      <c r="V78" s="36">
        <f>IF($J78&gt;0,1,0)</f>
        <v>1</v>
      </c>
      <c r="W78" s="36">
        <f>IF($J78&lt;0,1,0)</f>
        <v>0</v>
      </c>
    </row>
    <row r="79" spans="1:23" s="36" customFormat="1" x14ac:dyDescent="0.3">
      <c r="A79" s="6"/>
      <c r="B79" s="17">
        <f>B78+1</f>
        <v>2</v>
      </c>
      <c r="C79" s="18">
        <v>44076</v>
      </c>
      <c r="D79" s="19" t="s">
        <v>18</v>
      </c>
      <c r="E79" s="19" t="s">
        <v>71</v>
      </c>
      <c r="F79" s="35">
        <v>2128</v>
      </c>
      <c r="G79" s="35">
        <v>2145</v>
      </c>
      <c r="H79" s="35">
        <v>17</v>
      </c>
      <c r="I79" s="20">
        <v>505</v>
      </c>
      <c r="J79" s="21">
        <f t="shared" si="7"/>
        <v>8585</v>
      </c>
      <c r="K79" s="7"/>
      <c r="L79" s="36" t="s">
        <v>21</v>
      </c>
      <c r="V79" s="36">
        <f t="shared" ref="V79:V110" si="8">IF($J79&gt;0,1,0)</f>
        <v>1</v>
      </c>
      <c r="W79" s="36">
        <f t="shared" ref="W79:W110" si="9">IF($J79&lt;0,1,0)</f>
        <v>0</v>
      </c>
    </row>
    <row r="80" spans="1:23" s="36" customFormat="1" x14ac:dyDescent="0.3">
      <c r="A80" s="6"/>
      <c r="B80" s="17">
        <f t="shared" ref="B80:B109" si="10">B79+1</f>
        <v>3</v>
      </c>
      <c r="C80" s="18">
        <v>44077</v>
      </c>
      <c r="D80" s="19" t="s">
        <v>69</v>
      </c>
      <c r="E80" s="19" t="s">
        <v>75</v>
      </c>
      <c r="F80" s="35">
        <v>388</v>
      </c>
      <c r="G80" s="35">
        <v>384</v>
      </c>
      <c r="H80" s="35">
        <v>4</v>
      </c>
      <c r="I80" s="20">
        <v>1375</v>
      </c>
      <c r="J80" s="21">
        <f t="shared" si="7"/>
        <v>5500</v>
      </c>
      <c r="K80" s="7"/>
      <c r="V80" s="36">
        <f t="shared" si="8"/>
        <v>1</v>
      </c>
      <c r="W80" s="36">
        <f t="shared" si="9"/>
        <v>0</v>
      </c>
    </row>
    <row r="81" spans="1:23" s="36" customFormat="1" x14ac:dyDescent="0.3">
      <c r="A81" s="6"/>
      <c r="B81" s="17">
        <f t="shared" si="10"/>
        <v>4</v>
      </c>
      <c r="C81" s="18">
        <v>44078</v>
      </c>
      <c r="D81" s="19" t="s">
        <v>18</v>
      </c>
      <c r="E81" s="19" t="s">
        <v>76</v>
      </c>
      <c r="F81" s="35">
        <v>292</v>
      </c>
      <c r="G81" s="35">
        <v>294.85000000000002</v>
      </c>
      <c r="H81" s="35">
        <v>2.85</v>
      </c>
      <c r="I81" s="20">
        <v>2000</v>
      </c>
      <c r="J81" s="21">
        <f t="shared" si="7"/>
        <v>5700</v>
      </c>
      <c r="K81" s="7"/>
      <c r="V81" s="36">
        <f t="shared" si="8"/>
        <v>1</v>
      </c>
      <c r="W81" s="36">
        <f t="shared" si="9"/>
        <v>0</v>
      </c>
    </row>
    <row r="82" spans="1:23" s="36" customFormat="1" x14ac:dyDescent="0.3">
      <c r="A82" s="6"/>
      <c r="B82" s="17">
        <f t="shared" si="10"/>
        <v>5</v>
      </c>
      <c r="C82" s="18">
        <v>44081</v>
      </c>
      <c r="D82" s="19" t="s">
        <v>69</v>
      </c>
      <c r="E82" s="19" t="s">
        <v>80</v>
      </c>
      <c r="F82" s="35">
        <v>935</v>
      </c>
      <c r="G82" s="35">
        <v>925.2</v>
      </c>
      <c r="H82" s="35">
        <v>9.8000000000000007</v>
      </c>
      <c r="I82" s="20">
        <v>550</v>
      </c>
      <c r="J82" s="21">
        <f t="shared" si="7"/>
        <v>5390</v>
      </c>
      <c r="K82" s="7"/>
      <c r="V82" s="36">
        <f t="shared" si="8"/>
        <v>1</v>
      </c>
      <c r="W82" s="36">
        <f t="shared" si="9"/>
        <v>0</v>
      </c>
    </row>
    <row r="83" spans="1:23" s="36" customFormat="1" x14ac:dyDescent="0.3">
      <c r="A83" s="6"/>
      <c r="B83" s="17">
        <f t="shared" si="10"/>
        <v>6</v>
      </c>
      <c r="C83" s="18">
        <v>44081</v>
      </c>
      <c r="D83" s="19" t="s">
        <v>69</v>
      </c>
      <c r="E83" s="19" t="s">
        <v>81</v>
      </c>
      <c r="F83" s="20">
        <v>1154</v>
      </c>
      <c r="G83" s="35">
        <v>1144</v>
      </c>
      <c r="H83" s="35">
        <v>10</v>
      </c>
      <c r="I83" s="20">
        <v>1100</v>
      </c>
      <c r="J83" s="21">
        <f t="shared" si="7"/>
        <v>11000</v>
      </c>
      <c r="K83" s="7"/>
      <c r="V83" s="36">
        <f t="shared" si="8"/>
        <v>1</v>
      </c>
      <c r="W83" s="36">
        <f t="shared" si="9"/>
        <v>0</v>
      </c>
    </row>
    <row r="84" spans="1:23" s="36" customFormat="1" x14ac:dyDescent="0.3">
      <c r="A84" s="6"/>
      <c r="B84" s="17">
        <f t="shared" si="10"/>
        <v>7</v>
      </c>
      <c r="C84" s="18">
        <v>44082</v>
      </c>
      <c r="D84" s="19" t="s">
        <v>18</v>
      </c>
      <c r="E84" s="19" t="s">
        <v>86</v>
      </c>
      <c r="F84" s="20">
        <v>3525</v>
      </c>
      <c r="G84" s="35">
        <v>2575</v>
      </c>
      <c r="H84" s="35">
        <v>50</v>
      </c>
      <c r="I84" s="20">
        <v>250</v>
      </c>
      <c r="J84" s="21">
        <f t="shared" si="7"/>
        <v>12500</v>
      </c>
      <c r="K84" s="7"/>
      <c r="V84" s="36">
        <f t="shared" si="8"/>
        <v>1</v>
      </c>
      <c r="W84" s="36">
        <f t="shared" si="9"/>
        <v>0</v>
      </c>
    </row>
    <row r="85" spans="1:23" s="36" customFormat="1" x14ac:dyDescent="0.3">
      <c r="A85" s="6"/>
      <c r="B85" s="17">
        <f t="shared" si="10"/>
        <v>8</v>
      </c>
      <c r="C85" s="18">
        <v>44083</v>
      </c>
      <c r="D85" s="19" t="s">
        <v>18</v>
      </c>
      <c r="E85" s="19" t="s">
        <v>87</v>
      </c>
      <c r="F85" s="35">
        <v>604</v>
      </c>
      <c r="G85" s="35">
        <v>611</v>
      </c>
      <c r="H85" s="35">
        <v>7</v>
      </c>
      <c r="I85" s="20">
        <v>800</v>
      </c>
      <c r="J85" s="21">
        <f t="shared" si="7"/>
        <v>5600</v>
      </c>
      <c r="K85" s="7"/>
      <c r="V85" s="36">
        <f t="shared" si="8"/>
        <v>1</v>
      </c>
      <c r="W85" s="36">
        <f t="shared" si="9"/>
        <v>0</v>
      </c>
    </row>
    <row r="86" spans="1:23" s="36" customFormat="1" x14ac:dyDescent="0.3">
      <c r="A86" s="6"/>
      <c r="B86" s="17">
        <f t="shared" si="10"/>
        <v>9</v>
      </c>
      <c r="C86" s="18">
        <v>44084</v>
      </c>
      <c r="D86" s="19" t="s">
        <v>69</v>
      </c>
      <c r="E86" s="19" t="s">
        <v>88</v>
      </c>
      <c r="F86" s="35">
        <v>285</v>
      </c>
      <c r="G86" s="35">
        <v>281.10000000000002</v>
      </c>
      <c r="H86" s="35">
        <v>3.9</v>
      </c>
      <c r="I86" s="20">
        <v>2700</v>
      </c>
      <c r="J86" s="21">
        <f t="shared" si="7"/>
        <v>10530</v>
      </c>
      <c r="K86" s="7"/>
      <c r="V86" s="36">
        <f t="shared" si="8"/>
        <v>1</v>
      </c>
      <c r="W86" s="36">
        <f t="shared" si="9"/>
        <v>0</v>
      </c>
    </row>
    <row r="87" spans="1:23" s="36" customFormat="1" x14ac:dyDescent="0.3">
      <c r="A87" s="6"/>
      <c r="B87" s="17">
        <f t="shared" si="10"/>
        <v>10</v>
      </c>
      <c r="C87" s="18">
        <v>44085</v>
      </c>
      <c r="D87" s="19" t="s">
        <v>18</v>
      </c>
      <c r="E87" s="19" t="s">
        <v>89</v>
      </c>
      <c r="F87" s="35">
        <v>1340</v>
      </c>
      <c r="G87" s="35">
        <v>1355</v>
      </c>
      <c r="H87" s="35">
        <v>15</v>
      </c>
      <c r="I87" s="20">
        <v>550</v>
      </c>
      <c r="J87" s="21">
        <f t="shared" si="7"/>
        <v>8250</v>
      </c>
      <c r="K87" s="7"/>
      <c r="V87" s="36">
        <f t="shared" si="8"/>
        <v>1</v>
      </c>
      <c r="W87" s="36">
        <f t="shared" si="9"/>
        <v>0</v>
      </c>
    </row>
    <row r="88" spans="1:23" s="36" customFormat="1" x14ac:dyDescent="0.3">
      <c r="A88" s="6"/>
      <c r="B88" s="17">
        <f t="shared" si="10"/>
        <v>11</v>
      </c>
      <c r="C88" s="18">
        <v>44088</v>
      </c>
      <c r="D88" s="19" t="s">
        <v>69</v>
      </c>
      <c r="E88" s="19" t="s">
        <v>86</v>
      </c>
      <c r="F88" s="19">
        <v>3485</v>
      </c>
      <c r="G88" s="35">
        <v>3445</v>
      </c>
      <c r="H88" s="35">
        <v>40</v>
      </c>
      <c r="I88" s="20">
        <v>250</v>
      </c>
      <c r="J88" s="21">
        <f t="shared" si="7"/>
        <v>10000</v>
      </c>
      <c r="K88" s="7"/>
      <c r="V88" s="36">
        <f t="shared" si="8"/>
        <v>1</v>
      </c>
      <c r="W88" s="36">
        <f t="shared" si="9"/>
        <v>0</v>
      </c>
    </row>
    <row r="89" spans="1:23" s="36" customFormat="1" x14ac:dyDescent="0.3">
      <c r="A89" s="6"/>
      <c r="B89" s="17">
        <f t="shared" si="10"/>
        <v>12</v>
      </c>
      <c r="C89" s="18">
        <v>44089</v>
      </c>
      <c r="D89" s="19" t="s">
        <v>18</v>
      </c>
      <c r="E89" s="19" t="s">
        <v>92</v>
      </c>
      <c r="F89" s="35">
        <v>481</v>
      </c>
      <c r="G89" s="35">
        <v>487</v>
      </c>
      <c r="H89" s="35">
        <v>6</v>
      </c>
      <c r="I89" s="20">
        <v>1851</v>
      </c>
      <c r="J89" s="21">
        <f t="shared" si="7"/>
        <v>11106</v>
      </c>
      <c r="K89" s="7"/>
      <c r="V89" s="36">
        <f t="shared" si="8"/>
        <v>1</v>
      </c>
      <c r="W89" s="36">
        <f t="shared" si="9"/>
        <v>0</v>
      </c>
    </row>
    <row r="90" spans="1:23" s="36" customFormat="1" x14ac:dyDescent="0.3">
      <c r="A90" s="6"/>
      <c r="B90" s="17">
        <f t="shared" si="10"/>
        <v>13</v>
      </c>
      <c r="C90" s="18">
        <v>44089</v>
      </c>
      <c r="D90" s="19" t="s">
        <v>18</v>
      </c>
      <c r="E90" s="19" t="s">
        <v>86</v>
      </c>
      <c r="F90" s="35">
        <v>3505</v>
      </c>
      <c r="G90" s="35">
        <v>3480</v>
      </c>
      <c r="H90" s="35">
        <v>-25</v>
      </c>
      <c r="I90" s="20">
        <v>250</v>
      </c>
      <c r="J90" s="21">
        <f t="shared" si="7"/>
        <v>-6250</v>
      </c>
      <c r="K90" s="7"/>
      <c r="V90" s="36">
        <f t="shared" si="8"/>
        <v>0</v>
      </c>
      <c r="W90" s="36">
        <f t="shared" si="9"/>
        <v>1</v>
      </c>
    </row>
    <row r="91" spans="1:23" s="36" customFormat="1" x14ac:dyDescent="0.3">
      <c r="A91" s="6"/>
      <c r="B91" s="17">
        <f t="shared" si="10"/>
        <v>14</v>
      </c>
      <c r="C91" s="18">
        <v>44089</v>
      </c>
      <c r="D91" s="19" t="s">
        <v>18</v>
      </c>
      <c r="E91" s="19" t="s">
        <v>80</v>
      </c>
      <c r="F91" s="77">
        <v>913</v>
      </c>
      <c r="G91" s="35">
        <v>903</v>
      </c>
      <c r="H91" s="78">
        <v>-10</v>
      </c>
      <c r="I91" s="20">
        <v>550</v>
      </c>
      <c r="J91" s="21">
        <f t="shared" si="7"/>
        <v>-5500</v>
      </c>
      <c r="K91" s="7"/>
      <c r="V91" s="36">
        <f t="shared" si="8"/>
        <v>0</v>
      </c>
      <c r="W91" s="36">
        <f t="shared" si="9"/>
        <v>1</v>
      </c>
    </row>
    <row r="92" spans="1:23" s="36" customFormat="1" x14ac:dyDescent="0.3">
      <c r="A92" s="6"/>
      <c r="B92" s="17">
        <f t="shared" si="10"/>
        <v>15</v>
      </c>
      <c r="C92" s="18">
        <v>44090</v>
      </c>
      <c r="D92" s="19" t="s">
        <v>69</v>
      </c>
      <c r="E92" s="19" t="s">
        <v>71</v>
      </c>
      <c r="F92" s="35">
        <v>2347</v>
      </c>
      <c r="G92" s="35">
        <v>2337</v>
      </c>
      <c r="H92" s="78">
        <v>10</v>
      </c>
      <c r="I92" s="20">
        <v>505</v>
      </c>
      <c r="J92" s="21">
        <f t="shared" si="7"/>
        <v>5050</v>
      </c>
      <c r="K92" s="7"/>
      <c r="V92" s="36">
        <f t="shared" si="8"/>
        <v>1</v>
      </c>
      <c r="W92" s="36">
        <f t="shared" si="9"/>
        <v>0</v>
      </c>
    </row>
    <row r="93" spans="1:23" s="36" customFormat="1" x14ac:dyDescent="0.3">
      <c r="A93" s="6"/>
      <c r="B93" s="17">
        <f t="shared" si="10"/>
        <v>16</v>
      </c>
      <c r="C93" s="18">
        <v>44091</v>
      </c>
      <c r="D93" s="19" t="s">
        <v>18</v>
      </c>
      <c r="E93" s="19" t="s">
        <v>86</v>
      </c>
      <c r="F93" s="35">
        <v>3515</v>
      </c>
      <c r="G93" s="35">
        <v>3490</v>
      </c>
      <c r="H93" s="78">
        <v>-25</v>
      </c>
      <c r="I93" s="20">
        <v>250</v>
      </c>
      <c r="J93" s="21">
        <f t="shared" si="7"/>
        <v>-6250</v>
      </c>
      <c r="K93" s="7"/>
      <c r="V93" s="36">
        <f t="shared" si="8"/>
        <v>0</v>
      </c>
      <c r="W93" s="36">
        <f t="shared" si="9"/>
        <v>1</v>
      </c>
    </row>
    <row r="94" spans="1:23" s="36" customFormat="1" x14ac:dyDescent="0.3">
      <c r="A94" s="6"/>
      <c r="B94" s="17">
        <f t="shared" si="10"/>
        <v>17</v>
      </c>
      <c r="C94" s="18">
        <v>44092</v>
      </c>
      <c r="D94" s="19" t="s">
        <v>18</v>
      </c>
      <c r="E94" s="19" t="s">
        <v>71</v>
      </c>
      <c r="F94" s="35">
        <v>2310</v>
      </c>
      <c r="G94" s="35">
        <v>2325</v>
      </c>
      <c r="H94" s="35">
        <v>15</v>
      </c>
      <c r="I94" s="20">
        <v>505</v>
      </c>
      <c r="J94" s="21">
        <f t="shared" si="7"/>
        <v>7575</v>
      </c>
      <c r="K94" s="7"/>
      <c r="V94" s="36">
        <f t="shared" si="8"/>
        <v>1</v>
      </c>
      <c r="W94" s="36">
        <f t="shared" si="9"/>
        <v>0</v>
      </c>
    </row>
    <row r="95" spans="1:23" s="36" customFormat="1" x14ac:dyDescent="0.3">
      <c r="A95" s="6"/>
      <c r="B95" s="17">
        <f t="shared" si="10"/>
        <v>18</v>
      </c>
      <c r="C95" s="18">
        <v>44092</v>
      </c>
      <c r="D95" s="19" t="s">
        <v>69</v>
      </c>
      <c r="E95" s="19" t="s">
        <v>93</v>
      </c>
      <c r="F95" s="35">
        <v>1077</v>
      </c>
      <c r="G95" s="35">
        <v>1057</v>
      </c>
      <c r="H95" s="35">
        <v>20</v>
      </c>
      <c r="I95" s="20">
        <v>550</v>
      </c>
      <c r="J95" s="21">
        <f t="shared" si="7"/>
        <v>11000</v>
      </c>
      <c r="K95" s="7"/>
      <c r="V95" s="36">
        <f t="shared" si="8"/>
        <v>1</v>
      </c>
      <c r="W95" s="36">
        <f t="shared" si="9"/>
        <v>0</v>
      </c>
    </row>
    <row r="96" spans="1:23" s="36" customFormat="1" x14ac:dyDescent="0.3">
      <c r="A96" s="6"/>
      <c r="B96" s="17">
        <f t="shared" si="10"/>
        <v>19</v>
      </c>
      <c r="C96" s="18">
        <v>44095</v>
      </c>
      <c r="D96" s="19" t="s">
        <v>69</v>
      </c>
      <c r="E96" s="19" t="s">
        <v>86</v>
      </c>
      <c r="F96" s="35">
        <v>3425</v>
      </c>
      <c r="G96" s="35">
        <v>3375</v>
      </c>
      <c r="H96" s="35">
        <v>50</v>
      </c>
      <c r="I96" s="20">
        <v>250</v>
      </c>
      <c r="J96" s="21">
        <f t="shared" si="7"/>
        <v>12500</v>
      </c>
      <c r="K96" s="7"/>
      <c r="V96" s="36">
        <f t="shared" si="8"/>
        <v>1</v>
      </c>
      <c r="W96" s="36">
        <f t="shared" si="9"/>
        <v>0</v>
      </c>
    </row>
    <row r="97" spans="1:23" s="36" customFormat="1" x14ac:dyDescent="0.3">
      <c r="A97" s="6"/>
      <c r="B97" s="17">
        <f t="shared" si="10"/>
        <v>20</v>
      </c>
      <c r="C97" s="18">
        <v>44095</v>
      </c>
      <c r="D97" s="19" t="s">
        <v>18</v>
      </c>
      <c r="E97" s="19" t="s">
        <v>71</v>
      </c>
      <c r="F97" s="35">
        <v>2315</v>
      </c>
      <c r="G97" s="35">
        <v>2336.5</v>
      </c>
      <c r="H97" s="35">
        <v>21.5</v>
      </c>
      <c r="I97" s="20">
        <v>505</v>
      </c>
      <c r="J97" s="21">
        <f t="shared" si="7"/>
        <v>10857.5</v>
      </c>
      <c r="K97" s="7"/>
      <c r="V97" s="36">
        <f t="shared" si="8"/>
        <v>1</v>
      </c>
      <c r="W97" s="36">
        <f t="shared" si="9"/>
        <v>0</v>
      </c>
    </row>
    <row r="98" spans="1:23" s="36" customFormat="1" x14ac:dyDescent="0.3">
      <c r="A98" s="6"/>
      <c r="B98" s="17">
        <f t="shared" si="10"/>
        <v>21</v>
      </c>
      <c r="C98" s="18">
        <v>44096</v>
      </c>
      <c r="D98" s="19" t="s">
        <v>69</v>
      </c>
      <c r="E98" s="19" t="s">
        <v>70</v>
      </c>
      <c r="F98" s="35">
        <v>420</v>
      </c>
      <c r="G98" s="35">
        <v>410</v>
      </c>
      <c r="H98" s="35">
        <v>10</v>
      </c>
      <c r="I98" s="20">
        <v>1200</v>
      </c>
      <c r="J98" s="21">
        <f t="shared" si="7"/>
        <v>12000</v>
      </c>
      <c r="K98" s="7"/>
      <c r="V98" s="36">
        <f t="shared" si="8"/>
        <v>1</v>
      </c>
      <c r="W98" s="36">
        <f t="shared" si="9"/>
        <v>0</v>
      </c>
    </row>
    <row r="99" spans="1:23" s="36" customFormat="1" x14ac:dyDescent="0.3">
      <c r="A99" s="6"/>
      <c r="B99" s="17">
        <f t="shared" si="10"/>
        <v>22</v>
      </c>
      <c r="C99" s="18">
        <v>44097</v>
      </c>
      <c r="D99" s="19" t="s">
        <v>69</v>
      </c>
      <c r="E99" s="19" t="s">
        <v>70</v>
      </c>
      <c r="F99" s="35">
        <v>413</v>
      </c>
      <c r="G99" s="35">
        <v>417</v>
      </c>
      <c r="H99" s="35">
        <v>-4</v>
      </c>
      <c r="I99" s="20">
        <v>1200</v>
      </c>
      <c r="J99" s="21">
        <f t="shared" si="7"/>
        <v>-4800</v>
      </c>
      <c r="K99" s="7"/>
      <c r="V99" s="36">
        <f t="shared" si="8"/>
        <v>0</v>
      </c>
      <c r="W99" s="36">
        <f t="shared" si="9"/>
        <v>1</v>
      </c>
    </row>
    <row r="100" spans="1:23" s="36" customFormat="1" x14ac:dyDescent="0.3">
      <c r="A100" s="6"/>
      <c r="B100" s="17">
        <f t="shared" si="10"/>
        <v>23</v>
      </c>
      <c r="C100" s="18">
        <v>44097</v>
      </c>
      <c r="D100" s="19" t="s">
        <v>18</v>
      </c>
      <c r="E100" s="19" t="s">
        <v>86</v>
      </c>
      <c r="F100" s="35">
        <v>3320</v>
      </c>
      <c r="G100" s="35">
        <v>3337</v>
      </c>
      <c r="H100" s="35">
        <v>17</v>
      </c>
      <c r="I100" s="20">
        <v>250</v>
      </c>
      <c r="J100" s="21">
        <f t="shared" si="7"/>
        <v>4250</v>
      </c>
      <c r="K100" s="7"/>
      <c r="V100" s="36">
        <f t="shared" si="8"/>
        <v>1</v>
      </c>
      <c r="W100" s="36">
        <f t="shared" si="9"/>
        <v>0</v>
      </c>
    </row>
    <row r="101" spans="1:23" s="36" customFormat="1" x14ac:dyDescent="0.3">
      <c r="A101" s="6"/>
      <c r="B101" s="17">
        <f t="shared" si="10"/>
        <v>24</v>
      </c>
      <c r="C101" s="18">
        <v>44098</v>
      </c>
      <c r="D101" s="19" t="s">
        <v>69</v>
      </c>
      <c r="E101" s="19" t="s">
        <v>70</v>
      </c>
      <c r="F101" s="35">
        <v>407</v>
      </c>
      <c r="G101" s="35">
        <v>405</v>
      </c>
      <c r="H101" s="35">
        <v>2</v>
      </c>
      <c r="I101" s="20">
        <v>1200</v>
      </c>
      <c r="J101" s="21">
        <f t="shared" si="7"/>
        <v>2400</v>
      </c>
      <c r="K101" s="7"/>
      <c r="V101" s="36">
        <f t="shared" si="8"/>
        <v>1</v>
      </c>
      <c r="W101" s="36">
        <f t="shared" si="9"/>
        <v>0</v>
      </c>
    </row>
    <row r="102" spans="1:23" s="36" customFormat="1" x14ac:dyDescent="0.3">
      <c r="A102" s="6"/>
      <c r="B102" s="17">
        <f t="shared" si="10"/>
        <v>25</v>
      </c>
      <c r="C102" s="18">
        <v>44098</v>
      </c>
      <c r="D102" s="19" t="s">
        <v>69</v>
      </c>
      <c r="E102" s="19" t="s">
        <v>87</v>
      </c>
      <c r="F102" s="35">
        <v>505</v>
      </c>
      <c r="G102" s="35">
        <v>511</v>
      </c>
      <c r="H102" s="35">
        <v>-6</v>
      </c>
      <c r="I102" s="20">
        <v>800</v>
      </c>
      <c r="J102" s="21">
        <f t="shared" si="7"/>
        <v>-4800</v>
      </c>
      <c r="K102" s="7"/>
      <c r="V102" s="36">
        <f t="shared" si="8"/>
        <v>0</v>
      </c>
      <c r="W102" s="36">
        <f t="shared" si="9"/>
        <v>1</v>
      </c>
    </row>
    <row r="103" spans="1:23" s="36" customFormat="1" x14ac:dyDescent="0.3">
      <c r="A103" s="6"/>
      <c r="B103" s="17">
        <f t="shared" si="10"/>
        <v>26</v>
      </c>
      <c r="C103" s="18">
        <v>44099</v>
      </c>
      <c r="D103" s="19" t="s">
        <v>18</v>
      </c>
      <c r="E103" s="19" t="s">
        <v>86</v>
      </c>
      <c r="F103" s="35">
        <v>3080</v>
      </c>
      <c r="G103" s="35">
        <v>3050</v>
      </c>
      <c r="H103" s="35">
        <v>30</v>
      </c>
      <c r="I103" s="20">
        <v>250</v>
      </c>
      <c r="J103" s="21">
        <f t="shared" si="7"/>
        <v>7500</v>
      </c>
      <c r="K103" s="7"/>
      <c r="V103" s="36">
        <f t="shared" si="8"/>
        <v>1</v>
      </c>
      <c r="W103" s="36">
        <f t="shared" si="9"/>
        <v>0</v>
      </c>
    </row>
    <row r="104" spans="1:23" s="36" customFormat="1" x14ac:dyDescent="0.3">
      <c r="A104" s="6"/>
      <c r="B104" s="17">
        <f t="shared" si="10"/>
        <v>27</v>
      </c>
      <c r="C104" s="18">
        <v>44099</v>
      </c>
      <c r="D104" s="19" t="s">
        <v>18</v>
      </c>
      <c r="E104" s="19" t="s">
        <v>104</v>
      </c>
      <c r="F104" s="35">
        <v>2400</v>
      </c>
      <c r="G104" s="35">
        <v>2417</v>
      </c>
      <c r="H104" s="35">
        <v>17</v>
      </c>
      <c r="I104" s="20">
        <v>300</v>
      </c>
      <c r="J104" s="21">
        <f t="shared" si="7"/>
        <v>5100</v>
      </c>
      <c r="K104" s="7"/>
      <c r="V104" s="36">
        <f t="shared" si="8"/>
        <v>1</v>
      </c>
      <c r="W104" s="36">
        <f t="shared" si="9"/>
        <v>0</v>
      </c>
    </row>
    <row r="105" spans="1:23" s="36" customFormat="1" x14ac:dyDescent="0.3">
      <c r="A105" s="6"/>
      <c r="B105" s="17">
        <f t="shared" si="10"/>
        <v>28</v>
      </c>
      <c r="C105" s="18">
        <v>44102</v>
      </c>
      <c r="D105" s="19" t="s">
        <v>69</v>
      </c>
      <c r="E105" s="19" t="s">
        <v>105</v>
      </c>
      <c r="F105" s="35">
        <v>1000</v>
      </c>
      <c r="G105" s="35">
        <v>990</v>
      </c>
      <c r="H105" s="35">
        <v>10</v>
      </c>
      <c r="I105" s="20">
        <v>850</v>
      </c>
      <c r="J105" s="21">
        <f t="shared" si="7"/>
        <v>8500</v>
      </c>
      <c r="K105" s="7"/>
      <c r="V105" s="36">
        <f t="shared" si="8"/>
        <v>1</v>
      </c>
      <c r="W105" s="36">
        <f t="shared" si="9"/>
        <v>0</v>
      </c>
    </row>
    <row r="106" spans="1:23" s="36" customFormat="1" x14ac:dyDescent="0.3">
      <c r="A106" s="6"/>
      <c r="B106" s="17">
        <f t="shared" si="10"/>
        <v>29</v>
      </c>
      <c r="C106" s="18">
        <v>44103</v>
      </c>
      <c r="D106" s="19" t="s">
        <v>18</v>
      </c>
      <c r="E106" s="19" t="s">
        <v>86</v>
      </c>
      <c r="F106" s="35">
        <v>3305</v>
      </c>
      <c r="G106" s="35">
        <v>3324</v>
      </c>
      <c r="H106" s="35">
        <v>20</v>
      </c>
      <c r="I106" s="20">
        <v>250</v>
      </c>
      <c r="J106" s="21">
        <f t="shared" si="7"/>
        <v>5000</v>
      </c>
      <c r="K106" s="7"/>
      <c r="V106" s="36">
        <f t="shared" si="8"/>
        <v>1</v>
      </c>
      <c r="W106" s="36">
        <f t="shared" si="9"/>
        <v>0</v>
      </c>
    </row>
    <row r="107" spans="1:23" s="36" customFormat="1" x14ac:dyDescent="0.3">
      <c r="A107" s="6"/>
      <c r="B107" s="17">
        <f t="shared" si="10"/>
        <v>30</v>
      </c>
      <c r="C107" s="18">
        <v>44103</v>
      </c>
      <c r="D107" s="19" t="s">
        <v>69</v>
      </c>
      <c r="E107" s="19" t="s">
        <v>105</v>
      </c>
      <c r="F107" s="35">
        <v>1002</v>
      </c>
      <c r="G107" s="35">
        <v>1002</v>
      </c>
      <c r="H107" s="35">
        <v>0</v>
      </c>
      <c r="I107" s="20">
        <v>850</v>
      </c>
      <c r="J107" s="21">
        <f t="shared" si="7"/>
        <v>0</v>
      </c>
      <c r="K107" s="7"/>
    </row>
    <row r="108" spans="1:23" s="36" customFormat="1" x14ac:dyDescent="0.3">
      <c r="A108" s="6"/>
      <c r="B108" s="17">
        <f t="shared" si="10"/>
        <v>31</v>
      </c>
      <c r="C108" s="18">
        <v>44104</v>
      </c>
      <c r="D108" s="19" t="s">
        <v>18</v>
      </c>
      <c r="E108" s="19" t="s">
        <v>86</v>
      </c>
      <c r="F108" s="35">
        <v>3285</v>
      </c>
      <c r="G108" s="35">
        <v>3343</v>
      </c>
      <c r="H108" s="35">
        <v>58</v>
      </c>
      <c r="I108" s="20">
        <v>250</v>
      </c>
      <c r="J108" s="21">
        <f t="shared" si="7"/>
        <v>14500</v>
      </c>
      <c r="K108" s="7"/>
    </row>
    <row r="109" spans="1:23" s="36" customFormat="1" x14ac:dyDescent="0.3">
      <c r="A109" s="6"/>
      <c r="B109" s="17">
        <f t="shared" si="10"/>
        <v>32</v>
      </c>
      <c r="C109" s="18">
        <v>44104</v>
      </c>
      <c r="D109" s="19" t="s">
        <v>18</v>
      </c>
      <c r="E109" s="19" t="s">
        <v>71</v>
      </c>
      <c r="F109" s="35">
        <v>2265</v>
      </c>
      <c r="G109" s="35">
        <v>2258</v>
      </c>
      <c r="H109" s="35">
        <v>-7</v>
      </c>
      <c r="I109" s="20">
        <v>505</v>
      </c>
      <c r="J109" s="21">
        <f t="shared" si="7"/>
        <v>-3535</v>
      </c>
      <c r="K109" s="7"/>
    </row>
    <row r="110" spans="1:23" s="36" customFormat="1" ht="15" thickBot="1" x14ac:dyDescent="0.35">
      <c r="A110" s="6"/>
      <c r="B110" s="17">
        <v>33</v>
      </c>
      <c r="C110" s="79"/>
      <c r="D110" s="80"/>
      <c r="E110" s="80"/>
      <c r="F110" s="81"/>
      <c r="G110" s="81"/>
      <c r="H110" s="80"/>
      <c r="I110" s="81"/>
      <c r="J110" s="82">
        <f t="shared" si="7"/>
        <v>0</v>
      </c>
      <c r="K110" s="7"/>
      <c r="V110" s="36">
        <f t="shared" si="8"/>
        <v>0</v>
      </c>
      <c r="W110" s="36">
        <f t="shared" si="9"/>
        <v>0</v>
      </c>
    </row>
    <row r="111" spans="1:23" s="36" customFormat="1" ht="24" thickBot="1" x14ac:dyDescent="0.5">
      <c r="A111" s="6"/>
      <c r="B111" s="165" t="s">
        <v>22</v>
      </c>
      <c r="C111" s="166"/>
      <c r="D111" s="166"/>
      <c r="E111" s="166"/>
      <c r="F111" s="166"/>
      <c r="G111" s="166"/>
      <c r="H111" s="167"/>
      <c r="I111" s="83" t="s">
        <v>23</v>
      </c>
      <c r="J111" s="84">
        <f>SUM(J78:J110)</f>
        <v>176458.5</v>
      </c>
      <c r="K111" s="7"/>
      <c r="L111" s="5"/>
      <c r="M111" s="5"/>
      <c r="N111" s="5"/>
      <c r="O111" s="5"/>
      <c r="P111" s="5"/>
      <c r="Q111" s="5"/>
      <c r="R111" s="5"/>
      <c r="V111" s="36">
        <f>SUM(V78:V110)</f>
        <v>24</v>
      </c>
      <c r="W111" s="36">
        <f>SUM(W78:W110)</f>
        <v>5</v>
      </c>
    </row>
    <row r="112" spans="1:23" s="36" customFormat="1" ht="30" customHeight="1" thickBot="1" x14ac:dyDescent="0.35">
      <c r="A112" s="30"/>
      <c r="B112" s="31"/>
      <c r="C112" s="31"/>
      <c r="D112" s="31"/>
      <c r="E112" s="31"/>
      <c r="F112" s="31"/>
      <c r="G112" s="31"/>
      <c r="H112" s="32"/>
      <c r="I112" s="31"/>
      <c r="J112" s="32"/>
      <c r="K112" s="33"/>
      <c r="L112" s="5"/>
      <c r="M112" s="5"/>
      <c r="N112" s="5"/>
      <c r="O112" s="5"/>
      <c r="P112" s="5"/>
      <c r="Q112" s="5"/>
      <c r="R112" s="5"/>
    </row>
  </sheetData>
  <mergeCells count="34">
    <mergeCell ref="B111:H111"/>
    <mergeCell ref="B70:H70"/>
    <mergeCell ref="B74:J74"/>
    <mergeCell ref="B75:J75"/>
    <mergeCell ref="B76:J76"/>
    <mergeCell ref="M6:M7"/>
    <mergeCell ref="N6:N7"/>
    <mergeCell ref="O6:O7"/>
    <mergeCell ref="P6:P7"/>
    <mergeCell ref="Q6:Q7"/>
    <mergeCell ref="R6:R7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P8:P9"/>
    <mergeCell ref="Q8:Q9"/>
    <mergeCell ref="R8:R9"/>
    <mergeCell ref="M10:O12"/>
    <mergeCell ref="P10:R12"/>
    <mergeCell ref="M8:M9"/>
    <mergeCell ref="N8:N9"/>
    <mergeCell ref="O8:O9"/>
  </mergeCells>
  <hyperlinks>
    <hyperlink ref="B70" r:id="rId1" xr:uid="{00000000-0004-0000-0200-000000000000}"/>
    <hyperlink ref="M1" location="MASTER!A1" display="Back" xr:uid="{00000000-0004-0000-0200-000001000000}"/>
    <hyperlink ref="B111" r:id="rId2" xr:uid="{00000000-0004-0000-0200-000002000000}"/>
  </hyperlinks>
  <pageMargins left="0" right="0" top="0" bottom="0" header="0" footer="0"/>
  <pageSetup paperSize="9" orientation="portrait" r:id="rId3"/>
  <drawing r:id="rId4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184"/>
  <sheetViews>
    <sheetView topLeftCell="A129" zoomScaleNormal="100" workbookViewId="0">
      <selection activeCell="M181" sqref="M179:M181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44896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785</v>
      </c>
      <c r="C4" s="107"/>
      <c r="D4" s="107"/>
      <c r="E4" s="107"/>
      <c r="F4" s="107"/>
      <c r="G4" s="107"/>
      <c r="H4" s="107"/>
      <c r="I4" s="107"/>
      <c r="J4" s="108"/>
      <c r="K4" s="7"/>
      <c r="M4" s="217" t="s">
        <v>107</v>
      </c>
      <c r="N4" s="111">
        <f>COUNT(C6:C58)</f>
        <v>41</v>
      </c>
      <c r="O4" s="113">
        <v>37</v>
      </c>
      <c r="P4" s="113">
        <v>4</v>
      </c>
      <c r="Q4" s="197">
        <v>0</v>
      </c>
      <c r="R4" s="199">
        <f>O4/N4</f>
        <v>0.90243902439024393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213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44896</v>
      </c>
      <c r="D6" s="90" t="s">
        <v>18</v>
      </c>
      <c r="E6" s="90" t="s">
        <v>778</v>
      </c>
      <c r="F6" s="90">
        <v>120</v>
      </c>
      <c r="G6" s="90">
        <v>170</v>
      </c>
      <c r="H6" s="91">
        <v>50</v>
      </c>
      <c r="I6" s="90">
        <v>100</v>
      </c>
      <c r="J6" s="92">
        <f t="shared" ref="J6:J58" si="0">H6*I6</f>
        <v>5000</v>
      </c>
      <c r="K6" s="7"/>
      <c r="M6" s="213" t="s">
        <v>108</v>
      </c>
      <c r="N6" s="112">
        <f>COUNT(C67:C128)</f>
        <v>36</v>
      </c>
      <c r="O6" s="113">
        <v>33</v>
      </c>
      <c r="P6" s="113">
        <v>3</v>
      </c>
      <c r="Q6" s="198">
        <v>0</v>
      </c>
      <c r="R6" s="203">
        <f t="shared" ref="R6" si="1">O6/N6</f>
        <v>0.91666666666666663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ht="15" thickBot="1" x14ac:dyDescent="0.35">
      <c r="A7" s="6"/>
      <c r="B7" s="17">
        <v>2</v>
      </c>
      <c r="C7" s="85">
        <v>44896</v>
      </c>
      <c r="D7" s="86" t="s">
        <v>18</v>
      </c>
      <c r="E7" s="86" t="s">
        <v>778</v>
      </c>
      <c r="F7" s="86">
        <v>140</v>
      </c>
      <c r="G7" s="86">
        <v>220</v>
      </c>
      <c r="H7" s="87">
        <f>220-140</f>
        <v>80</v>
      </c>
      <c r="I7" s="86">
        <v>100</v>
      </c>
      <c r="J7" s="21">
        <f t="shared" si="0"/>
        <v>8000</v>
      </c>
      <c r="K7" s="7"/>
      <c r="M7" s="213"/>
      <c r="N7" s="112"/>
      <c r="O7" s="114"/>
      <c r="P7" s="114"/>
      <c r="Q7" s="198"/>
      <c r="R7" s="200"/>
      <c r="V7" s="5">
        <f t="shared" si="2"/>
        <v>1</v>
      </c>
      <c r="W7" s="5">
        <f t="shared" si="3"/>
        <v>0</v>
      </c>
    </row>
    <row r="8" spans="1:23" x14ac:dyDescent="0.3">
      <c r="A8" s="6"/>
      <c r="B8" s="88">
        <v>3</v>
      </c>
      <c r="C8" s="85">
        <v>44897</v>
      </c>
      <c r="D8" s="86" t="s">
        <v>18</v>
      </c>
      <c r="E8" s="86" t="s">
        <v>768</v>
      </c>
      <c r="F8" s="86">
        <v>150</v>
      </c>
      <c r="G8" s="86">
        <v>215</v>
      </c>
      <c r="H8" s="87">
        <f>215-150</f>
        <v>65</v>
      </c>
      <c r="I8" s="86">
        <v>100</v>
      </c>
      <c r="J8" s="21">
        <f t="shared" si="0"/>
        <v>6500</v>
      </c>
      <c r="K8" s="7"/>
      <c r="M8" s="214" t="s">
        <v>194</v>
      </c>
      <c r="N8" s="112">
        <v>46</v>
      </c>
      <c r="O8" s="114">
        <v>41</v>
      </c>
      <c r="P8" s="113">
        <v>5</v>
      </c>
      <c r="Q8" s="198">
        <v>0</v>
      </c>
      <c r="R8" s="203">
        <f t="shared" ref="R8:R10" si="4">O8/N8</f>
        <v>0.89130434782608692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44897</v>
      </c>
      <c r="D9" s="86" t="s">
        <v>18</v>
      </c>
      <c r="E9" s="86" t="s">
        <v>779</v>
      </c>
      <c r="F9" s="86">
        <v>150</v>
      </c>
      <c r="G9" s="86">
        <v>175</v>
      </c>
      <c r="H9" s="87">
        <v>25</v>
      </c>
      <c r="I9" s="86">
        <v>100</v>
      </c>
      <c r="J9" s="21">
        <f t="shared" si="0"/>
        <v>2500</v>
      </c>
      <c r="K9" s="7"/>
      <c r="M9" s="215"/>
      <c r="N9" s="184"/>
      <c r="O9" s="172"/>
      <c r="P9" s="114"/>
      <c r="Q9" s="174"/>
      <c r="R9" s="204"/>
      <c r="V9" s="5">
        <f t="shared" si="2"/>
        <v>1</v>
      </c>
      <c r="W9" s="5">
        <f t="shared" si="3"/>
        <v>0</v>
      </c>
    </row>
    <row r="10" spans="1:23" ht="16.5" customHeight="1" x14ac:dyDescent="0.3">
      <c r="A10" s="6"/>
      <c r="B10" s="88">
        <v>5</v>
      </c>
      <c r="C10" s="85">
        <v>44900</v>
      </c>
      <c r="D10" s="86" t="s">
        <v>18</v>
      </c>
      <c r="E10" s="86" t="s">
        <v>775</v>
      </c>
      <c r="F10" s="86">
        <v>160</v>
      </c>
      <c r="G10" s="86">
        <v>230</v>
      </c>
      <c r="H10" s="87">
        <f>230-160</f>
        <v>70</v>
      </c>
      <c r="I10" s="86">
        <v>100</v>
      </c>
      <c r="J10" s="21">
        <f t="shared" si="0"/>
        <v>7000</v>
      </c>
      <c r="K10" s="7"/>
      <c r="M10" s="207" t="s">
        <v>19</v>
      </c>
      <c r="N10" s="149">
        <f>SUM(N4:N9)</f>
        <v>123</v>
      </c>
      <c r="O10" s="209">
        <f>SUM(O4:O9)</f>
        <v>111</v>
      </c>
      <c r="P10" s="209">
        <f>SUM(P4:P9)</f>
        <v>12</v>
      </c>
      <c r="Q10" s="211">
        <f>SUM(Q4:Q9)</f>
        <v>0</v>
      </c>
      <c r="R10" s="199">
        <f t="shared" si="4"/>
        <v>0.90243902439024393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44901</v>
      </c>
      <c r="D11" s="86" t="s">
        <v>18</v>
      </c>
      <c r="E11" s="86" t="s">
        <v>780</v>
      </c>
      <c r="F11" s="86">
        <v>160</v>
      </c>
      <c r="G11" s="86">
        <v>180</v>
      </c>
      <c r="H11" s="87">
        <v>20</v>
      </c>
      <c r="I11" s="86">
        <v>100</v>
      </c>
      <c r="J11" s="21">
        <f t="shared" si="0"/>
        <v>2000</v>
      </c>
      <c r="K11" s="7"/>
      <c r="M11" s="208"/>
      <c r="N11" s="150"/>
      <c r="O11" s="210"/>
      <c r="P11" s="210"/>
      <c r="Q11" s="212"/>
      <c r="R11" s="204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44901</v>
      </c>
      <c r="D12" s="86" t="s">
        <v>18</v>
      </c>
      <c r="E12" s="86" t="s">
        <v>758</v>
      </c>
      <c r="F12" s="86">
        <v>110</v>
      </c>
      <c r="G12" s="86">
        <v>121</v>
      </c>
      <c r="H12" s="87">
        <v>11</v>
      </c>
      <c r="I12" s="86">
        <v>100</v>
      </c>
      <c r="J12" s="21">
        <f t="shared" si="0"/>
        <v>1100</v>
      </c>
      <c r="K12" s="7"/>
      <c r="M12" s="126" t="s">
        <v>20</v>
      </c>
      <c r="N12" s="130"/>
      <c r="O12" s="131"/>
      <c r="P12" s="138">
        <f>R10</f>
        <v>0.90243902439024393</v>
      </c>
      <c r="Q12" s="139"/>
      <c r="R12" s="137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44902</v>
      </c>
      <c r="D13" s="86" t="s">
        <v>18</v>
      </c>
      <c r="E13" s="86" t="s">
        <v>771</v>
      </c>
      <c r="F13" s="86">
        <v>170</v>
      </c>
      <c r="G13" s="86">
        <v>212</v>
      </c>
      <c r="H13" s="87">
        <f>212-170</f>
        <v>42</v>
      </c>
      <c r="I13" s="86">
        <v>100</v>
      </c>
      <c r="J13" s="21">
        <f t="shared" si="0"/>
        <v>4200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44902</v>
      </c>
      <c r="D14" s="86" t="s">
        <v>18</v>
      </c>
      <c r="E14" s="86" t="s">
        <v>772</v>
      </c>
      <c r="F14" s="86">
        <v>150</v>
      </c>
      <c r="G14" s="86">
        <v>210</v>
      </c>
      <c r="H14" s="87">
        <f>210-150</f>
        <v>60</v>
      </c>
      <c r="I14" s="86">
        <v>100</v>
      </c>
      <c r="J14" s="21">
        <f t="shared" si="0"/>
        <v>6000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44903</v>
      </c>
      <c r="D15" s="86" t="s">
        <v>18</v>
      </c>
      <c r="E15" s="86" t="s">
        <v>773</v>
      </c>
      <c r="F15" s="86">
        <v>100</v>
      </c>
      <c r="G15" s="86">
        <v>200</v>
      </c>
      <c r="H15" s="87">
        <v>100</v>
      </c>
      <c r="I15" s="86">
        <v>100</v>
      </c>
      <c r="J15" s="21">
        <f t="shared" si="0"/>
        <v>10000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85">
        <v>44903</v>
      </c>
      <c r="D16" s="86" t="s">
        <v>18</v>
      </c>
      <c r="E16" s="86" t="s">
        <v>772</v>
      </c>
      <c r="F16" s="86">
        <v>110</v>
      </c>
      <c r="G16" s="86">
        <v>210</v>
      </c>
      <c r="H16" s="87">
        <v>100</v>
      </c>
      <c r="I16" s="86">
        <v>100</v>
      </c>
      <c r="J16" s="21">
        <f t="shared" si="0"/>
        <v>10000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85">
        <v>44904</v>
      </c>
      <c r="D17" s="86" t="s">
        <v>18</v>
      </c>
      <c r="E17" s="86" t="s">
        <v>781</v>
      </c>
      <c r="F17" s="86">
        <v>150</v>
      </c>
      <c r="G17" s="86">
        <v>178</v>
      </c>
      <c r="H17" s="87">
        <v>28</v>
      </c>
      <c r="I17" s="86">
        <v>100</v>
      </c>
      <c r="J17" s="21">
        <f t="shared" si="0"/>
        <v>2800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85">
        <v>44904</v>
      </c>
      <c r="D18" s="86" t="s">
        <v>18</v>
      </c>
      <c r="E18" s="86" t="s">
        <v>782</v>
      </c>
      <c r="F18" s="86">
        <v>150</v>
      </c>
      <c r="G18" s="86">
        <v>200</v>
      </c>
      <c r="H18" s="87">
        <v>50</v>
      </c>
      <c r="I18" s="86">
        <v>100</v>
      </c>
      <c r="J18" s="21">
        <f t="shared" si="0"/>
        <v>5000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85">
        <v>44907</v>
      </c>
      <c r="D19" s="86" t="s">
        <v>18</v>
      </c>
      <c r="E19" s="86" t="s">
        <v>783</v>
      </c>
      <c r="F19" s="86">
        <v>130</v>
      </c>
      <c r="G19" s="86">
        <v>210</v>
      </c>
      <c r="H19" s="87">
        <f>210-130</f>
        <v>80</v>
      </c>
      <c r="I19" s="86">
        <v>100</v>
      </c>
      <c r="J19" s="21">
        <f t="shared" si="0"/>
        <v>8000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85">
        <v>44907</v>
      </c>
      <c r="D20" s="86" t="s">
        <v>18</v>
      </c>
      <c r="E20" s="86" t="s">
        <v>784</v>
      </c>
      <c r="F20" s="86">
        <v>130</v>
      </c>
      <c r="G20" s="86">
        <v>150</v>
      </c>
      <c r="H20" s="87">
        <v>20</v>
      </c>
      <c r="I20" s="86">
        <v>100</v>
      </c>
      <c r="J20" s="21">
        <f t="shared" si="0"/>
        <v>2000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85">
        <v>44908</v>
      </c>
      <c r="D21" s="86" t="s">
        <v>18</v>
      </c>
      <c r="E21" s="86" t="s">
        <v>797</v>
      </c>
      <c r="F21" s="86">
        <v>110</v>
      </c>
      <c r="G21" s="86">
        <v>125</v>
      </c>
      <c r="H21" s="87">
        <f>125-110</f>
        <v>15</v>
      </c>
      <c r="I21" s="86">
        <v>100</v>
      </c>
      <c r="J21" s="21">
        <f t="shared" si="0"/>
        <v>1500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44908</v>
      </c>
      <c r="D22" s="19" t="s">
        <v>18</v>
      </c>
      <c r="E22" s="19" t="s">
        <v>781</v>
      </c>
      <c r="F22" s="35">
        <v>130</v>
      </c>
      <c r="G22" s="35">
        <v>159</v>
      </c>
      <c r="H22" s="35">
        <f>159-130</f>
        <v>29</v>
      </c>
      <c r="I22" s="20">
        <v>100</v>
      </c>
      <c r="J22" s="21">
        <f t="shared" si="0"/>
        <v>2900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44909</v>
      </c>
      <c r="D23" s="19" t="s">
        <v>18</v>
      </c>
      <c r="E23" s="19" t="s">
        <v>797</v>
      </c>
      <c r="F23" s="35">
        <v>130</v>
      </c>
      <c r="G23" s="35">
        <v>159</v>
      </c>
      <c r="H23" s="35">
        <f>159-130</f>
        <v>29</v>
      </c>
      <c r="I23" s="20">
        <v>100</v>
      </c>
      <c r="J23" s="21">
        <f t="shared" si="0"/>
        <v>2900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44909</v>
      </c>
      <c r="D24" s="19" t="s">
        <v>18</v>
      </c>
      <c r="E24" s="19" t="s">
        <v>798</v>
      </c>
      <c r="F24" s="35">
        <v>100</v>
      </c>
      <c r="G24" s="35">
        <v>80</v>
      </c>
      <c r="H24" s="35">
        <v>-20</v>
      </c>
      <c r="I24" s="20">
        <v>100</v>
      </c>
      <c r="J24" s="21">
        <f t="shared" si="0"/>
        <v>-2000</v>
      </c>
      <c r="K24" s="7"/>
      <c r="V24" s="5">
        <f t="shared" si="2"/>
        <v>0</v>
      </c>
      <c r="W24" s="5">
        <f t="shared" si="3"/>
        <v>1</v>
      </c>
    </row>
    <row r="25" spans="1:23" x14ac:dyDescent="0.3">
      <c r="A25" s="6"/>
      <c r="B25" s="17">
        <v>20</v>
      </c>
      <c r="C25" s="18">
        <v>44910</v>
      </c>
      <c r="D25" s="19" t="s">
        <v>18</v>
      </c>
      <c r="E25" s="19" t="s">
        <v>799</v>
      </c>
      <c r="F25" s="35">
        <v>130</v>
      </c>
      <c r="G25" s="35">
        <v>230</v>
      </c>
      <c r="H25" s="35">
        <v>100</v>
      </c>
      <c r="I25" s="20">
        <v>100</v>
      </c>
      <c r="J25" s="21">
        <f t="shared" si="0"/>
        <v>10000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44910</v>
      </c>
      <c r="D26" s="19" t="s">
        <v>18</v>
      </c>
      <c r="E26" s="19" t="s">
        <v>800</v>
      </c>
      <c r="F26" s="35">
        <v>100</v>
      </c>
      <c r="G26" s="35">
        <v>200</v>
      </c>
      <c r="H26" s="35">
        <v>100</v>
      </c>
      <c r="I26" s="20">
        <v>100</v>
      </c>
      <c r="J26" s="21">
        <f t="shared" si="0"/>
        <v>10000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44911</v>
      </c>
      <c r="D27" s="19" t="s">
        <v>18</v>
      </c>
      <c r="E27" s="19" t="s">
        <v>783</v>
      </c>
      <c r="F27" s="35">
        <v>150</v>
      </c>
      <c r="G27" s="35">
        <v>177</v>
      </c>
      <c r="H27" s="19">
        <f>177-150</f>
        <v>27</v>
      </c>
      <c r="I27" s="20">
        <v>100</v>
      </c>
      <c r="J27" s="21">
        <f t="shared" si="0"/>
        <v>2700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44911</v>
      </c>
      <c r="D28" s="19" t="s">
        <v>18</v>
      </c>
      <c r="E28" s="19" t="s">
        <v>775</v>
      </c>
      <c r="F28" s="35">
        <v>150</v>
      </c>
      <c r="G28" s="35">
        <v>210</v>
      </c>
      <c r="H28" s="19">
        <f>210-150</f>
        <v>60</v>
      </c>
      <c r="I28" s="20">
        <v>100</v>
      </c>
      <c r="J28" s="21">
        <f t="shared" si="0"/>
        <v>6000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44914</v>
      </c>
      <c r="D29" s="19" t="s">
        <v>18</v>
      </c>
      <c r="E29" s="19" t="s">
        <v>775</v>
      </c>
      <c r="F29" s="20">
        <v>150</v>
      </c>
      <c r="G29" s="20">
        <v>168</v>
      </c>
      <c r="H29" s="19">
        <v>18</v>
      </c>
      <c r="I29" s="20">
        <v>100</v>
      </c>
      <c r="J29" s="21">
        <f t="shared" si="0"/>
        <v>1800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44914</v>
      </c>
      <c r="D30" s="25" t="s">
        <v>18</v>
      </c>
      <c r="E30" s="25" t="s">
        <v>801</v>
      </c>
      <c r="F30" s="26">
        <v>150</v>
      </c>
      <c r="G30" s="61">
        <v>100</v>
      </c>
      <c r="H30" s="61">
        <v>-50</v>
      </c>
      <c r="I30" s="26">
        <v>100</v>
      </c>
      <c r="J30" s="21">
        <f t="shared" si="0"/>
        <v>-5000</v>
      </c>
      <c r="K30" s="7"/>
      <c r="V30" s="5">
        <f t="shared" si="2"/>
        <v>0</v>
      </c>
      <c r="W30" s="5">
        <f t="shared" si="3"/>
        <v>1</v>
      </c>
    </row>
    <row r="31" spans="1:23" x14ac:dyDescent="0.3">
      <c r="A31" s="6"/>
      <c r="B31" s="17">
        <v>26</v>
      </c>
      <c r="C31" s="24">
        <v>44915</v>
      </c>
      <c r="D31" s="25" t="s">
        <v>18</v>
      </c>
      <c r="E31" s="25" t="s">
        <v>774</v>
      </c>
      <c r="F31" s="26">
        <v>150</v>
      </c>
      <c r="G31" s="61">
        <v>250</v>
      </c>
      <c r="H31" s="61">
        <v>100</v>
      </c>
      <c r="I31" s="26">
        <v>100</v>
      </c>
      <c r="J31" s="21">
        <f t="shared" si="0"/>
        <v>10000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44915</v>
      </c>
      <c r="D32" s="25" t="s">
        <v>18</v>
      </c>
      <c r="E32" s="25" t="s">
        <v>775</v>
      </c>
      <c r="F32" s="26">
        <v>160</v>
      </c>
      <c r="G32" s="61">
        <v>234</v>
      </c>
      <c r="H32" s="61">
        <f>234-160</f>
        <v>74</v>
      </c>
      <c r="I32" s="26">
        <v>100</v>
      </c>
      <c r="J32" s="21">
        <f t="shared" si="0"/>
        <v>7400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44916</v>
      </c>
      <c r="D33" s="25" t="s">
        <v>18</v>
      </c>
      <c r="E33" s="25" t="s">
        <v>802</v>
      </c>
      <c r="F33" s="26">
        <v>160</v>
      </c>
      <c r="G33" s="61">
        <v>260</v>
      </c>
      <c r="H33" s="61">
        <v>100</v>
      </c>
      <c r="I33" s="26">
        <v>100</v>
      </c>
      <c r="J33" s="21">
        <f t="shared" si="0"/>
        <v>10000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44916</v>
      </c>
      <c r="D34" s="25" t="s">
        <v>18</v>
      </c>
      <c r="E34" s="25" t="s">
        <v>782</v>
      </c>
      <c r="F34" s="26">
        <v>150</v>
      </c>
      <c r="G34" s="61">
        <v>173</v>
      </c>
      <c r="H34" s="61">
        <f>173-150</f>
        <v>23</v>
      </c>
      <c r="I34" s="26">
        <v>100</v>
      </c>
      <c r="J34" s="21">
        <f t="shared" si="0"/>
        <v>2300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44916</v>
      </c>
      <c r="D35" s="25" t="s">
        <v>18</v>
      </c>
      <c r="E35" s="25" t="s">
        <v>782</v>
      </c>
      <c r="F35" s="26">
        <v>140</v>
      </c>
      <c r="G35" s="61">
        <v>240</v>
      </c>
      <c r="H35" s="61">
        <v>100</v>
      </c>
      <c r="I35" s="26">
        <v>100</v>
      </c>
      <c r="J35" s="21">
        <f t="shared" si="0"/>
        <v>10000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44917</v>
      </c>
      <c r="D36" s="25" t="s">
        <v>18</v>
      </c>
      <c r="E36" s="25" t="s">
        <v>803</v>
      </c>
      <c r="F36" s="26">
        <v>150</v>
      </c>
      <c r="G36" s="61">
        <v>225</v>
      </c>
      <c r="H36" s="61">
        <f>225-150</f>
        <v>75</v>
      </c>
      <c r="I36" s="26">
        <v>100</v>
      </c>
      <c r="J36" s="21">
        <f t="shared" si="0"/>
        <v>7500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44917</v>
      </c>
      <c r="D37" s="25" t="s">
        <v>18</v>
      </c>
      <c r="E37" s="25" t="s">
        <v>804</v>
      </c>
      <c r="F37" s="26">
        <v>120</v>
      </c>
      <c r="G37" s="61">
        <v>220</v>
      </c>
      <c r="H37" s="61">
        <v>100</v>
      </c>
      <c r="I37" s="26">
        <v>100</v>
      </c>
      <c r="J37" s="21">
        <f t="shared" si="0"/>
        <v>10000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44918</v>
      </c>
      <c r="D38" s="25" t="s">
        <v>18</v>
      </c>
      <c r="E38" s="25" t="s">
        <v>745</v>
      </c>
      <c r="F38" s="26">
        <v>160</v>
      </c>
      <c r="G38" s="61">
        <v>228</v>
      </c>
      <c r="H38" s="61">
        <f>228-160</f>
        <v>68</v>
      </c>
      <c r="I38" s="26">
        <v>100</v>
      </c>
      <c r="J38" s="21">
        <f t="shared" si="0"/>
        <v>6800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44918</v>
      </c>
      <c r="D39" s="25" t="s">
        <v>18</v>
      </c>
      <c r="E39" s="25" t="s">
        <v>806</v>
      </c>
      <c r="F39" s="26">
        <v>140</v>
      </c>
      <c r="G39" s="61">
        <v>190</v>
      </c>
      <c r="H39" s="61">
        <f>190-140</f>
        <v>50</v>
      </c>
      <c r="I39" s="26">
        <v>100</v>
      </c>
      <c r="J39" s="21">
        <f t="shared" si="0"/>
        <v>5000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44921</v>
      </c>
      <c r="D40" s="25" t="s">
        <v>18</v>
      </c>
      <c r="E40" s="25" t="s">
        <v>759</v>
      </c>
      <c r="F40" s="26">
        <v>150</v>
      </c>
      <c r="G40" s="61">
        <v>250</v>
      </c>
      <c r="H40" s="61">
        <v>100</v>
      </c>
      <c r="I40" s="26">
        <v>100</v>
      </c>
      <c r="J40" s="21">
        <f t="shared" si="0"/>
        <v>10000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18">
        <v>44921</v>
      </c>
      <c r="D41" s="19" t="s">
        <v>18</v>
      </c>
      <c r="E41" s="19" t="s">
        <v>757</v>
      </c>
      <c r="F41" s="35">
        <v>150</v>
      </c>
      <c r="G41" s="35">
        <v>250</v>
      </c>
      <c r="H41" s="35">
        <v>100</v>
      </c>
      <c r="I41" s="26">
        <v>100</v>
      </c>
      <c r="J41" s="21">
        <f t="shared" si="0"/>
        <v>10000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18">
        <v>44922</v>
      </c>
      <c r="D42" s="19" t="s">
        <v>18</v>
      </c>
      <c r="E42" s="19" t="s">
        <v>773</v>
      </c>
      <c r="F42" s="35">
        <v>140</v>
      </c>
      <c r="G42" s="35">
        <v>90</v>
      </c>
      <c r="H42" s="35">
        <v>-50</v>
      </c>
      <c r="I42" s="26">
        <v>100</v>
      </c>
      <c r="J42" s="21">
        <f t="shared" si="0"/>
        <v>-5000</v>
      </c>
      <c r="K42" s="7"/>
      <c r="V42" s="5">
        <f t="shared" si="2"/>
        <v>0</v>
      </c>
      <c r="W42" s="5">
        <f t="shared" si="3"/>
        <v>1</v>
      </c>
    </row>
    <row r="43" spans="1:23" x14ac:dyDescent="0.3">
      <c r="A43" s="6"/>
      <c r="B43" s="17">
        <v>38</v>
      </c>
      <c r="C43" s="24">
        <v>44922</v>
      </c>
      <c r="D43" s="25" t="s">
        <v>18</v>
      </c>
      <c r="E43" s="25" t="s">
        <v>807</v>
      </c>
      <c r="F43" s="26">
        <v>140</v>
      </c>
      <c r="G43" s="61">
        <v>185</v>
      </c>
      <c r="H43" s="61">
        <f>185-140</f>
        <v>45</v>
      </c>
      <c r="I43" s="26">
        <v>100</v>
      </c>
      <c r="J43" s="21">
        <f t="shared" si="0"/>
        <v>4500</v>
      </c>
      <c r="K43" s="7"/>
      <c r="V43" s="5">
        <f t="shared" si="2"/>
        <v>1</v>
      </c>
      <c r="W43" s="5">
        <f t="shared" si="3"/>
        <v>0</v>
      </c>
    </row>
    <row r="44" spans="1:23" x14ac:dyDescent="0.3">
      <c r="A44" s="6"/>
      <c r="B44" s="17">
        <v>39</v>
      </c>
      <c r="C44" s="24">
        <v>44923</v>
      </c>
      <c r="D44" s="25" t="s">
        <v>18</v>
      </c>
      <c r="E44" s="25" t="s">
        <v>803</v>
      </c>
      <c r="F44" s="26">
        <v>130</v>
      </c>
      <c r="G44" s="61">
        <v>80</v>
      </c>
      <c r="H44" s="61">
        <v>-50</v>
      </c>
      <c r="I44" s="26">
        <v>100</v>
      </c>
      <c r="J44" s="21">
        <f t="shared" si="0"/>
        <v>-5000</v>
      </c>
      <c r="K44" s="7"/>
      <c r="V44" s="5">
        <f t="shared" si="2"/>
        <v>0</v>
      </c>
      <c r="W44" s="5">
        <f t="shared" si="3"/>
        <v>1</v>
      </c>
    </row>
    <row r="45" spans="1:23" x14ac:dyDescent="0.3">
      <c r="A45" s="6"/>
      <c r="B45" s="17">
        <v>40</v>
      </c>
      <c r="C45" s="24">
        <v>44924</v>
      </c>
      <c r="D45" s="25" t="s">
        <v>18</v>
      </c>
      <c r="E45" s="25" t="s">
        <v>803</v>
      </c>
      <c r="F45" s="26">
        <v>110</v>
      </c>
      <c r="G45" s="61">
        <v>135</v>
      </c>
      <c r="H45" s="61">
        <f>135-110</f>
        <v>25</v>
      </c>
      <c r="I45" s="26">
        <v>100</v>
      </c>
      <c r="J45" s="21">
        <f t="shared" si="0"/>
        <v>2500</v>
      </c>
      <c r="K45" s="7"/>
      <c r="V45" s="5">
        <f t="shared" si="2"/>
        <v>1</v>
      </c>
      <c r="W45" s="5">
        <f t="shared" si="3"/>
        <v>0</v>
      </c>
    </row>
    <row r="46" spans="1:23" x14ac:dyDescent="0.3">
      <c r="A46" s="6"/>
      <c r="B46" s="17">
        <v>41</v>
      </c>
      <c r="C46" s="24">
        <v>44925</v>
      </c>
      <c r="D46" s="25" t="s">
        <v>18</v>
      </c>
      <c r="E46" s="25" t="s">
        <v>809</v>
      </c>
      <c r="F46" s="26">
        <v>150</v>
      </c>
      <c r="G46" s="61">
        <v>170</v>
      </c>
      <c r="H46" s="61">
        <v>20</v>
      </c>
      <c r="I46" s="26">
        <v>100</v>
      </c>
      <c r="J46" s="21">
        <f t="shared" si="0"/>
        <v>2000</v>
      </c>
      <c r="K46" s="7"/>
      <c r="V46" s="5">
        <f t="shared" si="2"/>
        <v>1</v>
      </c>
      <c r="W46" s="5">
        <f t="shared" si="3"/>
        <v>0</v>
      </c>
    </row>
    <row r="47" spans="1:23" x14ac:dyDescent="0.3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x14ac:dyDescent="0.3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x14ac:dyDescent="0.3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198900</v>
      </c>
      <c r="K59" s="7"/>
      <c r="V59" s="5">
        <f>SUM(V6:V58)</f>
        <v>37</v>
      </c>
      <c r="W59" s="5">
        <f>SUM(W6:W58)</f>
        <v>4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777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44896</v>
      </c>
      <c r="D67" s="67" t="s">
        <v>18</v>
      </c>
      <c r="E67" s="67" t="s">
        <v>786</v>
      </c>
      <c r="F67" s="68">
        <v>1180</v>
      </c>
      <c r="G67" s="68">
        <v>1190</v>
      </c>
      <c r="H67" s="97">
        <v>10</v>
      </c>
      <c r="I67" s="68">
        <v>450</v>
      </c>
      <c r="J67" s="92">
        <f>H67*I67</f>
        <v>4500</v>
      </c>
      <c r="K67" s="7"/>
      <c r="V67" s="5">
        <f t="shared" ref="V67:V128" si="5">IF($J67&gt;0,1,0)</f>
        <v>1</v>
      </c>
      <c r="W67" s="5">
        <f t="shared" ref="W67:W128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44896</v>
      </c>
      <c r="D68" s="67" t="s">
        <v>18</v>
      </c>
      <c r="E68" s="67" t="s">
        <v>690</v>
      </c>
      <c r="F68" s="97">
        <v>1910</v>
      </c>
      <c r="G68" s="97">
        <v>1930</v>
      </c>
      <c r="H68" s="97">
        <v>20</v>
      </c>
      <c r="I68" s="20">
        <v>500</v>
      </c>
      <c r="J68" s="21">
        <f>H68*I68</f>
        <v>10000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8" si="7">B68+1</f>
        <v>3</v>
      </c>
      <c r="C69" s="18">
        <v>44896</v>
      </c>
      <c r="D69" s="19" t="s">
        <v>18</v>
      </c>
      <c r="E69" s="19" t="s">
        <v>312</v>
      </c>
      <c r="F69" s="35">
        <v>1675</v>
      </c>
      <c r="G69" s="97">
        <v>1678</v>
      </c>
      <c r="H69" s="35">
        <v>3</v>
      </c>
      <c r="I69" s="20">
        <v>300</v>
      </c>
      <c r="J69" s="21">
        <f>H69*I69</f>
        <v>900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44897</v>
      </c>
      <c r="D70" s="19" t="s">
        <v>69</v>
      </c>
      <c r="E70" s="19" t="s">
        <v>71</v>
      </c>
      <c r="F70" s="35">
        <v>2745</v>
      </c>
      <c r="G70" s="97">
        <v>2725</v>
      </c>
      <c r="H70" s="35">
        <v>20</v>
      </c>
      <c r="I70" s="20">
        <v>250</v>
      </c>
      <c r="J70" s="21">
        <f>H70*I70</f>
        <v>5000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44897</v>
      </c>
      <c r="D71" s="19" t="s">
        <v>18</v>
      </c>
      <c r="E71" s="19" t="s">
        <v>685</v>
      </c>
      <c r="F71" s="35">
        <v>523</v>
      </c>
      <c r="G71" s="97">
        <v>525.29999999999995</v>
      </c>
      <c r="H71" s="35">
        <v>2.2999999999999998</v>
      </c>
      <c r="I71" s="20">
        <v>1250</v>
      </c>
      <c r="J71" s="21">
        <f>H71*I71</f>
        <v>2875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44900</v>
      </c>
      <c r="D72" s="19" t="s">
        <v>18</v>
      </c>
      <c r="E72" s="19" t="s">
        <v>633</v>
      </c>
      <c r="F72" s="20">
        <v>323</v>
      </c>
      <c r="G72" s="97">
        <v>325</v>
      </c>
      <c r="H72" s="35">
        <v>2</v>
      </c>
      <c r="I72" s="20">
        <v>1550</v>
      </c>
      <c r="J72" s="21">
        <f t="shared" ref="J72:J128" si="8">I72*H72</f>
        <v>3100</v>
      </c>
      <c r="K72" s="7"/>
      <c r="V72" s="5">
        <f t="shared" si="5"/>
        <v>1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>
        <v>44901</v>
      </c>
      <c r="D73" s="19" t="s">
        <v>18</v>
      </c>
      <c r="E73" s="19" t="s">
        <v>181</v>
      </c>
      <c r="F73" s="35">
        <v>1945</v>
      </c>
      <c r="G73" s="97">
        <v>1952</v>
      </c>
      <c r="H73" s="35">
        <v>7</v>
      </c>
      <c r="I73" s="20">
        <v>300</v>
      </c>
      <c r="J73" s="21">
        <f t="shared" si="8"/>
        <v>2100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44901</v>
      </c>
      <c r="D74" s="19" t="s">
        <v>69</v>
      </c>
      <c r="E74" s="19" t="s">
        <v>716</v>
      </c>
      <c r="F74" s="35">
        <v>235</v>
      </c>
      <c r="G74" s="97">
        <v>237</v>
      </c>
      <c r="H74" s="35">
        <v>-2</v>
      </c>
      <c r="I74" s="20">
        <v>2300</v>
      </c>
      <c r="J74" s="21">
        <f t="shared" si="8"/>
        <v>-4600</v>
      </c>
      <c r="K74" s="7"/>
      <c r="V74" s="5">
        <f t="shared" si="5"/>
        <v>0</v>
      </c>
      <c r="W74" s="5">
        <f t="shared" si="6"/>
        <v>1</v>
      </c>
    </row>
    <row r="75" spans="1:23" s="36" customFormat="1" x14ac:dyDescent="0.3">
      <c r="A75" s="6"/>
      <c r="B75" s="17">
        <f t="shared" si="7"/>
        <v>9</v>
      </c>
      <c r="C75" s="18">
        <v>44901</v>
      </c>
      <c r="D75" s="19" t="s">
        <v>18</v>
      </c>
      <c r="E75" s="19" t="s">
        <v>787</v>
      </c>
      <c r="F75" s="35">
        <v>1320</v>
      </c>
      <c r="G75" s="97">
        <v>1335</v>
      </c>
      <c r="H75" s="35">
        <v>15</v>
      </c>
      <c r="I75" s="20">
        <v>600</v>
      </c>
      <c r="J75" s="21">
        <f t="shared" si="8"/>
        <v>9000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44902</v>
      </c>
      <c r="D76" s="19" t="s">
        <v>18</v>
      </c>
      <c r="E76" s="19" t="s">
        <v>80</v>
      </c>
      <c r="F76" s="35">
        <v>2145</v>
      </c>
      <c r="G76" s="97">
        <v>2125</v>
      </c>
      <c r="H76" s="35">
        <v>-20</v>
      </c>
      <c r="I76" s="20">
        <v>300</v>
      </c>
      <c r="J76" s="21">
        <f t="shared" si="8"/>
        <v>-6000</v>
      </c>
      <c r="K76" s="7"/>
      <c r="V76" s="5">
        <f t="shared" si="5"/>
        <v>0</v>
      </c>
      <c r="W76" s="5">
        <f t="shared" si="6"/>
        <v>1</v>
      </c>
    </row>
    <row r="77" spans="1:23" s="36" customFormat="1" x14ac:dyDescent="0.3">
      <c r="A77" s="6"/>
      <c r="B77" s="17">
        <f t="shared" si="7"/>
        <v>11</v>
      </c>
      <c r="C77" s="18">
        <v>44902</v>
      </c>
      <c r="D77" s="19" t="s">
        <v>18</v>
      </c>
      <c r="E77" s="19" t="s">
        <v>618</v>
      </c>
      <c r="F77" s="19">
        <v>1615</v>
      </c>
      <c r="G77" s="97">
        <v>1633</v>
      </c>
      <c r="H77" s="35">
        <f>1633-1615</f>
        <v>18</v>
      </c>
      <c r="I77" s="20">
        <v>350</v>
      </c>
      <c r="J77" s="21">
        <f t="shared" si="8"/>
        <v>6300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>
        <v>44903</v>
      </c>
      <c r="D78" s="19" t="s">
        <v>18</v>
      </c>
      <c r="E78" s="19" t="s">
        <v>71</v>
      </c>
      <c r="F78" s="35">
        <v>2680</v>
      </c>
      <c r="G78" s="97">
        <v>2688</v>
      </c>
      <c r="H78" s="35">
        <v>8</v>
      </c>
      <c r="I78" s="20">
        <v>250</v>
      </c>
      <c r="J78" s="21">
        <f t="shared" si="8"/>
        <v>2000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44904</v>
      </c>
      <c r="D79" s="19" t="s">
        <v>69</v>
      </c>
      <c r="E79" s="19" t="s">
        <v>166</v>
      </c>
      <c r="F79" s="77">
        <v>1038</v>
      </c>
      <c r="G79" s="97">
        <v>1028</v>
      </c>
      <c r="H79" s="78">
        <v>10</v>
      </c>
      <c r="I79" s="20">
        <v>700</v>
      </c>
      <c r="J79" s="21">
        <f t="shared" si="8"/>
        <v>7000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44904</v>
      </c>
      <c r="D80" s="19" t="s">
        <v>18</v>
      </c>
      <c r="E80" s="19" t="s">
        <v>93</v>
      </c>
      <c r="F80" s="35">
        <v>1637</v>
      </c>
      <c r="G80" s="97">
        <v>1643</v>
      </c>
      <c r="H80" s="78">
        <f>1643-1637</f>
        <v>6</v>
      </c>
      <c r="I80" s="20">
        <v>550</v>
      </c>
      <c r="J80" s="21">
        <f t="shared" si="8"/>
        <v>3300</v>
      </c>
      <c r="K80" s="7"/>
      <c r="V80" s="5">
        <f t="shared" si="5"/>
        <v>1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>
        <v>44907</v>
      </c>
      <c r="D81" s="19" t="s">
        <v>18</v>
      </c>
      <c r="E81" s="19" t="s">
        <v>93</v>
      </c>
      <c r="F81" s="35">
        <v>2710</v>
      </c>
      <c r="G81" s="97">
        <v>2720</v>
      </c>
      <c r="H81" s="78">
        <v>10</v>
      </c>
      <c r="I81" s="20">
        <v>550</v>
      </c>
      <c r="J81" s="21">
        <f t="shared" si="8"/>
        <v>5500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>
        <v>44907</v>
      </c>
      <c r="D82" s="19" t="s">
        <v>18</v>
      </c>
      <c r="E82" s="19" t="s">
        <v>561</v>
      </c>
      <c r="F82" s="35">
        <v>4030</v>
      </c>
      <c r="G82" s="97">
        <v>4053</v>
      </c>
      <c r="H82" s="35">
        <v>23</v>
      </c>
      <c r="I82" s="20">
        <v>250</v>
      </c>
      <c r="J82" s="21">
        <f t="shared" si="8"/>
        <v>5750</v>
      </c>
      <c r="K82" s="7"/>
      <c r="V82" s="5">
        <f t="shared" si="5"/>
        <v>1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>
        <v>44908</v>
      </c>
      <c r="D83" s="19" t="s">
        <v>18</v>
      </c>
      <c r="E83" s="19" t="s">
        <v>621</v>
      </c>
      <c r="F83" s="35">
        <v>1335</v>
      </c>
      <c r="G83" s="97">
        <v>1364.5</v>
      </c>
      <c r="H83" s="35">
        <f>1364.5-1335</f>
        <v>29.5</v>
      </c>
      <c r="I83" s="20">
        <v>500</v>
      </c>
      <c r="J83" s="21">
        <f t="shared" si="8"/>
        <v>14750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>
        <v>44909</v>
      </c>
      <c r="D84" s="19" t="s">
        <v>18</v>
      </c>
      <c r="E84" s="19" t="s">
        <v>93</v>
      </c>
      <c r="F84" s="35">
        <v>1660</v>
      </c>
      <c r="G84" s="97">
        <v>1670</v>
      </c>
      <c r="H84" s="35">
        <v>10</v>
      </c>
      <c r="I84" s="20">
        <v>550</v>
      </c>
      <c r="J84" s="21">
        <f t="shared" si="8"/>
        <v>5500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>
        <v>44909</v>
      </c>
      <c r="D85" s="19" t="s">
        <v>18</v>
      </c>
      <c r="E85" s="19" t="s">
        <v>796</v>
      </c>
      <c r="F85" s="35">
        <v>4010</v>
      </c>
      <c r="G85" s="97">
        <v>4033</v>
      </c>
      <c r="H85" s="35">
        <f>4033-4010</f>
        <v>23</v>
      </c>
      <c r="I85" s="20">
        <v>200</v>
      </c>
      <c r="J85" s="21">
        <f t="shared" si="8"/>
        <v>4600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>
        <v>44914</v>
      </c>
      <c r="D86" s="19" t="s">
        <v>69</v>
      </c>
      <c r="E86" s="19" t="s">
        <v>87</v>
      </c>
      <c r="F86" s="35">
        <v>1226</v>
      </c>
      <c r="G86" s="97">
        <v>1216</v>
      </c>
      <c r="H86" s="35">
        <v>10</v>
      </c>
      <c r="I86" s="20">
        <v>450</v>
      </c>
      <c r="J86" s="21">
        <f t="shared" si="8"/>
        <v>4500</v>
      </c>
      <c r="K86" s="7"/>
      <c r="V86" s="5">
        <f t="shared" si="5"/>
        <v>1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>
        <v>44914</v>
      </c>
      <c r="D87" s="19" t="s">
        <v>69</v>
      </c>
      <c r="E87" s="19" t="s">
        <v>657</v>
      </c>
      <c r="F87" s="35">
        <v>308</v>
      </c>
      <c r="G87" s="97">
        <v>306</v>
      </c>
      <c r="H87" s="35">
        <v>2</v>
      </c>
      <c r="I87" s="20">
        <v>1500</v>
      </c>
      <c r="J87" s="21">
        <f t="shared" si="8"/>
        <v>3000</v>
      </c>
      <c r="K87" s="7"/>
      <c r="V87" s="5">
        <f t="shared" si="5"/>
        <v>1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>
        <v>44915</v>
      </c>
      <c r="D88" s="19" t="s">
        <v>69</v>
      </c>
      <c r="E88" s="19" t="s">
        <v>805</v>
      </c>
      <c r="F88" s="77">
        <v>602</v>
      </c>
      <c r="G88" s="97">
        <v>600</v>
      </c>
      <c r="H88" s="78">
        <v>2</v>
      </c>
      <c r="I88" s="20">
        <v>1500</v>
      </c>
      <c r="J88" s="21">
        <f t="shared" si="8"/>
        <v>3000</v>
      </c>
      <c r="K88" s="7"/>
      <c r="V88" s="5">
        <f t="shared" si="5"/>
        <v>1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>
        <v>44915</v>
      </c>
      <c r="D89" s="19" t="s">
        <v>18</v>
      </c>
      <c r="E89" s="19" t="s">
        <v>71</v>
      </c>
      <c r="F89" s="35">
        <v>2590</v>
      </c>
      <c r="G89" s="97">
        <v>2610</v>
      </c>
      <c r="H89" s="78">
        <f>2610-2590</f>
        <v>20</v>
      </c>
      <c r="I89" s="20">
        <v>250</v>
      </c>
      <c r="J89" s="21">
        <f t="shared" si="8"/>
        <v>5000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>
        <v>44916</v>
      </c>
      <c r="D90" s="19" t="s">
        <v>18</v>
      </c>
      <c r="E90" s="19" t="s">
        <v>291</v>
      </c>
      <c r="F90" s="35">
        <v>889</v>
      </c>
      <c r="G90" s="97">
        <v>881</v>
      </c>
      <c r="H90" s="78">
        <v>-8</v>
      </c>
      <c r="I90" s="20">
        <v>625</v>
      </c>
      <c r="J90" s="21">
        <f t="shared" si="8"/>
        <v>-5000</v>
      </c>
      <c r="K90" s="7"/>
      <c r="V90" s="5">
        <f t="shared" si="5"/>
        <v>0</v>
      </c>
      <c r="W90" s="5">
        <f t="shared" si="6"/>
        <v>1</v>
      </c>
    </row>
    <row r="91" spans="1:23" s="36" customFormat="1" x14ac:dyDescent="0.3">
      <c r="A91" s="6"/>
      <c r="B91" s="17">
        <f t="shared" si="7"/>
        <v>25</v>
      </c>
      <c r="C91" s="18">
        <v>44916</v>
      </c>
      <c r="D91" s="19" t="s">
        <v>18</v>
      </c>
      <c r="E91" s="19" t="s">
        <v>487</v>
      </c>
      <c r="F91" s="35">
        <v>1112</v>
      </c>
      <c r="G91" s="97">
        <v>1120</v>
      </c>
      <c r="H91" s="35">
        <f>1120-1112</f>
        <v>8</v>
      </c>
      <c r="I91" s="20">
        <v>375</v>
      </c>
      <c r="J91" s="21">
        <f>I90*H90</f>
        <v>-5000</v>
      </c>
      <c r="K91" s="7"/>
      <c r="V91" s="5">
        <f t="shared" si="5"/>
        <v>0</v>
      </c>
      <c r="W91" s="5">
        <f t="shared" si="6"/>
        <v>1</v>
      </c>
    </row>
    <row r="92" spans="1:23" s="36" customFormat="1" x14ac:dyDescent="0.3">
      <c r="A92" s="6"/>
      <c r="B92" s="17">
        <f t="shared" si="7"/>
        <v>26</v>
      </c>
      <c r="C92" s="18">
        <v>44916</v>
      </c>
      <c r="D92" s="19" t="s">
        <v>18</v>
      </c>
      <c r="E92" s="19" t="s">
        <v>105</v>
      </c>
      <c r="F92" s="35">
        <v>745</v>
      </c>
      <c r="G92" s="97">
        <v>755</v>
      </c>
      <c r="H92" s="35">
        <f>755-745</f>
        <v>10</v>
      </c>
      <c r="I92" s="20">
        <v>850</v>
      </c>
      <c r="J92" s="21">
        <f>I91*H91</f>
        <v>3000</v>
      </c>
      <c r="K92" s="7"/>
      <c r="V92" s="5">
        <f t="shared" si="5"/>
        <v>1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>
        <v>44917</v>
      </c>
      <c r="D93" s="19" t="s">
        <v>69</v>
      </c>
      <c r="E93" s="19" t="s">
        <v>111</v>
      </c>
      <c r="F93" s="35">
        <v>590</v>
      </c>
      <c r="G93" s="97">
        <v>588</v>
      </c>
      <c r="H93" s="35">
        <f>590-588</f>
        <v>2</v>
      </c>
      <c r="I93" s="20">
        <v>1500</v>
      </c>
      <c r="J93" s="21">
        <f t="shared" si="8"/>
        <v>3000</v>
      </c>
      <c r="K93" s="7"/>
      <c r="V93" s="5">
        <f t="shared" si="5"/>
        <v>1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>
        <v>44917</v>
      </c>
      <c r="D94" s="19" t="s">
        <v>69</v>
      </c>
      <c r="E94" s="19" t="s">
        <v>561</v>
      </c>
      <c r="F94" s="35">
        <v>3870</v>
      </c>
      <c r="G94" s="97">
        <v>3840</v>
      </c>
      <c r="H94" s="35">
        <v>30</v>
      </c>
      <c r="I94" s="20">
        <v>250</v>
      </c>
      <c r="J94" s="21">
        <f t="shared" si="8"/>
        <v>7500</v>
      </c>
      <c r="K94" s="7"/>
      <c r="V94" s="5">
        <f t="shared" si="5"/>
        <v>1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>
        <v>44918</v>
      </c>
      <c r="D95" s="19" t="s">
        <v>69</v>
      </c>
      <c r="E95" s="19" t="s">
        <v>181</v>
      </c>
      <c r="F95" s="35">
        <v>1900</v>
      </c>
      <c r="G95" s="97">
        <v>1920</v>
      </c>
      <c r="H95" s="35">
        <v>-20</v>
      </c>
      <c r="I95" s="20">
        <v>300</v>
      </c>
      <c r="J95" s="21">
        <f t="shared" si="8"/>
        <v>-6000</v>
      </c>
      <c r="K95" s="7"/>
      <c r="V95" s="5">
        <f t="shared" si="5"/>
        <v>0</v>
      </c>
      <c r="W95" s="5">
        <f t="shared" si="6"/>
        <v>1</v>
      </c>
    </row>
    <row r="96" spans="1:23" s="36" customFormat="1" x14ac:dyDescent="0.3">
      <c r="A96" s="6"/>
      <c r="B96" s="17">
        <f t="shared" si="7"/>
        <v>30</v>
      </c>
      <c r="C96" s="18">
        <v>44921</v>
      </c>
      <c r="D96" s="19" t="s">
        <v>69</v>
      </c>
      <c r="E96" s="19" t="s">
        <v>291</v>
      </c>
      <c r="F96" s="35">
        <v>807</v>
      </c>
      <c r="G96" s="97">
        <v>800</v>
      </c>
      <c r="H96" s="35">
        <v>7</v>
      </c>
      <c r="I96" s="20">
        <v>625</v>
      </c>
      <c r="J96" s="21">
        <f t="shared" si="8"/>
        <v>4375</v>
      </c>
      <c r="K96" s="7"/>
      <c r="V96" s="5">
        <f t="shared" si="5"/>
        <v>1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>
        <v>44921</v>
      </c>
      <c r="D97" s="19" t="s">
        <v>18</v>
      </c>
      <c r="E97" s="19" t="s">
        <v>808</v>
      </c>
      <c r="F97" s="35">
        <v>160.5</v>
      </c>
      <c r="G97" s="97">
        <v>162.5</v>
      </c>
      <c r="H97" s="35">
        <v>2</v>
      </c>
      <c r="I97" s="20">
        <v>3500</v>
      </c>
      <c r="J97" s="21">
        <f t="shared" si="8"/>
        <v>7000</v>
      </c>
      <c r="K97" s="7"/>
      <c r="V97" s="5">
        <f t="shared" si="5"/>
        <v>1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>
        <v>44922</v>
      </c>
      <c r="D98" s="19" t="s">
        <v>18</v>
      </c>
      <c r="E98" s="19" t="s">
        <v>373</v>
      </c>
      <c r="F98" s="35">
        <v>2505</v>
      </c>
      <c r="G98" s="97">
        <v>2518</v>
      </c>
      <c r="H98" s="35">
        <f>2518-2505</f>
        <v>13</v>
      </c>
      <c r="I98" s="20">
        <v>375</v>
      </c>
      <c r="J98" s="21">
        <f t="shared" si="8"/>
        <v>4875</v>
      </c>
      <c r="K98" s="7"/>
      <c r="V98" s="5">
        <f t="shared" si="5"/>
        <v>1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>
        <v>44923</v>
      </c>
      <c r="D99" s="19" t="s">
        <v>18</v>
      </c>
      <c r="E99" s="19" t="s">
        <v>87</v>
      </c>
      <c r="F99" s="35">
        <v>1212</v>
      </c>
      <c r="G99" s="97">
        <v>1224</v>
      </c>
      <c r="H99" s="35">
        <v>12</v>
      </c>
      <c r="I99" s="20">
        <v>450</v>
      </c>
      <c r="J99" s="21">
        <f t="shared" si="8"/>
        <v>5400</v>
      </c>
      <c r="K99" s="7"/>
      <c r="V99" s="5">
        <f t="shared" si="5"/>
        <v>1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>
        <v>44924</v>
      </c>
      <c r="D100" s="19" t="s">
        <v>18</v>
      </c>
      <c r="E100" s="19" t="s">
        <v>87</v>
      </c>
      <c r="F100" s="35">
        <v>1210</v>
      </c>
      <c r="G100" s="97">
        <v>1224.55</v>
      </c>
      <c r="H100" s="35">
        <f>1224.55-1210</f>
        <v>14.549999999999955</v>
      </c>
      <c r="I100" s="20">
        <v>450</v>
      </c>
      <c r="J100" s="21">
        <f t="shared" si="8"/>
        <v>6547.49999999998</v>
      </c>
      <c r="K100" s="7"/>
      <c r="V100" s="5">
        <f t="shared" si="5"/>
        <v>1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>
        <v>44925</v>
      </c>
      <c r="D101" s="19" t="s">
        <v>18</v>
      </c>
      <c r="E101" s="19" t="s">
        <v>86</v>
      </c>
      <c r="F101" s="35">
        <v>6730</v>
      </c>
      <c r="G101" s="97">
        <v>6769</v>
      </c>
      <c r="H101" s="35">
        <f>6769-6730</f>
        <v>39</v>
      </c>
      <c r="I101" s="20">
        <v>125</v>
      </c>
      <c r="J101" s="21">
        <f t="shared" si="8"/>
        <v>4875</v>
      </c>
      <c r="K101" s="7"/>
      <c r="V101" s="5">
        <f t="shared" si="5"/>
        <v>1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>
        <v>44925</v>
      </c>
      <c r="D102" s="19" t="s">
        <v>18</v>
      </c>
      <c r="E102" s="19" t="s">
        <v>373</v>
      </c>
      <c r="F102" s="35">
        <v>2595</v>
      </c>
      <c r="G102" s="97">
        <v>2615</v>
      </c>
      <c r="H102" s="35">
        <f>2615-2595</f>
        <v>20</v>
      </c>
      <c r="I102" s="20">
        <v>375</v>
      </c>
      <c r="J102" s="21">
        <f t="shared" si="8"/>
        <v>7500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ht="15" thickBot="1" x14ac:dyDescent="0.35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ht="15" hidden="1" thickBot="1" x14ac:dyDescent="0.35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t="15" hidden="1" thickBot="1" x14ac:dyDescent="0.35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t="15" hidden="1" thickBot="1" x14ac:dyDescent="0.35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t="15" hidden="1" thickBot="1" x14ac:dyDescent="0.35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t="15" hidden="1" thickBot="1" x14ac:dyDescent="0.35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t="15" hidden="1" thickBot="1" x14ac:dyDescent="0.35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t="15" hidden="1" thickBot="1" x14ac:dyDescent="0.35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t="15" hidden="1" thickBot="1" x14ac:dyDescent="0.35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t="15" hidden="1" thickBot="1" x14ac:dyDescent="0.35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t="15" hidden="1" thickBot="1" x14ac:dyDescent="0.35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hidden="1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15" hidden="1" thickBot="1" x14ac:dyDescent="0.35">
      <c r="A121" s="6"/>
      <c r="B121" s="17">
        <f t="shared" si="7"/>
        <v>51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52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15" hidden="1" thickBot="1" x14ac:dyDescent="0.35">
      <c r="A123" s="6"/>
      <c r="B123" s="17">
        <f t="shared" si="7"/>
        <v>53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hidden="1" thickBot="1" x14ac:dyDescent="0.35">
      <c r="A124" s="6"/>
      <c r="B124" s="17">
        <f t="shared" si="7"/>
        <v>54</v>
      </c>
      <c r="C124" s="18"/>
      <c r="D124" s="19"/>
      <c r="E124" s="19"/>
      <c r="F124" s="35"/>
      <c r="G124" s="35"/>
      <c r="H124" s="35"/>
      <c r="I124" s="20"/>
      <c r="J124" s="21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15" hidden="1" thickBot="1" x14ac:dyDescent="0.35">
      <c r="A125" s="6"/>
      <c r="B125" s="17">
        <f t="shared" si="7"/>
        <v>55</v>
      </c>
      <c r="C125" s="18"/>
      <c r="D125" s="19"/>
      <c r="E125" s="19"/>
      <c r="F125" s="35"/>
      <c r="G125" s="35"/>
      <c r="H125" s="35"/>
      <c r="I125" s="20"/>
      <c r="J125" s="21">
        <f t="shared" si="8"/>
        <v>0</v>
      </c>
      <c r="K125" s="7"/>
      <c r="V125" s="5">
        <f t="shared" si="5"/>
        <v>0</v>
      </c>
      <c r="W125" s="5">
        <f t="shared" si="6"/>
        <v>0</v>
      </c>
    </row>
    <row r="126" spans="1:23" s="36" customFormat="1" ht="15" hidden="1" thickBot="1" x14ac:dyDescent="0.35">
      <c r="A126" s="6"/>
      <c r="B126" s="17">
        <f t="shared" si="7"/>
        <v>56</v>
      </c>
      <c r="C126" s="18"/>
      <c r="D126" s="19"/>
      <c r="E126" s="19"/>
      <c r="F126" s="35"/>
      <c r="G126" s="35"/>
      <c r="H126" s="35"/>
      <c r="I126" s="20"/>
      <c r="J126" s="21">
        <f t="shared" si="8"/>
        <v>0</v>
      </c>
      <c r="K126" s="7"/>
      <c r="V126" s="5">
        <f t="shared" si="5"/>
        <v>0</v>
      </c>
      <c r="W126" s="5">
        <f t="shared" si="6"/>
        <v>0</v>
      </c>
    </row>
    <row r="127" spans="1:23" s="36" customFormat="1" ht="15" hidden="1" thickBot="1" x14ac:dyDescent="0.35">
      <c r="A127" s="6"/>
      <c r="B127" s="17">
        <f t="shared" si="7"/>
        <v>57</v>
      </c>
      <c r="C127" s="18"/>
      <c r="D127" s="19"/>
      <c r="E127" s="19"/>
      <c r="F127" s="35"/>
      <c r="G127" s="35"/>
      <c r="H127" s="35"/>
      <c r="I127" s="20"/>
      <c r="J127" s="21">
        <f t="shared" si="8"/>
        <v>0</v>
      </c>
      <c r="K127" s="7"/>
      <c r="V127" s="5">
        <f t="shared" si="5"/>
        <v>0</v>
      </c>
      <c r="W127" s="5">
        <f t="shared" si="6"/>
        <v>0</v>
      </c>
    </row>
    <row r="128" spans="1:23" s="36" customFormat="1" ht="15" hidden="1" thickBot="1" x14ac:dyDescent="0.35">
      <c r="A128" s="6"/>
      <c r="B128" s="17">
        <f t="shared" si="7"/>
        <v>58</v>
      </c>
      <c r="C128" s="79"/>
      <c r="D128" s="80"/>
      <c r="E128" s="80"/>
      <c r="F128" s="81"/>
      <c r="G128" s="81"/>
      <c r="H128" s="80"/>
      <c r="I128" s="81"/>
      <c r="J128" s="82">
        <f t="shared" si="8"/>
        <v>0</v>
      </c>
      <c r="K128" s="7"/>
      <c r="V128" s="5">
        <f t="shared" si="5"/>
        <v>0</v>
      </c>
      <c r="W128" s="5">
        <f t="shared" si="6"/>
        <v>0</v>
      </c>
    </row>
    <row r="129" spans="1:23" s="36" customFormat="1" ht="24" thickBot="1" x14ac:dyDescent="0.5">
      <c r="A129" s="6"/>
      <c r="B129" s="144" t="s">
        <v>22</v>
      </c>
      <c r="C129" s="145"/>
      <c r="D129" s="145"/>
      <c r="E129" s="145"/>
      <c r="F129" s="145"/>
      <c r="G129" s="145"/>
      <c r="H129" s="146"/>
      <c r="I129" s="83" t="s">
        <v>23</v>
      </c>
      <c r="J129" s="84">
        <f>SUM(J67:J128)</f>
        <v>135147.5</v>
      </c>
      <c r="K129" s="7"/>
      <c r="L129" s="5"/>
      <c r="M129" s="5"/>
      <c r="N129" s="5"/>
      <c r="O129" s="5"/>
      <c r="P129" s="5"/>
      <c r="Q129" s="5"/>
      <c r="R129" s="5"/>
      <c r="V129" s="36">
        <f>SUM(V67:V128)</f>
        <v>30</v>
      </c>
      <c r="W129" s="36">
        <f>SUM(W67:W128)</f>
        <v>5</v>
      </c>
    </row>
    <row r="130" spans="1:23" s="36" customFormat="1" ht="30" customHeight="1" thickBot="1" x14ac:dyDescent="0.35">
      <c r="A130" s="30"/>
      <c r="B130" s="31"/>
      <c r="C130" s="31"/>
      <c r="D130" s="31"/>
      <c r="E130" s="31"/>
      <c r="F130" s="31"/>
      <c r="G130" s="31"/>
      <c r="H130" s="32"/>
      <c r="I130" s="31"/>
      <c r="J130" s="32"/>
      <c r="K130" s="33"/>
      <c r="L130" s="5"/>
      <c r="M130" s="5"/>
      <c r="N130" s="5"/>
      <c r="O130" s="5"/>
      <c r="P130" s="5"/>
      <c r="Q130" s="5"/>
      <c r="R130" s="5"/>
    </row>
    <row r="131" spans="1:23" ht="15" thickBot="1" x14ac:dyDescent="0.35"/>
    <row r="132" spans="1:23" s="36" customFormat="1" ht="30" customHeight="1" thickBot="1" x14ac:dyDescent="0.35">
      <c r="A132" s="1"/>
      <c r="B132" s="2"/>
      <c r="C132" s="2"/>
      <c r="D132" s="2"/>
      <c r="E132" s="2"/>
      <c r="F132" s="2"/>
      <c r="G132" s="2"/>
      <c r="H132" s="3"/>
      <c r="I132" s="2"/>
      <c r="J132" s="3"/>
      <c r="K132" s="4"/>
    </row>
    <row r="133" spans="1:23" s="36" customFormat="1" ht="25.2" thickBot="1" x14ac:dyDescent="0.35">
      <c r="A133" s="6" t="s">
        <v>1</v>
      </c>
      <c r="B133" s="119" t="s">
        <v>2</v>
      </c>
      <c r="C133" s="120"/>
      <c r="D133" s="120"/>
      <c r="E133" s="120"/>
      <c r="F133" s="120"/>
      <c r="G133" s="120"/>
      <c r="H133" s="120"/>
      <c r="I133" s="120"/>
      <c r="J133" s="121"/>
      <c r="K133" s="7"/>
    </row>
    <row r="134" spans="1:23" s="36" customFormat="1" ht="16.2" thickBot="1" x14ac:dyDescent="0.35">
      <c r="A134" s="6"/>
      <c r="B134" s="216">
        <v>44896</v>
      </c>
      <c r="C134" s="169"/>
      <c r="D134" s="169"/>
      <c r="E134" s="169"/>
      <c r="F134" s="169"/>
      <c r="G134" s="169"/>
      <c r="H134" s="169"/>
      <c r="I134" s="169"/>
      <c r="J134" s="170"/>
      <c r="K134" s="7"/>
      <c r="L134" s="22"/>
    </row>
    <row r="135" spans="1:23" s="36" customFormat="1" ht="16.2" thickBot="1" x14ac:dyDescent="0.35">
      <c r="A135" s="6"/>
      <c r="B135" s="106" t="s">
        <v>699</v>
      </c>
      <c r="C135" s="107"/>
      <c r="D135" s="107"/>
      <c r="E135" s="107"/>
      <c r="F135" s="107"/>
      <c r="G135" s="107"/>
      <c r="H135" s="107"/>
      <c r="I135" s="107"/>
      <c r="J135" s="108"/>
      <c r="K135" s="7"/>
    </row>
    <row r="136" spans="1:23" s="22" customFormat="1" ht="15" thickBot="1" x14ac:dyDescent="0.35">
      <c r="A136" s="69"/>
      <c r="B136" s="70" t="s">
        <v>9</v>
      </c>
      <c r="C136" s="71" t="s">
        <v>10</v>
      </c>
      <c r="D136" s="72" t="s">
        <v>11</v>
      </c>
      <c r="E136" s="72" t="s">
        <v>12</v>
      </c>
      <c r="F136" s="73" t="s">
        <v>65</v>
      </c>
      <c r="G136" s="73" t="s">
        <v>66</v>
      </c>
      <c r="H136" s="74" t="s">
        <v>67</v>
      </c>
      <c r="I136" s="73" t="s">
        <v>68</v>
      </c>
      <c r="J136" s="75" t="s">
        <v>17</v>
      </c>
      <c r="K136" s="76"/>
      <c r="L136" s="36"/>
      <c r="M136" s="36"/>
      <c r="N136" s="36"/>
      <c r="O136" s="36" t="s">
        <v>21</v>
      </c>
      <c r="P136" s="36"/>
      <c r="Q136" s="36"/>
      <c r="R136" s="36"/>
      <c r="V136" s="5" t="s">
        <v>5</v>
      </c>
      <c r="W136" s="5" t="s">
        <v>6</v>
      </c>
    </row>
    <row r="137" spans="1:23" s="36" customFormat="1" x14ac:dyDescent="0.3">
      <c r="A137" s="6"/>
      <c r="B137" s="14">
        <v>1</v>
      </c>
      <c r="C137" s="93">
        <v>44896</v>
      </c>
      <c r="D137" s="94" t="s">
        <v>18</v>
      </c>
      <c r="E137" s="94" t="s">
        <v>788</v>
      </c>
      <c r="F137" s="60">
        <v>115</v>
      </c>
      <c r="G137" s="60">
        <v>143</v>
      </c>
      <c r="H137" s="60">
        <f>143-115</f>
        <v>28</v>
      </c>
      <c r="I137" s="15">
        <v>300</v>
      </c>
      <c r="J137" s="16">
        <f t="shared" ref="J137:J182" si="9">I137*H137</f>
        <v>8400</v>
      </c>
      <c r="K137" s="7"/>
      <c r="V137" s="5">
        <f t="shared" ref="V137:V182" si="10">IF($J137&gt;0,1,0)</f>
        <v>1</v>
      </c>
      <c r="W137" s="5">
        <f t="shared" ref="W137:W182" si="11">IF($J137&lt;0,1,0)</f>
        <v>0</v>
      </c>
    </row>
    <row r="138" spans="1:23" s="36" customFormat="1" x14ac:dyDescent="0.3">
      <c r="A138" s="6"/>
      <c r="B138" s="17">
        <f>B137+1</f>
        <v>2</v>
      </c>
      <c r="C138" s="18">
        <v>44896</v>
      </c>
      <c r="D138" s="19" t="s">
        <v>18</v>
      </c>
      <c r="E138" s="19" t="s">
        <v>788</v>
      </c>
      <c r="F138" s="35">
        <v>105</v>
      </c>
      <c r="G138" s="35">
        <v>120</v>
      </c>
      <c r="H138" s="35">
        <f>120-105</f>
        <v>15</v>
      </c>
      <c r="I138" s="20">
        <v>300</v>
      </c>
      <c r="J138" s="21">
        <f t="shared" si="9"/>
        <v>4500</v>
      </c>
      <c r="K138" s="7"/>
      <c r="L138" s="36" t="s">
        <v>21</v>
      </c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ref="B139:B159" si="12">B138+1</f>
        <v>3</v>
      </c>
      <c r="C139" s="18">
        <v>44897</v>
      </c>
      <c r="D139" s="19" t="s">
        <v>18</v>
      </c>
      <c r="E139" s="19" t="s">
        <v>789</v>
      </c>
      <c r="F139" s="35">
        <v>110</v>
      </c>
      <c r="G139" s="35">
        <v>125</v>
      </c>
      <c r="H139" s="35">
        <f>125-110</f>
        <v>15</v>
      </c>
      <c r="I139" s="20">
        <v>300</v>
      </c>
      <c r="J139" s="21">
        <f t="shared" si="9"/>
        <v>4500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4</v>
      </c>
      <c r="C140" s="18">
        <v>44897</v>
      </c>
      <c r="D140" s="19" t="s">
        <v>18</v>
      </c>
      <c r="E140" s="19" t="s">
        <v>790</v>
      </c>
      <c r="F140" s="35">
        <v>125</v>
      </c>
      <c r="G140" s="35">
        <v>153</v>
      </c>
      <c r="H140" s="35">
        <f>153-125</f>
        <v>28</v>
      </c>
      <c r="I140" s="20">
        <v>300</v>
      </c>
      <c r="J140" s="21">
        <f t="shared" si="9"/>
        <v>8400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5</v>
      </c>
      <c r="C141" s="18">
        <v>44900</v>
      </c>
      <c r="D141" s="19" t="s">
        <v>18</v>
      </c>
      <c r="E141" s="19" t="s">
        <v>789</v>
      </c>
      <c r="F141" s="35">
        <v>125</v>
      </c>
      <c r="G141" s="35">
        <v>160</v>
      </c>
      <c r="H141" s="35">
        <f>160-125</f>
        <v>35</v>
      </c>
      <c r="I141" s="20">
        <v>300</v>
      </c>
      <c r="J141" s="21">
        <f t="shared" si="9"/>
        <v>10500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6</v>
      </c>
      <c r="C142" s="18">
        <v>44900</v>
      </c>
      <c r="D142" s="19" t="s">
        <v>18</v>
      </c>
      <c r="E142" s="19" t="s">
        <v>791</v>
      </c>
      <c r="F142" s="20">
        <v>135</v>
      </c>
      <c r="G142" s="35">
        <v>115</v>
      </c>
      <c r="H142" s="35">
        <v>-20</v>
      </c>
      <c r="I142" s="20">
        <v>300</v>
      </c>
      <c r="J142" s="21">
        <f t="shared" si="9"/>
        <v>-6000</v>
      </c>
      <c r="K142" s="7"/>
      <c r="V142" s="5">
        <f t="shared" si="10"/>
        <v>0</v>
      </c>
      <c r="W142" s="5">
        <f t="shared" si="11"/>
        <v>1</v>
      </c>
    </row>
    <row r="143" spans="1:23" s="36" customFormat="1" x14ac:dyDescent="0.3">
      <c r="A143" s="6"/>
      <c r="B143" s="17">
        <f t="shared" si="12"/>
        <v>7</v>
      </c>
      <c r="C143" s="18">
        <v>44900</v>
      </c>
      <c r="D143" s="19" t="s">
        <v>18</v>
      </c>
      <c r="E143" s="19" t="s">
        <v>790</v>
      </c>
      <c r="F143" s="35">
        <v>135</v>
      </c>
      <c r="G143" s="35">
        <v>170</v>
      </c>
      <c r="H143" s="35">
        <f>170-135</f>
        <v>35</v>
      </c>
      <c r="I143" s="20">
        <v>300</v>
      </c>
      <c r="J143" s="21">
        <f t="shared" si="9"/>
        <v>10500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8</v>
      </c>
      <c r="C144" s="18">
        <v>44901</v>
      </c>
      <c r="D144" s="19" t="s">
        <v>18</v>
      </c>
      <c r="E144" s="19" t="s">
        <v>792</v>
      </c>
      <c r="F144" s="35">
        <v>95</v>
      </c>
      <c r="G144" s="35">
        <v>118</v>
      </c>
      <c r="H144" s="35">
        <f>118-95</f>
        <v>23</v>
      </c>
      <c r="I144" s="20">
        <v>300</v>
      </c>
      <c r="J144" s="21">
        <f t="shared" si="9"/>
        <v>6900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9</v>
      </c>
      <c r="C145" s="18">
        <v>44901</v>
      </c>
      <c r="D145" s="19" t="s">
        <v>18</v>
      </c>
      <c r="E145" s="19" t="s">
        <v>530</v>
      </c>
      <c r="F145" s="35">
        <v>115</v>
      </c>
      <c r="G145" s="35">
        <v>130</v>
      </c>
      <c r="H145" s="35">
        <v>15</v>
      </c>
      <c r="I145" s="20">
        <v>300</v>
      </c>
      <c r="J145" s="21">
        <f t="shared" si="9"/>
        <v>4500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10</v>
      </c>
      <c r="C146" s="18">
        <v>44902</v>
      </c>
      <c r="D146" s="19" t="s">
        <v>18</v>
      </c>
      <c r="E146" s="19" t="s">
        <v>792</v>
      </c>
      <c r="F146" s="35">
        <v>95</v>
      </c>
      <c r="G146" s="35">
        <v>118</v>
      </c>
      <c r="H146" s="35">
        <f>118-95</f>
        <v>23</v>
      </c>
      <c r="I146" s="20">
        <v>300</v>
      </c>
      <c r="J146" s="21">
        <f t="shared" si="9"/>
        <v>6900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11</v>
      </c>
      <c r="C147" s="18">
        <v>44902</v>
      </c>
      <c r="D147" s="19" t="s">
        <v>18</v>
      </c>
      <c r="E147" s="19" t="s">
        <v>531</v>
      </c>
      <c r="F147" s="19">
        <v>95</v>
      </c>
      <c r="G147" s="35">
        <v>114</v>
      </c>
      <c r="H147" s="35">
        <f>114-95</f>
        <v>19</v>
      </c>
      <c r="I147" s="20">
        <v>300</v>
      </c>
      <c r="J147" s="21">
        <f t="shared" si="9"/>
        <v>5700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12</v>
      </c>
      <c r="C148" s="18">
        <v>44903</v>
      </c>
      <c r="D148" s="19" t="s">
        <v>18</v>
      </c>
      <c r="E148" s="19" t="s">
        <v>530</v>
      </c>
      <c r="F148" s="35">
        <v>95</v>
      </c>
      <c r="G148" s="35">
        <v>130</v>
      </c>
      <c r="H148" s="35">
        <f>130-95</f>
        <v>35</v>
      </c>
      <c r="I148" s="20">
        <v>300</v>
      </c>
      <c r="J148" s="21">
        <f t="shared" si="9"/>
        <v>10500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13</v>
      </c>
      <c r="C149" s="18">
        <v>44903</v>
      </c>
      <c r="D149" s="19" t="s">
        <v>18</v>
      </c>
      <c r="E149" s="19" t="s">
        <v>530</v>
      </c>
      <c r="F149" s="35">
        <v>95</v>
      </c>
      <c r="G149" s="35">
        <v>110</v>
      </c>
      <c r="H149" s="35">
        <f>110-95</f>
        <v>15</v>
      </c>
      <c r="I149" s="20">
        <v>300</v>
      </c>
      <c r="J149" s="21">
        <f t="shared" si="9"/>
        <v>4500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14</v>
      </c>
      <c r="C150" s="18">
        <v>44904</v>
      </c>
      <c r="D150" s="19" t="s">
        <v>18</v>
      </c>
      <c r="E150" s="19" t="s">
        <v>793</v>
      </c>
      <c r="F150" s="77">
        <v>110</v>
      </c>
      <c r="G150" s="35">
        <v>90</v>
      </c>
      <c r="H150" s="78">
        <v>-20</v>
      </c>
      <c r="I150" s="20">
        <v>300</v>
      </c>
      <c r="J150" s="21">
        <f t="shared" si="9"/>
        <v>-6000</v>
      </c>
      <c r="K150" s="7"/>
      <c r="V150" s="5">
        <f t="shared" si="10"/>
        <v>0</v>
      </c>
      <c r="W150" s="5">
        <f t="shared" si="11"/>
        <v>1</v>
      </c>
    </row>
    <row r="151" spans="1:23" s="36" customFormat="1" x14ac:dyDescent="0.3">
      <c r="A151" s="6"/>
      <c r="B151" s="17">
        <f t="shared" si="12"/>
        <v>15</v>
      </c>
      <c r="C151" s="18">
        <v>44904</v>
      </c>
      <c r="D151" s="19" t="s">
        <v>18</v>
      </c>
      <c r="E151" s="19" t="s">
        <v>794</v>
      </c>
      <c r="F151" s="35">
        <v>110</v>
      </c>
      <c r="G151" s="35">
        <v>145</v>
      </c>
      <c r="H151" s="78">
        <f>145-110</f>
        <v>35</v>
      </c>
      <c r="I151" s="20">
        <v>300</v>
      </c>
      <c r="J151" s="21">
        <f t="shared" si="9"/>
        <v>10500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16</v>
      </c>
      <c r="C152" s="18">
        <v>44904</v>
      </c>
      <c r="D152" s="19" t="s">
        <v>18</v>
      </c>
      <c r="E152" s="19" t="s">
        <v>795</v>
      </c>
      <c r="F152" s="35">
        <v>120</v>
      </c>
      <c r="G152" s="35">
        <v>148</v>
      </c>
      <c r="H152" s="78">
        <f>148-120</f>
        <v>28</v>
      </c>
      <c r="I152" s="20">
        <v>300</v>
      </c>
      <c r="J152" s="21">
        <f t="shared" si="9"/>
        <v>8400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17</v>
      </c>
      <c r="C153" s="18">
        <v>44907</v>
      </c>
      <c r="D153" s="19" t="s">
        <v>18</v>
      </c>
      <c r="E153" s="19" t="s">
        <v>533</v>
      </c>
      <c r="F153" s="35">
        <v>130</v>
      </c>
      <c r="G153" s="35">
        <v>165</v>
      </c>
      <c r="H153" s="78">
        <f>165-130</f>
        <v>35</v>
      </c>
      <c r="I153" s="20">
        <v>300</v>
      </c>
      <c r="J153" s="21">
        <f t="shared" si="9"/>
        <v>10500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2"/>
        <v>18</v>
      </c>
      <c r="C154" s="18">
        <v>44907</v>
      </c>
      <c r="D154" s="19" t="s">
        <v>18</v>
      </c>
      <c r="E154" s="19" t="s">
        <v>530</v>
      </c>
      <c r="F154" s="35">
        <v>115</v>
      </c>
      <c r="G154" s="35">
        <v>95</v>
      </c>
      <c r="H154" s="78">
        <v>-20</v>
      </c>
      <c r="I154" s="20">
        <v>300</v>
      </c>
      <c r="J154" s="21">
        <f t="shared" si="9"/>
        <v>-6000</v>
      </c>
      <c r="K154" s="7"/>
      <c r="V154" s="5">
        <f t="shared" si="10"/>
        <v>0</v>
      </c>
      <c r="W154" s="5">
        <f t="shared" si="11"/>
        <v>1</v>
      </c>
    </row>
    <row r="155" spans="1:23" s="36" customFormat="1" x14ac:dyDescent="0.3">
      <c r="A155" s="6"/>
      <c r="B155" s="17">
        <f t="shared" si="12"/>
        <v>19</v>
      </c>
      <c r="C155" s="18">
        <v>44908</v>
      </c>
      <c r="D155" s="19" t="s">
        <v>18</v>
      </c>
      <c r="E155" s="19" t="s">
        <v>531</v>
      </c>
      <c r="F155" s="35">
        <v>115</v>
      </c>
      <c r="G155" s="35">
        <v>130</v>
      </c>
      <c r="H155" s="78">
        <v>15</v>
      </c>
      <c r="I155" s="20">
        <v>300</v>
      </c>
      <c r="J155" s="21">
        <f t="shared" si="9"/>
        <v>4500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2"/>
        <v>20</v>
      </c>
      <c r="C156" s="18">
        <v>44908</v>
      </c>
      <c r="D156" s="19" t="s">
        <v>18</v>
      </c>
      <c r="E156" s="19" t="s">
        <v>530</v>
      </c>
      <c r="F156" s="35">
        <v>100</v>
      </c>
      <c r="G156" s="35">
        <v>135</v>
      </c>
      <c r="H156" s="35">
        <v>35</v>
      </c>
      <c r="I156" s="20">
        <v>300</v>
      </c>
      <c r="J156" s="21">
        <f t="shared" si="9"/>
        <v>10500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2"/>
        <v>21</v>
      </c>
      <c r="C157" s="18">
        <v>44909</v>
      </c>
      <c r="D157" s="19" t="s">
        <v>18</v>
      </c>
      <c r="E157" s="19" t="s">
        <v>792</v>
      </c>
      <c r="F157" s="35">
        <v>125</v>
      </c>
      <c r="G157" s="35">
        <v>140</v>
      </c>
      <c r="H157" s="35">
        <f>140-125</f>
        <v>15</v>
      </c>
      <c r="I157" s="20">
        <v>300</v>
      </c>
      <c r="J157" s="21">
        <f t="shared" si="9"/>
        <v>4500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2"/>
        <v>22</v>
      </c>
      <c r="C158" s="18">
        <v>44909</v>
      </c>
      <c r="D158" s="19" t="s">
        <v>18</v>
      </c>
      <c r="E158" s="19" t="s">
        <v>792</v>
      </c>
      <c r="F158" s="35">
        <v>95</v>
      </c>
      <c r="G158" s="35">
        <v>118</v>
      </c>
      <c r="H158" s="35">
        <f>118-95</f>
        <v>23</v>
      </c>
      <c r="I158" s="20">
        <v>300</v>
      </c>
      <c r="J158" s="21">
        <f t="shared" si="9"/>
        <v>6900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2"/>
        <v>23</v>
      </c>
      <c r="C159" s="18">
        <v>44910</v>
      </c>
      <c r="D159" s="19" t="s">
        <v>18</v>
      </c>
      <c r="E159" s="19" t="s">
        <v>789</v>
      </c>
      <c r="F159" s="35">
        <v>115</v>
      </c>
      <c r="G159" s="35">
        <v>150</v>
      </c>
      <c r="H159" s="35">
        <f>150-115</f>
        <v>35</v>
      </c>
      <c r="I159" s="20">
        <v>300</v>
      </c>
      <c r="J159" s="21">
        <f t="shared" si="9"/>
        <v>10500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>B159+1</f>
        <v>24</v>
      </c>
      <c r="C160" s="18">
        <v>44910</v>
      </c>
      <c r="D160" s="19" t="s">
        <v>18</v>
      </c>
      <c r="E160" s="19" t="s">
        <v>794</v>
      </c>
      <c r="F160" s="35">
        <v>75</v>
      </c>
      <c r="G160" s="35">
        <v>110</v>
      </c>
      <c r="H160" s="35">
        <f>110-75</f>
        <v>35</v>
      </c>
      <c r="I160" s="20">
        <v>300</v>
      </c>
      <c r="J160" s="21">
        <f t="shared" si="9"/>
        <v>10500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ref="B161:B182" si="13">B160+1</f>
        <v>25</v>
      </c>
      <c r="C161" s="18">
        <v>44911</v>
      </c>
      <c r="D161" s="19" t="s">
        <v>18</v>
      </c>
      <c r="E161" s="19" t="s">
        <v>533</v>
      </c>
      <c r="F161" s="35">
        <v>115</v>
      </c>
      <c r="G161" s="35">
        <v>134</v>
      </c>
      <c r="H161" s="35">
        <f>134-115</f>
        <v>19</v>
      </c>
      <c r="I161" s="20">
        <v>300</v>
      </c>
      <c r="J161" s="21">
        <f t="shared" si="9"/>
        <v>5700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26</v>
      </c>
      <c r="C162" s="18">
        <v>44911</v>
      </c>
      <c r="D162" s="19" t="s">
        <v>18</v>
      </c>
      <c r="E162" s="19" t="s">
        <v>764</v>
      </c>
      <c r="F162" s="35">
        <v>110</v>
      </c>
      <c r="G162" s="35">
        <v>144.5</v>
      </c>
      <c r="H162" s="35">
        <f>144.5-110</f>
        <v>34.5</v>
      </c>
      <c r="I162" s="20">
        <v>300</v>
      </c>
      <c r="J162" s="21">
        <f t="shared" si="9"/>
        <v>10350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27</v>
      </c>
      <c r="C163" s="18">
        <v>44914</v>
      </c>
      <c r="D163" s="19" t="s">
        <v>18</v>
      </c>
      <c r="E163" s="19" t="s">
        <v>535</v>
      </c>
      <c r="F163" s="35">
        <v>100</v>
      </c>
      <c r="G163" s="35">
        <v>113</v>
      </c>
      <c r="H163" s="35">
        <v>13</v>
      </c>
      <c r="I163" s="20">
        <v>300</v>
      </c>
      <c r="J163" s="21">
        <f t="shared" si="9"/>
        <v>3900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28</v>
      </c>
      <c r="C164" s="18">
        <v>44914</v>
      </c>
      <c r="D164" s="19" t="s">
        <v>18</v>
      </c>
      <c r="E164" s="19" t="s">
        <v>620</v>
      </c>
      <c r="F164" s="35">
        <v>105</v>
      </c>
      <c r="G164" s="35">
        <v>140</v>
      </c>
      <c r="H164" s="35">
        <f>140-105</f>
        <v>35</v>
      </c>
      <c r="I164" s="20">
        <v>300</v>
      </c>
      <c r="J164" s="21">
        <f t="shared" si="9"/>
        <v>10500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3"/>
        <v>29</v>
      </c>
      <c r="C165" s="18">
        <v>44915</v>
      </c>
      <c r="D165" s="19" t="s">
        <v>18</v>
      </c>
      <c r="E165" s="19" t="s">
        <v>764</v>
      </c>
      <c r="F165" s="35">
        <v>120</v>
      </c>
      <c r="G165" s="35">
        <v>155</v>
      </c>
      <c r="H165" s="35">
        <f>155-120</f>
        <v>35</v>
      </c>
      <c r="I165" s="20">
        <v>300</v>
      </c>
      <c r="J165" s="21">
        <f t="shared" si="9"/>
        <v>10500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3"/>
        <v>30</v>
      </c>
      <c r="C166" s="18">
        <v>44915</v>
      </c>
      <c r="D166" s="19" t="s">
        <v>18</v>
      </c>
      <c r="E166" s="19" t="s">
        <v>535</v>
      </c>
      <c r="F166" s="35">
        <v>120</v>
      </c>
      <c r="G166" s="35">
        <v>155</v>
      </c>
      <c r="H166" s="35">
        <f>155-120</f>
        <v>35</v>
      </c>
      <c r="I166" s="20">
        <v>300</v>
      </c>
      <c r="J166" s="21">
        <f t="shared" si="9"/>
        <v>10500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3"/>
        <v>31</v>
      </c>
      <c r="C167" s="18">
        <v>44916</v>
      </c>
      <c r="D167" s="19" t="s">
        <v>18</v>
      </c>
      <c r="E167" s="19" t="s">
        <v>795</v>
      </c>
      <c r="F167" s="35">
        <v>105</v>
      </c>
      <c r="G167" s="35">
        <v>140</v>
      </c>
      <c r="H167" s="35">
        <f>140-105</f>
        <v>35</v>
      </c>
      <c r="I167" s="20">
        <v>300</v>
      </c>
      <c r="J167" s="21">
        <f t="shared" si="9"/>
        <v>10500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3"/>
        <v>32</v>
      </c>
      <c r="C168" s="18">
        <v>44916</v>
      </c>
      <c r="D168" s="19" t="s">
        <v>18</v>
      </c>
      <c r="E168" s="19" t="s">
        <v>532</v>
      </c>
      <c r="F168" s="35">
        <v>115</v>
      </c>
      <c r="G168" s="35">
        <v>124</v>
      </c>
      <c r="H168" s="35">
        <f>124-115</f>
        <v>9</v>
      </c>
      <c r="I168" s="20">
        <v>300</v>
      </c>
      <c r="J168" s="21">
        <f t="shared" si="9"/>
        <v>2700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3"/>
        <v>33</v>
      </c>
      <c r="C169" s="18">
        <v>44917</v>
      </c>
      <c r="D169" s="19" t="s">
        <v>18</v>
      </c>
      <c r="E169" s="19" t="s">
        <v>535</v>
      </c>
      <c r="F169" s="35">
        <v>115</v>
      </c>
      <c r="G169" s="35">
        <v>137</v>
      </c>
      <c r="H169" s="35">
        <f>137-115</f>
        <v>22</v>
      </c>
      <c r="I169" s="20">
        <v>300</v>
      </c>
      <c r="J169" s="21">
        <f t="shared" si="9"/>
        <v>6600</v>
      </c>
      <c r="K169" s="7"/>
      <c r="V169" s="5">
        <f t="shared" si="10"/>
        <v>1</v>
      </c>
      <c r="W169" s="5">
        <f t="shared" si="11"/>
        <v>0</v>
      </c>
    </row>
    <row r="170" spans="1:23" s="36" customFormat="1" x14ac:dyDescent="0.3">
      <c r="A170" s="6"/>
      <c r="B170" s="17">
        <f t="shared" si="13"/>
        <v>34</v>
      </c>
      <c r="C170" s="18">
        <v>44917</v>
      </c>
      <c r="D170" s="19" t="s">
        <v>18</v>
      </c>
      <c r="E170" s="19" t="s">
        <v>750</v>
      </c>
      <c r="F170" s="35">
        <v>120</v>
      </c>
      <c r="G170" s="35">
        <v>155</v>
      </c>
      <c r="H170" s="35">
        <f>155-120</f>
        <v>35</v>
      </c>
      <c r="I170" s="20">
        <v>300</v>
      </c>
      <c r="J170" s="21">
        <f t="shared" si="9"/>
        <v>10500</v>
      </c>
      <c r="K170" s="7"/>
      <c r="V170" s="5">
        <f t="shared" si="10"/>
        <v>1</v>
      </c>
      <c r="W170" s="5">
        <f t="shared" si="11"/>
        <v>0</v>
      </c>
    </row>
    <row r="171" spans="1:23" s="36" customFormat="1" x14ac:dyDescent="0.3">
      <c r="A171" s="6"/>
      <c r="B171" s="17">
        <f t="shared" si="13"/>
        <v>35</v>
      </c>
      <c r="C171" s="18">
        <v>44918</v>
      </c>
      <c r="D171" s="19" t="s">
        <v>18</v>
      </c>
      <c r="E171" s="19" t="s">
        <v>537</v>
      </c>
      <c r="F171" s="35">
        <v>125</v>
      </c>
      <c r="G171" s="35">
        <v>105</v>
      </c>
      <c r="H171" s="35">
        <v>-20</v>
      </c>
      <c r="I171" s="20">
        <v>300</v>
      </c>
      <c r="J171" s="21">
        <f t="shared" si="9"/>
        <v>-6000</v>
      </c>
      <c r="K171" s="7"/>
      <c r="V171" s="5">
        <f t="shared" si="10"/>
        <v>0</v>
      </c>
      <c r="W171" s="5">
        <f t="shared" si="11"/>
        <v>1</v>
      </c>
    </row>
    <row r="172" spans="1:23" s="36" customFormat="1" x14ac:dyDescent="0.3">
      <c r="A172" s="6"/>
      <c r="B172" s="17">
        <f t="shared" si="13"/>
        <v>36</v>
      </c>
      <c r="C172" s="18">
        <v>44918</v>
      </c>
      <c r="D172" s="19" t="s">
        <v>18</v>
      </c>
      <c r="E172" s="19" t="s">
        <v>569</v>
      </c>
      <c r="F172" s="35">
        <v>115</v>
      </c>
      <c r="G172" s="35">
        <v>95</v>
      </c>
      <c r="H172" s="35">
        <v>-20</v>
      </c>
      <c r="I172" s="20">
        <v>300</v>
      </c>
      <c r="J172" s="21">
        <f t="shared" si="9"/>
        <v>-6000</v>
      </c>
      <c r="K172" s="7"/>
      <c r="V172" s="5">
        <f t="shared" si="10"/>
        <v>0</v>
      </c>
      <c r="W172" s="5">
        <f t="shared" si="11"/>
        <v>1</v>
      </c>
    </row>
    <row r="173" spans="1:23" s="36" customFormat="1" x14ac:dyDescent="0.3">
      <c r="A173" s="6"/>
      <c r="B173" s="17">
        <f t="shared" si="13"/>
        <v>37</v>
      </c>
      <c r="C173" s="18">
        <v>44918</v>
      </c>
      <c r="D173" s="19" t="s">
        <v>18</v>
      </c>
      <c r="E173" s="19" t="s">
        <v>569</v>
      </c>
      <c r="F173" s="35">
        <v>115</v>
      </c>
      <c r="G173" s="35">
        <v>150</v>
      </c>
      <c r="H173" s="35">
        <f>150-115</f>
        <v>35</v>
      </c>
      <c r="I173" s="20">
        <v>300</v>
      </c>
      <c r="J173" s="21">
        <f t="shared" si="9"/>
        <v>10500</v>
      </c>
      <c r="K173" s="7"/>
      <c r="V173" s="5">
        <f t="shared" si="10"/>
        <v>1</v>
      </c>
      <c r="W173" s="5">
        <f t="shared" si="11"/>
        <v>0</v>
      </c>
    </row>
    <row r="174" spans="1:23" s="36" customFormat="1" x14ac:dyDescent="0.3">
      <c r="A174" s="6"/>
      <c r="B174" s="17">
        <f t="shared" si="13"/>
        <v>38</v>
      </c>
      <c r="C174" s="18">
        <v>44921</v>
      </c>
      <c r="D174" s="19" t="s">
        <v>18</v>
      </c>
      <c r="E174" s="19" t="s">
        <v>567</v>
      </c>
      <c r="F174" s="35">
        <v>130</v>
      </c>
      <c r="G174" s="35">
        <v>164.5</v>
      </c>
      <c r="H174" s="35">
        <f>164.5-130</f>
        <v>34.5</v>
      </c>
      <c r="I174" s="20">
        <v>300</v>
      </c>
      <c r="J174" s="21">
        <f t="shared" si="9"/>
        <v>10350</v>
      </c>
      <c r="K174" s="7"/>
      <c r="V174" s="5">
        <f t="shared" si="10"/>
        <v>1</v>
      </c>
      <c r="W174" s="5">
        <f t="shared" si="11"/>
        <v>0</v>
      </c>
    </row>
    <row r="175" spans="1:23" s="36" customFormat="1" x14ac:dyDescent="0.3">
      <c r="A175" s="6"/>
      <c r="B175" s="17">
        <f t="shared" si="13"/>
        <v>39</v>
      </c>
      <c r="C175" s="18">
        <v>44921</v>
      </c>
      <c r="D175" s="19" t="s">
        <v>18</v>
      </c>
      <c r="E175" s="19" t="s">
        <v>526</v>
      </c>
      <c r="F175" s="35">
        <v>115</v>
      </c>
      <c r="G175" s="35">
        <v>150</v>
      </c>
      <c r="H175" s="35">
        <f>150-115</f>
        <v>35</v>
      </c>
      <c r="I175" s="20">
        <v>300</v>
      </c>
      <c r="J175" s="21">
        <f t="shared" si="9"/>
        <v>10500</v>
      </c>
      <c r="K175" s="7"/>
      <c r="V175" s="5">
        <f t="shared" si="10"/>
        <v>1</v>
      </c>
      <c r="W175" s="5">
        <f t="shared" si="11"/>
        <v>0</v>
      </c>
    </row>
    <row r="176" spans="1:23" s="36" customFormat="1" x14ac:dyDescent="0.3">
      <c r="A176" s="6"/>
      <c r="B176" s="17">
        <f t="shared" si="13"/>
        <v>40</v>
      </c>
      <c r="C176" s="18">
        <v>44922</v>
      </c>
      <c r="D176" s="19" t="s">
        <v>18</v>
      </c>
      <c r="E176" s="19" t="s">
        <v>541</v>
      </c>
      <c r="F176" s="35">
        <v>110</v>
      </c>
      <c r="G176" s="35">
        <v>132</v>
      </c>
      <c r="H176" s="35">
        <f>132-110</f>
        <v>22</v>
      </c>
      <c r="I176" s="20">
        <v>300</v>
      </c>
      <c r="J176" s="21">
        <f t="shared" si="9"/>
        <v>6600</v>
      </c>
      <c r="K176" s="7"/>
      <c r="V176" s="5">
        <f t="shared" si="10"/>
        <v>1</v>
      </c>
      <c r="W176" s="5">
        <f t="shared" si="11"/>
        <v>0</v>
      </c>
    </row>
    <row r="177" spans="1:23" s="36" customFormat="1" x14ac:dyDescent="0.3">
      <c r="A177" s="6"/>
      <c r="B177" s="17">
        <f t="shared" si="13"/>
        <v>41</v>
      </c>
      <c r="C177" s="18">
        <v>44922</v>
      </c>
      <c r="D177" s="19" t="s">
        <v>18</v>
      </c>
      <c r="E177" s="19" t="s">
        <v>528</v>
      </c>
      <c r="F177" s="35">
        <v>100</v>
      </c>
      <c r="G177" s="35">
        <v>115</v>
      </c>
      <c r="H177" s="35">
        <v>15</v>
      </c>
      <c r="I177" s="20">
        <v>300</v>
      </c>
      <c r="J177" s="21">
        <f t="shared" si="9"/>
        <v>4500</v>
      </c>
      <c r="K177" s="7"/>
      <c r="V177" s="5">
        <f t="shared" si="10"/>
        <v>1</v>
      </c>
      <c r="W177" s="5">
        <f t="shared" si="11"/>
        <v>0</v>
      </c>
    </row>
    <row r="178" spans="1:23" s="36" customFormat="1" x14ac:dyDescent="0.3">
      <c r="A178" s="6"/>
      <c r="B178" s="17">
        <f t="shared" si="13"/>
        <v>42</v>
      </c>
      <c r="C178" s="18">
        <v>44923</v>
      </c>
      <c r="D178" s="19" t="s">
        <v>18</v>
      </c>
      <c r="E178" s="19" t="s">
        <v>747</v>
      </c>
      <c r="F178" s="35">
        <v>110</v>
      </c>
      <c r="G178" s="35">
        <v>116</v>
      </c>
      <c r="H178" s="35">
        <v>6</v>
      </c>
      <c r="I178" s="20">
        <v>300</v>
      </c>
      <c r="J178" s="21">
        <f t="shared" si="9"/>
        <v>1800</v>
      </c>
      <c r="K178" s="7"/>
      <c r="V178" s="5">
        <f t="shared" si="10"/>
        <v>1</v>
      </c>
      <c r="W178" s="5">
        <f t="shared" si="11"/>
        <v>0</v>
      </c>
    </row>
    <row r="179" spans="1:23" s="36" customFormat="1" x14ac:dyDescent="0.3">
      <c r="A179" s="6"/>
      <c r="B179" s="17">
        <f t="shared" si="13"/>
        <v>43</v>
      </c>
      <c r="C179" s="18">
        <v>44924</v>
      </c>
      <c r="D179" s="19" t="s">
        <v>18</v>
      </c>
      <c r="E179" s="19" t="s">
        <v>747</v>
      </c>
      <c r="F179" s="35">
        <v>120</v>
      </c>
      <c r="G179" s="35">
        <v>144</v>
      </c>
      <c r="H179" s="35">
        <f>144-120</f>
        <v>24</v>
      </c>
      <c r="I179" s="20">
        <v>300</v>
      </c>
      <c r="J179" s="21">
        <f t="shared" si="9"/>
        <v>7200</v>
      </c>
      <c r="K179" s="7"/>
      <c r="V179" s="5">
        <f t="shared" si="10"/>
        <v>1</v>
      </c>
      <c r="W179" s="5">
        <f t="shared" si="11"/>
        <v>0</v>
      </c>
    </row>
    <row r="180" spans="1:23" s="36" customFormat="1" x14ac:dyDescent="0.3">
      <c r="A180" s="6"/>
      <c r="B180" s="17">
        <f t="shared" si="13"/>
        <v>44</v>
      </c>
      <c r="C180" s="18">
        <v>44924</v>
      </c>
      <c r="D180" s="19" t="s">
        <v>18</v>
      </c>
      <c r="E180" s="19" t="s">
        <v>541</v>
      </c>
      <c r="F180" s="35">
        <v>85</v>
      </c>
      <c r="G180" s="35">
        <v>120</v>
      </c>
      <c r="H180" s="35">
        <f>120-85</f>
        <v>35</v>
      </c>
      <c r="I180" s="20">
        <v>300</v>
      </c>
      <c r="J180" s="21">
        <f t="shared" si="9"/>
        <v>10500</v>
      </c>
      <c r="K180" s="7"/>
      <c r="V180" s="5">
        <f t="shared" si="10"/>
        <v>1</v>
      </c>
      <c r="W180" s="5">
        <f t="shared" si="11"/>
        <v>0</v>
      </c>
    </row>
    <row r="181" spans="1:23" s="36" customFormat="1" x14ac:dyDescent="0.3">
      <c r="A181" s="6"/>
      <c r="B181" s="17">
        <f t="shared" si="13"/>
        <v>45</v>
      </c>
      <c r="C181" s="18">
        <v>44925</v>
      </c>
      <c r="D181" s="19" t="s">
        <v>18</v>
      </c>
      <c r="E181" s="19" t="s">
        <v>529</v>
      </c>
      <c r="F181" s="35">
        <v>115</v>
      </c>
      <c r="G181" s="35">
        <v>130</v>
      </c>
      <c r="H181" s="35">
        <v>15</v>
      </c>
      <c r="I181" s="20">
        <v>300</v>
      </c>
      <c r="J181" s="21">
        <f t="shared" si="9"/>
        <v>4500</v>
      </c>
      <c r="K181" s="7"/>
      <c r="V181" s="5">
        <f t="shared" si="10"/>
        <v>1</v>
      </c>
      <c r="W181" s="5">
        <f t="shared" si="11"/>
        <v>0</v>
      </c>
    </row>
    <row r="182" spans="1:23" s="36" customFormat="1" ht="15" thickBot="1" x14ac:dyDescent="0.35">
      <c r="A182" s="6"/>
      <c r="B182" s="95">
        <f t="shared" si="13"/>
        <v>46</v>
      </c>
      <c r="C182" s="79">
        <v>44925</v>
      </c>
      <c r="D182" s="80" t="s">
        <v>18</v>
      </c>
      <c r="E182" s="80" t="s">
        <v>536</v>
      </c>
      <c r="F182" s="96">
        <v>105</v>
      </c>
      <c r="G182" s="96">
        <v>140</v>
      </c>
      <c r="H182" s="96">
        <f>140-105</f>
        <v>35</v>
      </c>
      <c r="I182" s="81">
        <v>300</v>
      </c>
      <c r="J182" s="82">
        <f t="shared" si="9"/>
        <v>10500</v>
      </c>
      <c r="K182" s="7"/>
      <c r="V182" s="5">
        <f t="shared" si="10"/>
        <v>1</v>
      </c>
      <c r="W182" s="5">
        <f t="shared" si="11"/>
        <v>0</v>
      </c>
    </row>
    <row r="183" spans="1:23" s="36" customFormat="1" ht="24" thickBot="1" x14ac:dyDescent="0.5">
      <c r="A183" s="6"/>
      <c r="B183" s="165" t="s">
        <v>22</v>
      </c>
      <c r="C183" s="166"/>
      <c r="D183" s="166"/>
      <c r="E183" s="166"/>
      <c r="F183" s="166"/>
      <c r="G183" s="166"/>
      <c r="H183" s="167"/>
      <c r="I183" s="83" t="s">
        <v>23</v>
      </c>
      <c r="J183" s="84">
        <f>SUM(J137:J182)</f>
        <v>291300</v>
      </c>
      <c r="K183" s="7"/>
      <c r="L183" s="5"/>
      <c r="M183" s="5"/>
      <c r="N183" s="5"/>
      <c r="O183" s="5"/>
      <c r="P183" s="5"/>
      <c r="Q183" s="5"/>
      <c r="R183" s="5"/>
      <c r="V183" s="36">
        <f>SUM(V137:V182)</f>
        <v>41</v>
      </c>
      <c r="W183" s="36">
        <f>SUM(W137:W182)</f>
        <v>5</v>
      </c>
    </row>
    <row r="184" spans="1:23" s="36" customFormat="1" ht="30" customHeight="1" thickBot="1" x14ac:dyDescent="0.35">
      <c r="A184" s="30"/>
      <c r="B184" s="31"/>
      <c r="C184" s="31"/>
      <c r="D184" s="31"/>
      <c r="E184" s="31"/>
      <c r="F184" s="31"/>
      <c r="G184" s="31"/>
      <c r="H184" s="32"/>
      <c r="I184" s="31"/>
      <c r="J184" s="32"/>
      <c r="K184" s="33"/>
      <c r="L184" s="5"/>
      <c r="M184" s="5"/>
      <c r="N184" s="5"/>
      <c r="O184" s="5"/>
      <c r="P184" s="5"/>
      <c r="Q184" s="5"/>
      <c r="R184" s="5"/>
    </row>
  </sheetData>
  <mergeCells count="44">
    <mergeCell ref="B129:H129"/>
    <mergeCell ref="B133:J133"/>
    <mergeCell ref="B134:J134"/>
    <mergeCell ref="B135:J135"/>
    <mergeCell ref="B183:H183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59" r:id="rId1" xr:uid="{00000000-0004-0000-1D00-000000000000}"/>
    <hyperlink ref="B129" r:id="rId2" xr:uid="{00000000-0004-0000-1D00-000001000000}"/>
    <hyperlink ref="B183" r:id="rId3" xr:uid="{00000000-0004-0000-1D00-000002000000}"/>
    <hyperlink ref="M1" location="MASTER!A1" display="Back" xr:uid="{00000000-0004-0000-1D00-000003000000}"/>
    <hyperlink ref="M6:M7" location="'NOV 2022'!A70" display="EXTRA STOCK FUTURE" xr:uid="{00000000-0004-0000-1D00-000004000000}"/>
    <hyperlink ref="M8:M9" location="'NOV 2022'!A140" display="EXTRA NIFTY OPTION" xr:uid="{00000000-0004-0000-1D00-000005000000}"/>
    <hyperlink ref="M4:M5" location="'NOV 2022'!A1" display="EXTRA BANKNIFTY OPTION" xr:uid="{00000000-0004-0000-1D00-000006000000}"/>
  </hyperlinks>
  <pageMargins left="0" right="0" top="0" bottom="0" header="0" footer="0"/>
  <pageSetup paperSize="9" orientation="portrait" r:id="rId4"/>
  <ignoredErrors>
    <ignoredError sqref="H174" formula="1"/>
  </ignoredErrors>
  <drawing r:id="rId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184"/>
  <sheetViews>
    <sheetView topLeftCell="A144" zoomScaleNormal="100" workbookViewId="0">
      <selection activeCell="M16" sqref="M16:M17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0" style="5" hidden="1" customWidth="1"/>
    <col min="22" max="23" width="9.109375" style="5" hidden="1" customWidth="1"/>
    <col min="24" max="24" width="0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44927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201"/>
      <c r="O3" s="202"/>
      <c r="P3" s="202"/>
      <c r="Q3" s="202"/>
      <c r="R3" s="102"/>
    </row>
    <row r="4" spans="1:23" ht="16.5" customHeight="1" thickBot="1" x14ac:dyDescent="0.35">
      <c r="A4" s="6"/>
      <c r="B4" s="106" t="s">
        <v>785</v>
      </c>
      <c r="C4" s="107"/>
      <c r="D4" s="107"/>
      <c r="E4" s="107"/>
      <c r="F4" s="107"/>
      <c r="G4" s="107"/>
      <c r="H4" s="107"/>
      <c r="I4" s="107"/>
      <c r="J4" s="108"/>
      <c r="K4" s="7"/>
      <c r="M4" s="217" t="s">
        <v>107</v>
      </c>
      <c r="N4" s="111">
        <f>COUNT(C6:C58)</f>
        <v>38</v>
      </c>
      <c r="O4" s="113">
        <v>33</v>
      </c>
      <c r="P4" s="113">
        <v>5</v>
      </c>
      <c r="Q4" s="197">
        <v>0</v>
      </c>
      <c r="R4" s="199">
        <f>O4/N4</f>
        <v>0.86842105263157898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213"/>
      <c r="N5" s="112"/>
      <c r="O5" s="114"/>
      <c r="P5" s="114"/>
      <c r="Q5" s="198"/>
      <c r="R5" s="200"/>
      <c r="V5" s="5" t="s">
        <v>5</v>
      </c>
      <c r="W5" s="5" t="s">
        <v>6</v>
      </c>
    </row>
    <row r="6" spans="1:23" ht="15" customHeight="1" x14ac:dyDescent="0.3">
      <c r="A6" s="6"/>
      <c r="B6" s="88">
        <v>1</v>
      </c>
      <c r="C6" s="89">
        <v>44928</v>
      </c>
      <c r="D6" s="90" t="s">
        <v>18</v>
      </c>
      <c r="E6" s="90" t="s">
        <v>809</v>
      </c>
      <c r="F6" s="90">
        <v>140</v>
      </c>
      <c r="G6" s="90">
        <v>155</v>
      </c>
      <c r="H6" s="91">
        <v>15</v>
      </c>
      <c r="I6" s="90">
        <v>100</v>
      </c>
      <c r="J6" s="92">
        <f t="shared" ref="J6:J58" si="0">H6*I6</f>
        <v>1500</v>
      </c>
      <c r="K6" s="7"/>
      <c r="M6" s="213" t="s">
        <v>108</v>
      </c>
      <c r="N6" s="112">
        <f>COUNT(C67:C128)</f>
        <v>26</v>
      </c>
      <c r="O6" s="113">
        <v>23</v>
      </c>
      <c r="P6" s="113">
        <v>3</v>
      </c>
      <c r="Q6" s="198">
        <v>0</v>
      </c>
      <c r="R6" s="203">
        <f t="shared" ref="R6" si="1">O6/N6</f>
        <v>0.88461538461538458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ht="15" thickBot="1" x14ac:dyDescent="0.35">
      <c r="A7" s="6"/>
      <c r="B7" s="17">
        <v>2</v>
      </c>
      <c r="C7" s="85">
        <v>44929</v>
      </c>
      <c r="D7" s="86" t="s">
        <v>18</v>
      </c>
      <c r="E7" s="86" t="s">
        <v>801</v>
      </c>
      <c r="F7" s="86">
        <v>140</v>
      </c>
      <c r="G7" s="86">
        <v>183</v>
      </c>
      <c r="H7" s="87">
        <f>183-140</f>
        <v>43</v>
      </c>
      <c r="I7" s="86">
        <v>100</v>
      </c>
      <c r="J7" s="21">
        <f t="shared" si="0"/>
        <v>4300</v>
      </c>
      <c r="K7" s="7"/>
      <c r="M7" s="213"/>
      <c r="N7" s="112"/>
      <c r="O7" s="114"/>
      <c r="P7" s="114"/>
      <c r="Q7" s="198"/>
      <c r="R7" s="200"/>
      <c r="V7" s="5">
        <f t="shared" si="2"/>
        <v>1</v>
      </c>
      <c r="W7" s="5">
        <f t="shared" si="3"/>
        <v>0</v>
      </c>
    </row>
    <row r="8" spans="1:23" x14ac:dyDescent="0.3">
      <c r="A8" s="6"/>
      <c r="B8" s="88">
        <v>3</v>
      </c>
      <c r="C8" s="85">
        <v>44929</v>
      </c>
      <c r="D8" s="86" t="s">
        <v>18</v>
      </c>
      <c r="E8" s="86" t="s">
        <v>801</v>
      </c>
      <c r="F8" s="86">
        <v>150</v>
      </c>
      <c r="G8" s="86">
        <v>170</v>
      </c>
      <c r="H8" s="87">
        <v>20</v>
      </c>
      <c r="I8" s="86">
        <v>100</v>
      </c>
      <c r="J8" s="21">
        <f t="shared" si="0"/>
        <v>2000</v>
      </c>
      <c r="K8" s="7"/>
      <c r="M8" s="214" t="s">
        <v>194</v>
      </c>
      <c r="N8" s="112">
        <v>39</v>
      </c>
      <c r="O8" s="114">
        <v>38</v>
      </c>
      <c r="P8" s="113">
        <v>1</v>
      </c>
      <c r="Q8" s="198">
        <v>0</v>
      </c>
      <c r="R8" s="203">
        <f t="shared" ref="R8:R10" si="4">O8/N8</f>
        <v>0.97435897435897434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44930</v>
      </c>
      <c r="D9" s="86" t="s">
        <v>18</v>
      </c>
      <c r="E9" s="86" t="s">
        <v>801</v>
      </c>
      <c r="F9" s="86">
        <v>160</v>
      </c>
      <c r="G9" s="86">
        <v>110</v>
      </c>
      <c r="H9" s="87">
        <v>-50</v>
      </c>
      <c r="I9" s="86">
        <v>100</v>
      </c>
      <c r="J9" s="21">
        <f t="shared" si="0"/>
        <v>-5000</v>
      </c>
      <c r="K9" s="7"/>
      <c r="M9" s="215"/>
      <c r="N9" s="184"/>
      <c r="O9" s="172"/>
      <c r="P9" s="114"/>
      <c r="Q9" s="174"/>
      <c r="R9" s="204"/>
      <c r="V9" s="5">
        <f t="shared" si="2"/>
        <v>0</v>
      </c>
      <c r="W9" s="5">
        <f t="shared" si="3"/>
        <v>1</v>
      </c>
    </row>
    <row r="10" spans="1:23" ht="16.5" customHeight="1" x14ac:dyDescent="0.3">
      <c r="A10" s="6"/>
      <c r="B10" s="88">
        <v>5</v>
      </c>
      <c r="C10" s="85">
        <v>44930</v>
      </c>
      <c r="D10" s="86" t="s">
        <v>18</v>
      </c>
      <c r="E10" s="86" t="s">
        <v>775</v>
      </c>
      <c r="F10" s="86">
        <v>140</v>
      </c>
      <c r="G10" s="86">
        <v>240</v>
      </c>
      <c r="H10" s="87">
        <v>100</v>
      </c>
      <c r="I10" s="86">
        <v>100</v>
      </c>
      <c r="J10" s="21">
        <f t="shared" si="0"/>
        <v>10000</v>
      </c>
      <c r="K10" s="7"/>
      <c r="M10" s="207" t="s">
        <v>19</v>
      </c>
      <c r="N10" s="149">
        <f>SUM(N4:N9)</f>
        <v>103</v>
      </c>
      <c r="O10" s="209">
        <f>SUM(O4:O9)</f>
        <v>94</v>
      </c>
      <c r="P10" s="209">
        <f>SUM(P4:P9)</f>
        <v>9</v>
      </c>
      <c r="Q10" s="211">
        <f>SUM(Q4:Q9)</f>
        <v>0</v>
      </c>
      <c r="R10" s="199">
        <f t="shared" si="4"/>
        <v>0.91262135922330101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44931</v>
      </c>
      <c r="D11" s="86" t="s">
        <v>18</v>
      </c>
      <c r="E11" s="86" t="s">
        <v>779</v>
      </c>
      <c r="F11" s="86">
        <v>130</v>
      </c>
      <c r="G11" s="86">
        <v>152</v>
      </c>
      <c r="H11" s="87">
        <f>152-130</f>
        <v>22</v>
      </c>
      <c r="I11" s="86">
        <v>100</v>
      </c>
      <c r="J11" s="21">
        <f t="shared" si="0"/>
        <v>2200</v>
      </c>
      <c r="K11" s="7"/>
      <c r="M11" s="208"/>
      <c r="N11" s="150"/>
      <c r="O11" s="210"/>
      <c r="P11" s="210"/>
      <c r="Q11" s="212"/>
      <c r="R11" s="204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44931</v>
      </c>
      <c r="D12" s="86" t="s">
        <v>18</v>
      </c>
      <c r="E12" s="86" t="s">
        <v>768</v>
      </c>
      <c r="F12" s="86">
        <v>180</v>
      </c>
      <c r="G12" s="86">
        <v>280</v>
      </c>
      <c r="H12" s="87">
        <v>100</v>
      </c>
      <c r="I12" s="86">
        <v>100</v>
      </c>
      <c r="J12" s="21">
        <f t="shared" si="0"/>
        <v>10000</v>
      </c>
      <c r="K12" s="7"/>
      <c r="M12" s="126" t="s">
        <v>20</v>
      </c>
      <c r="N12" s="130"/>
      <c r="O12" s="131"/>
      <c r="P12" s="138">
        <f>R10</f>
        <v>0.91262135922330101</v>
      </c>
      <c r="Q12" s="139"/>
      <c r="R12" s="137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44932</v>
      </c>
      <c r="D13" s="86" t="s">
        <v>18</v>
      </c>
      <c r="E13" s="86" t="s">
        <v>812</v>
      </c>
      <c r="F13" s="86">
        <v>140</v>
      </c>
      <c r="G13" s="86">
        <v>240</v>
      </c>
      <c r="H13" s="87">
        <v>100</v>
      </c>
      <c r="I13" s="86">
        <v>100</v>
      </c>
      <c r="J13" s="21">
        <f t="shared" si="0"/>
        <v>10000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44932</v>
      </c>
      <c r="D14" s="86" t="s">
        <v>18</v>
      </c>
      <c r="E14" s="86" t="s">
        <v>755</v>
      </c>
      <c r="F14" s="86">
        <v>160</v>
      </c>
      <c r="G14" s="86">
        <v>227</v>
      </c>
      <c r="H14" s="87">
        <f>227-160</f>
        <v>67</v>
      </c>
      <c r="I14" s="86">
        <v>100</v>
      </c>
      <c r="J14" s="21">
        <f t="shared" si="0"/>
        <v>6700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44935</v>
      </c>
      <c r="D15" s="86" t="s">
        <v>18</v>
      </c>
      <c r="E15" s="86" t="s">
        <v>760</v>
      </c>
      <c r="F15" s="86">
        <v>140</v>
      </c>
      <c r="G15" s="86">
        <v>204</v>
      </c>
      <c r="H15" s="87">
        <f>204-140</f>
        <v>64</v>
      </c>
      <c r="I15" s="86">
        <v>100</v>
      </c>
      <c r="J15" s="21">
        <f t="shared" si="0"/>
        <v>6400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85">
        <v>44935</v>
      </c>
      <c r="D16" s="86" t="s">
        <v>18</v>
      </c>
      <c r="E16" s="86" t="s">
        <v>807</v>
      </c>
      <c r="F16" s="86">
        <v>170</v>
      </c>
      <c r="G16" s="86">
        <v>198</v>
      </c>
      <c r="H16" s="87">
        <f>198-170</f>
        <v>28</v>
      </c>
      <c r="I16" s="86">
        <v>100</v>
      </c>
      <c r="J16" s="21">
        <f t="shared" si="0"/>
        <v>2800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85">
        <v>44936</v>
      </c>
      <c r="D17" s="86" t="s">
        <v>18</v>
      </c>
      <c r="E17" s="86" t="s">
        <v>807</v>
      </c>
      <c r="F17" s="86">
        <v>160</v>
      </c>
      <c r="G17" s="86">
        <v>260</v>
      </c>
      <c r="H17" s="87">
        <v>100</v>
      </c>
      <c r="I17" s="86">
        <v>100</v>
      </c>
      <c r="J17" s="21">
        <f t="shared" si="0"/>
        <v>10000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85">
        <v>44936</v>
      </c>
      <c r="D18" s="86" t="s">
        <v>18</v>
      </c>
      <c r="E18" s="86" t="s">
        <v>807</v>
      </c>
      <c r="F18" s="86">
        <v>180</v>
      </c>
      <c r="G18" s="86">
        <v>280</v>
      </c>
      <c r="H18" s="87">
        <v>100</v>
      </c>
      <c r="I18" s="86">
        <v>100</v>
      </c>
      <c r="J18" s="21">
        <f t="shared" si="0"/>
        <v>10000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85">
        <v>44937</v>
      </c>
      <c r="D19" s="86" t="s">
        <v>18</v>
      </c>
      <c r="E19" s="86" t="s">
        <v>749</v>
      </c>
      <c r="F19" s="86">
        <v>170</v>
      </c>
      <c r="G19" s="86">
        <v>188</v>
      </c>
      <c r="H19" s="87">
        <f>188-170</f>
        <v>18</v>
      </c>
      <c r="I19" s="86">
        <v>100</v>
      </c>
      <c r="J19" s="21">
        <f t="shared" si="0"/>
        <v>1800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85">
        <v>44937</v>
      </c>
      <c r="D20" s="86" t="s">
        <v>18</v>
      </c>
      <c r="E20" s="86" t="s">
        <v>813</v>
      </c>
      <c r="F20" s="86">
        <v>170</v>
      </c>
      <c r="G20" s="86">
        <v>270</v>
      </c>
      <c r="H20" s="87">
        <v>100</v>
      </c>
      <c r="I20" s="86">
        <v>100</v>
      </c>
      <c r="J20" s="21">
        <f t="shared" si="0"/>
        <v>10000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85">
        <v>44938</v>
      </c>
      <c r="D21" s="86" t="s">
        <v>18</v>
      </c>
      <c r="E21" s="86" t="s">
        <v>765</v>
      </c>
      <c r="F21" s="86">
        <v>160</v>
      </c>
      <c r="G21" s="86">
        <v>260</v>
      </c>
      <c r="H21" s="87">
        <v>100</v>
      </c>
      <c r="I21" s="86">
        <v>100</v>
      </c>
      <c r="J21" s="21">
        <f t="shared" si="0"/>
        <v>10000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44938</v>
      </c>
      <c r="D22" s="19" t="s">
        <v>18</v>
      </c>
      <c r="E22" s="19" t="s">
        <v>760</v>
      </c>
      <c r="F22" s="35">
        <v>140</v>
      </c>
      <c r="G22" s="35">
        <v>90</v>
      </c>
      <c r="H22" s="35">
        <v>-50</v>
      </c>
      <c r="I22" s="86">
        <v>100</v>
      </c>
      <c r="J22" s="21">
        <f t="shared" si="0"/>
        <v>-5000</v>
      </c>
      <c r="K22" s="7"/>
      <c r="V22" s="5">
        <f t="shared" si="2"/>
        <v>0</v>
      </c>
      <c r="W22" s="5">
        <f t="shared" si="3"/>
        <v>1</v>
      </c>
    </row>
    <row r="23" spans="1:23" x14ac:dyDescent="0.3">
      <c r="A23" s="6"/>
      <c r="B23" s="17">
        <v>18</v>
      </c>
      <c r="C23" s="18">
        <v>44938</v>
      </c>
      <c r="D23" s="19" t="s">
        <v>18</v>
      </c>
      <c r="E23" s="19" t="s">
        <v>760</v>
      </c>
      <c r="F23" s="35">
        <v>140</v>
      </c>
      <c r="G23" s="35">
        <v>185</v>
      </c>
      <c r="H23" s="35">
        <f>185-140</f>
        <v>45</v>
      </c>
      <c r="I23" s="86">
        <v>100</v>
      </c>
      <c r="J23" s="21">
        <f t="shared" si="0"/>
        <v>4500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44939</v>
      </c>
      <c r="D24" s="19" t="s">
        <v>18</v>
      </c>
      <c r="E24" s="19" t="s">
        <v>766</v>
      </c>
      <c r="F24" s="35">
        <v>150</v>
      </c>
      <c r="G24" s="35">
        <v>125</v>
      </c>
      <c r="H24" s="35">
        <v>-25</v>
      </c>
      <c r="I24" s="20">
        <v>100</v>
      </c>
      <c r="J24" s="21">
        <f t="shared" si="0"/>
        <v>-2500</v>
      </c>
      <c r="K24" s="7"/>
      <c r="V24" s="5">
        <f t="shared" si="2"/>
        <v>0</v>
      </c>
      <c r="W24" s="5">
        <f t="shared" si="3"/>
        <v>1</v>
      </c>
    </row>
    <row r="25" spans="1:23" x14ac:dyDescent="0.3">
      <c r="A25" s="6"/>
      <c r="B25" s="17">
        <v>20</v>
      </c>
      <c r="C25" s="18">
        <v>44939</v>
      </c>
      <c r="D25" s="19" t="s">
        <v>18</v>
      </c>
      <c r="E25" s="19" t="s">
        <v>753</v>
      </c>
      <c r="F25" s="35">
        <v>170</v>
      </c>
      <c r="G25" s="35">
        <v>194</v>
      </c>
      <c r="H25" s="35">
        <f>194-170</f>
        <v>24</v>
      </c>
      <c r="I25" s="20">
        <v>100</v>
      </c>
      <c r="J25" s="21">
        <f t="shared" si="0"/>
        <v>2400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44942</v>
      </c>
      <c r="D26" s="19" t="s">
        <v>18</v>
      </c>
      <c r="E26" s="19" t="s">
        <v>807</v>
      </c>
      <c r="F26" s="35">
        <v>180</v>
      </c>
      <c r="G26" s="35">
        <v>280</v>
      </c>
      <c r="H26" s="35">
        <v>100</v>
      </c>
      <c r="I26" s="20">
        <v>100</v>
      </c>
      <c r="J26" s="21">
        <f t="shared" si="0"/>
        <v>10000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44942</v>
      </c>
      <c r="D27" s="19" t="s">
        <v>18</v>
      </c>
      <c r="E27" s="19" t="s">
        <v>755</v>
      </c>
      <c r="F27" s="35">
        <v>140</v>
      </c>
      <c r="G27" s="35">
        <v>212</v>
      </c>
      <c r="H27" s="19">
        <f>212-140</f>
        <v>72</v>
      </c>
      <c r="I27" s="20">
        <v>100</v>
      </c>
      <c r="J27" s="21">
        <f t="shared" si="0"/>
        <v>7200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44943</v>
      </c>
      <c r="D28" s="19" t="s">
        <v>18</v>
      </c>
      <c r="E28" s="19" t="s">
        <v>757</v>
      </c>
      <c r="F28" s="35">
        <v>140</v>
      </c>
      <c r="G28" s="35">
        <v>174</v>
      </c>
      <c r="H28" s="19">
        <v>34</v>
      </c>
      <c r="I28" s="20">
        <v>100</v>
      </c>
      <c r="J28" s="21">
        <f t="shared" si="0"/>
        <v>3400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44943</v>
      </c>
      <c r="D29" s="19" t="s">
        <v>18</v>
      </c>
      <c r="E29" s="19" t="s">
        <v>812</v>
      </c>
      <c r="F29" s="20">
        <v>140</v>
      </c>
      <c r="G29" s="20">
        <v>200</v>
      </c>
      <c r="H29" s="19">
        <v>60</v>
      </c>
      <c r="I29" s="20">
        <v>100</v>
      </c>
      <c r="J29" s="21">
        <f t="shared" si="0"/>
        <v>6000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44945</v>
      </c>
      <c r="D30" s="25" t="s">
        <v>18</v>
      </c>
      <c r="E30" s="25" t="s">
        <v>765</v>
      </c>
      <c r="F30" s="26">
        <v>130</v>
      </c>
      <c r="G30" s="61">
        <v>80</v>
      </c>
      <c r="H30" s="61">
        <v>-50</v>
      </c>
      <c r="I30" s="26">
        <v>100</v>
      </c>
      <c r="J30" s="21">
        <f t="shared" si="0"/>
        <v>-5000</v>
      </c>
      <c r="K30" s="7"/>
      <c r="V30" s="5">
        <f t="shared" si="2"/>
        <v>0</v>
      </c>
      <c r="W30" s="5">
        <f t="shared" si="3"/>
        <v>1</v>
      </c>
    </row>
    <row r="31" spans="1:23" x14ac:dyDescent="0.3">
      <c r="A31" s="6"/>
      <c r="B31" s="17">
        <v>26</v>
      </c>
      <c r="C31" s="24">
        <v>44946</v>
      </c>
      <c r="D31" s="25" t="s">
        <v>18</v>
      </c>
      <c r="E31" s="25" t="s">
        <v>767</v>
      </c>
      <c r="F31" s="26">
        <v>170</v>
      </c>
      <c r="G31" s="61">
        <v>205</v>
      </c>
      <c r="H31" s="61">
        <f>205-170</f>
        <v>35</v>
      </c>
      <c r="I31" s="26">
        <v>100</v>
      </c>
      <c r="J31" s="21">
        <f t="shared" si="0"/>
        <v>3500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44949</v>
      </c>
      <c r="D32" s="25" t="s">
        <v>18</v>
      </c>
      <c r="E32" s="25" t="s">
        <v>815</v>
      </c>
      <c r="F32" s="26">
        <v>160</v>
      </c>
      <c r="G32" s="61">
        <v>224</v>
      </c>
      <c r="H32" s="61">
        <f>224-160</f>
        <v>64</v>
      </c>
      <c r="I32" s="26">
        <v>100</v>
      </c>
      <c r="J32" s="21">
        <f t="shared" si="0"/>
        <v>6400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44949</v>
      </c>
      <c r="D33" s="25" t="s">
        <v>18</v>
      </c>
      <c r="E33" s="25" t="s">
        <v>815</v>
      </c>
      <c r="F33" s="26">
        <v>150</v>
      </c>
      <c r="G33" s="61">
        <v>210</v>
      </c>
      <c r="H33" s="61">
        <f>210-150</f>
        <v>60</v>
      </c>
      <c r="I33" s="26">
        <v>100</v>
      </c>
      <c r="J33" s="21">
        <f t="shared" si="0"/>
        <v>6000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44950</v>
      </c>
      <c r="D34" s="25" t="s">
        <v>18</v>
      </c>
      <c r="E34" s="25" t="s">
        <v>815</v>
      </c>
      <c r="F34" s="26">
        <v>160</v>
      </c>
      <c r="G34" s="61">
        <v>209</v>
      </c>
      <c r="H34" s="61">
        <f>209-160</f>
        <v>49</v>
      </c>
      <c r="I34" s="26">
        <v>100</v>
      </c>
      <c r="J34" s="21">
        <f t="shared" si="0"/>
        <v>4900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44950</v>
      </c>
      <c r="D35" s="25" t="s">
        <v>18</v>
      </c>
      <c r="E35" s="25" t="s">
        <v>768</v>
      </c>
      <c r="F35" s="26">
        <v>170</v>
      </c>
      <c r="G35" s="61">
        <v>220</v>
      </c>
      <c r="H35" s="61">
        <f>220-170</f>
        <v>50</v>
      </c>
      <c r="I35" s="26">
        <v>100</v>
      </c>
      <c r="J35" s="21">
        <f t="shared" si="0"/>
        <v>5000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44951</v>
      </c>
      <c r="D36" s="25" t="s">
        <v>18</v>
      </c>
      <c r="E36" s="25" t="s">
        <v>816</v>
      </c>
      <c r="F36" s="26">
        <v>130</v>
      </c>
      <c r="G36" s="61">
        <v>230</v>
      </c>
      <c r="H36" s="61">
        <v>100</v>
      </c>
      <c r="I36" s="26">
        <v>100</v>
      </c>
      <c r="J36" s="21">
        <f t="shared" si="0"/>
        <v>10000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44951</v>
      </c>
      <c r="D37" s="25" t="s">
        <v>18</v>
      </c>
      <c r="E37" s="25" t="s">
        <v>760</v>
      </c>
      <c r="F37" s="26">
        <v>160</v>
      </c>
      <c r="G37" s="61">
        <v>260</v>
      </c>
      <c r="H37" s="61">
        <v>100</v>
      </c>
      <c r="I37" s="26">
        <v>100</v>
      </c>
      <c r="J37" s="21">
        <f t="shared" si="0"/>
        <v>10000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44953</v>
      </c>
      <c r="D38" s="25" t="s">
        <v>18</v>
      </c>
      <c r="E38" s="25" t="s">
        <v>724</v>
      </c>
      <c r="F38" s="26">
        <v>240</v>
      </c>
      <c r="G38" s="61">
        <v>340</v>
      </c>
      <c r="H38" s="61">
        <v>100</v>
      </c>
      <c r="I38" s="26">
        <v>100</v>
      </c>
      <c r="J38" s="21">
        <f t="shared" si="0"/>
        <v>10000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44953</v>
      </c>
      <c r="D39" s="25" t="s">
        <v>18</v>
      </c>
      <c r="E39" s="25" t="s">
        <v>553</v>
      </c>
      <c r="F39" s="26">
        <v>240</v>
      </c>
      <c r="G39" s="61">
        <v>340</v>
      </c>
      <c r="H39" s="61">
        <v>100</v>
      </c>
      <c r="I39" s="26">
        <v>100</v>
      </c>
      <c r="J39" s="21">
        <f t="shared" si="0"/>
        <v>10000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44956</v>
      </c>
      <c r="D40" s="25" t="s">
        <v>18</v>
      </c>
      <c r="E40" s="25" t="s">
        <v>634</v>
      </c>
      <c r="F40" s="26">
        <v>220</v>
      </c>
      <c r="G40" s="61">
        <v>320</v>
      </c>
      <c r="H40" s="61">
        <v>100</v>
      </c>
      <c r="I40" s="26">
        <v>100</v>
      </c>
      <c r="J40" s="21">
        <f t="shared" si="0"/>
        <v>10000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18">
        <v>44956</v>
      </c>
      <c r="D41" s="19" t="s">
        <v>18</v>
      </c>
      <c r="E41" s="19" t="s">
        <v>731</v>
      </c>
      <c r="F41" s="35">
        <v>230</v>
      </c>
      <c r="G41" s="35">
        <v>180</v>
      </c>
      <c r="H41" s="35">
        <v>-50</v>
      </c>
      <c r="I41" s="26">
        <v>100</v>
      </c>
      <c r="J41" s="21">
        <f t="shared" si="0"/>
        <v>-5000</v>
      </c>
      <c r="K41" s="7"/>
      <c r="V41" s="5">
        <f t="shared" si="2"/>
        <v>0</v>
      </c>
      <c r="W41" s="5">
        <f t="shared" si="3"/>
        <v>1</v>
      </c>
    </row>
    <row r="42" spans="1:23" x14ac:dyDescent="0.3">
      <c r="A42" s="6"/>
      <c r="B42" s="17">
        <v>37</v>
      </c>
      <c r="C42" s="18">
        <v>44957</v>
      </c>
      <c r="D42" s="19" t="s">
        <v>18</v>
      </c>
      <c r="E42" s="19" t="s">
        <v>511</v>
      </c>
      <c r="F42" s="35">
        <v>180</v>
      </c>
      <c r="G42" s="35">
        <v>230</v>
      </c>
      <c r="H42" s="35">
        <v>50</v>
      </c>
      <c r="I42" s="26">
        <v>100</v>
      </c>
      <c r="J42" s="21">
        <f t="shared" si="0"/>
        <v>5000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17">
        <v>38</v>
      </c>
      <c r="C43" s="24">
        <v>44957</v>
      </c>
      <c r="D43" s="25" t="s">
        <v>18</v>
      </c>
      <c r="E43" s="25" t="s">
        <v>516</v>
      </c>
      <c r="F43" s="26">
        <v>170</v>
      </c>
      <c r="G43" s="61">
        <v>185</v>
      </c>
      <c r="H43" s="61">
        <v>15</v>
      </c>
      <c r="I43" s="26">
        <v>100</v>
      </c>
      <c r="J43" s="21">
        <f t="shared" si="0"/>
        <v>1500</v>
      </c>
      <c r="K43" s="7"/>
      <c r="V43" s="5">
        <f t="shared" si="2"/>
        <v>1</v>
      </c>
      <c r="W43" s="5">
        <f t="shared" si="3"/>
        <v>0</v>
      </c>
    </row>
    <row r="44" spans="1:23" x14ac:dyDescent="0.3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x14ac:dyDescent="0.3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x14ac:dyDescent="0.3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x14ac:dyDescent="0.3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x14ac:dyDescent="0.3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191000</v>
      </c>
      <c r="K59" s="7"/>
      <c r="V59" s="5">
        <f>SUM(V6:V58)</f>
        <v>33</v>
      </c>
      <c r="W59" s="5">
        <f>SUM(W6:W58)</f>
        <v>5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810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44928</v>
      </c>
      <c r="D67" s="67" t="s">
        <v>69</v>
      </c>
      <c r="E67" s="67" t="s">
        <v>561</v>
      </c>
      <c r="F67" s="68">
        <v>3860</v>
      </c>
      <c r="G67" s="68">
        <v>3834</v>
      </c>
      <c r="H67" s="97">
        <f>3860-3834</f>
        <v>26</v>
      </c>
      <c r="I67" s="68">
        <v>250</v>
      </c>
      <c r="J67" s="92">
        <f>H67*I67</f>
        <v>6500</v>
      </c>
      <c r="K67" s="7"/>
      <c r="V67" s="5">
        <f t="shared" ref="V67:V128" si="5">IF($J67&gt;0,1,0)</f>
        <v>1</v>
      </c>
      <c r="W67" s="5">
        <f t="shared" ref="W67:W128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44928</v>
      </c>
      <c r="D68" s="67" t="s">
        <v>18</v>
      </c>
      <c r="E68" s="67" t="s">
        <v>690</v>
      </c>
      <c r="F68" s="97">
        <v>1900</v>
      </c>
      <c r="G68" s="97">
        <v>1909</v>
      </c>
      <c r="H68" s="97">
        <v>9</v>
      </c>
      <c r="I68" s="20">
        <v>500</v>
      </c>
      <c r="J68" s="21">
        <f>H68*I68</f>
        <v>4500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8" si="7">B68+1</f>
        <v>3</v>
      </c>
      <c r="C69" s="18">
        <v>44929</v>
      </c>
      <c r="D69" s="19" t="s">
        <v>18</v>
      </c>
      <c r="E69" s="19" t="s">
        <v>93</v>
      </c>
      <c r="F69" s="35">
        <v>1638</v>
      </c>
      <c r="G69" s="97">
        <v>1645</v>
      </c>
      <c r="H69" s="35">
        <f>1645-1638</f>
        <v>7</v>
      </c>
      <c r="I69" s="20">
        <v>550</v>
      </c>
      <c r="J69" s="21">
        <f>H69*I69</f>
        <v>3850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44930</v>
      </c>
      <c r="D70" s="19" t="s">
        <v>18</v>
      </c>
      <c r="E70" s="19" t="s">
        <v>811</v>
      </c>
      <c r="F70" s="35">
        <v>1375</v>
      </c>
      <c r="G70" s="97">
        <v>1360</v>
      </c>
      <c r="H70" s="35">
        <v>-15</v>
      </c>
      <c r="I70" s="20">
        <v>400</v>
      </c>
      <c r="J70" s="21">
        <f>H70*I70</f>
        <v>-6000</v>
      </c>
      <c r="K70" s="7"/>
      <c r="V70" s="5">
        <f t="shared" si="5"/>
        <v>0</v>
      </c>
      <c r="W70" s="5">
        <f t="shared" si="6"/>
        <v>1</v>
      </c>
    </row>
    <row r="71" spans="1:23" s="36" customFormat="1" x14ac:dyDescent="0.3">
      <c r="A71" s="6"/>
      <c r="B71" s="17">
        <f t="shared" si="7"/>
        <v>5</v>
      </c>
      <c r="C71" s="18">
        <v>44931</v>
      </c>
      <c r="D71" s="19" t="s">
        <v>69</v>
      </c>
      <c r="E71" s="19" t="s">
        <v>166</v>
      </c>
      <c r="F71" s="35">
        <v>1040</v>
      </c>
      <c r="G71" s="97">
        <v>1035</v>
      </c>
      <c r="H71" s="35">
        <v>5</v>
      </c>
      <c r="I71" s="20">
        <v>700</v>
      </c>
      <c r="J71" s="21">
        <f>H71*I71</f>
        <v>3500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44932</v>
      </c>
      <c r="D72" s="19" t="s">
        <v>18</v>
      </c>
      <c r="E72" s="19" t="s">
        <v>373</v>
      </c>
      <c r="F72" s="20">
        <v>2590</v>
      </c>
      <c r="G72" s="97">
        <v>2570</v>
      </c>
      <c r="H72" s="35">
        <v>-20</v>
      </c>
      <c r="I72" s="20">
        <v>375</v>
      </c>
      <c r="J72" s="21">
        <f t="shared" ref="J72:J128" si="8">I72*H72</f>
        <v>-7500</v>
      </c>
      <c r="K72" s="7"/>
      <c r="V72" s="5">
        <f t="shared" si="5"/>
        <v>0</v>
      </c>
      <c r="W72" s="5">
        <f t="shared" si="6"/>
        <v>1</v>
      </c>
    </row>
    <row r="73" spans="1:23" s="36" customFormat="1" x14ac:dyDescent="0.3">
      <c r="A73" s="6"/>
      <c r="B73" s="17">
        <f t="shared" si="7"/>
        <v>7</v>
      </c>
      <c r="C73" s="18">
        <v>44935</v>
      </c>
      <c r="D73" s="19" t="s">
        <v>69</v>
      </c>
      <c r="E73" s="19" t="s">
        <v>613</v>
      </c>
      <c r="F73" s="35">
        <v>316</v>
      </c>
      <c r="G73" s="97">
        <v>314.3</v>
      </c>
      <c r="H73" s="35">
        <f>316-314.3</f>
        <v>1.6999999999999886</v>
      </c>
      <c r="I73" s="20">
        <v>1500</v>
      </c>
      <c r="J73" s="21">
        <f t="shared" si="8"/>
        <v>2549.9999999999827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44935</v>
      </c>
      <c r="D74" s="19" t="s">
        <v>18</v>
      </c>
      <c r="E74" s="19" t="s">
        <v>81</v>
      </c>
      <c r="F74" s="35">
        <v>2210</v>
      </c>
      <c r="G74" s="97">
        <v>2220</v>
      </c>
      <c r="H74" s="35">
        <v>10</v>
      </c>
      <c r="I74" s="20">
        <v>275</v>
      </c>
      <c r="J74" s="21">
        <f t="shared" si="8"/>
        <v>2750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44936</v>
      </c>
      <c r="D75" s="19" t="s">
        <v>69</v>
      </c>
      <c r="E75" s="19" t="s">
        <v>561</v>
      </c>
      <c r="F75" s="35">
        <v>3760</v>
      </c>
      <c r="G75" s="97">
        <v>3680</v>
      </c>
      <c r="H75" s="35">
        <f>3760-3680</f>
        <v>80</v>
      </c>
      <c r="I75" s="20">
        <v>250</v>
      </c>
      <c r="J75" s="21">
        <f t="shared" si="8"/>
        <v>20000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44937</v>
      </c>
      <c r="D76" s="19" t="s">
        <v>69</v>
      </c>
      <c r="E76" s="19" t="s">
        <v>564</v>
      </c>
      <c r="F76" s="35">
        <v>2220</v>
      </c>
      <c r="G76" s="97">
        <v>2200</v>
      </c>
      <c r="H76" s="35">
        <v>20</v>
      </c>
      <c r="I76" s="20">
        <v>375</v>
      </c>
      <c r="J76" s="21">
        <f t="shared" si="8"/>
        <v>7500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>
        <v>44937</v>
      </c>
      <c r="D77" s="19" t="s">
        <v>69</v>
      </c>
      <c r="E77" s="19" t="s">
        <v>690</v>
      </c>
      <c r="F77" s="19">
        <v>1868</v>
      </c>
      <c r="G77" s="97">
        <v>1883</v>
      </c>
      <c r="H77" s="35">
        <v>-15</v>
      </c>
      <c r="I77" s="20">
        <v>500</v>
      </c>
      <c r="J77" s="21">
        <f t="shared" si="8"/>
        <v>-7500</v>
      </c>
      <c r="K77" s="7"/>
      <c r="V77" s="5">
        <f t="shared" si="5"/>
        <v>0</v>
      </c>
      <c r="W77" s="5">
        <f t="shared" si="6"/>
        <v>1</v>
      </c>
    </row>
    <row r="78" spans="1:23" s="36" customFormat="1" x14ac:dyDescent="0.3">
      <c r="A78" s="6"/>
      <c r="B78" s="17">
        <f t="shared" si="7"/>
        <v>12</v>
      </c>
      <c r="C78" s="18">
        <v>44938</v>
      </c>
      <c r="D78" s="19" t="s">
        <v>18</v>
      </c>
      <c r="E78" s="19" t="s">
        <v>294</v>
      </c>
      <c r="F78" s="35">
        <v>1650</v>
      </c>
      <c r="G78" s="97">
        <v>1655</v>
      </c>
      <c r="H78" s="35">
        <v>5</v>
      </c>
      <c r="I78" s="20">
        <v>275</v>
      </c>
      <c r="J78" s="21">
        <f t="shared" si="8"/>
        <v>1375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44938</v>
      </c>
      <c r="D79" s="19" t="s">
        <v>69</v>
      </c>
      <c r="E79" s="19" t="s">
        <v>707</v>
      </c>
      <c r="F79" s="77">
        <v>3740</v>
      </c>
      <c r="G79" s="97">
        <v>3720</v>
      </c>
      <c r="H79" s="78">
        <v>20</v>
      </c>
      <c r="I79" s="20">
        <v>125</v>
      </c>
      <c r="J79" s="21">
        <f t="shared" si="8"/>
        <v>2500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44942</v>
      </c>
      <c r="D80" s="19" t="s">
        <v>18</v>
      </c>
      <c r="E80" s="19" t="s">
        <v>70</v>
      </c>
      <c r="F80" s="35">
        <v>924</v>
      </c>
      <c r="G80" s="97">
        <v>916</v>
      </c>
      <c r="H80" s="78">
        <v>8</v>
      </c>
      <c r="I80" s="20">
        <v>1200</v>
      </c>
      <c r="J80" s="21">
        <f t="shared" si="8"/>
        <v>9600</v>
      </c>
      <c r="K80" s="7"/>
      <c r="V80" s="5">
        <f t="shared" si="5"/>
        <v>1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>
        <v>44943</v>
      </c>
      <c r="D81" s="19" t="s">
        <v>69</v>
      </c>
      <c r="E81" s="19" t="s">
        <v>88</v>
      </c>
      <c r="F81" s="35">
        <v>757</v>
      </c>
      <c r="G81" s="97">
        <v>747</v>
      </c>
      <c r="H81" s="78">
        <v>10</v>
      </c>
      <c r="I81" s="20">
        <v>1350</v>
      </c>
      <c r="J81" s="21">
        <f t="shared" si="8"/>
        <v>13500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>
        <v>44943</v>
      </c>
      <c r="D82" s="19" t="s">
        <v>69</v>
      </c>
      <c r="E82" s="19" t="s">
        <v>814</v>
      </c>
      <c r="F82" s="35">
        <v>265</v>
      </c>
      <c r="G82" s="97">
        <v>262</v>
      </c>
      <c r="H82" s="35">
        <v>3</v>
      </c>
      <c r="I82" s="20">
        <v>2600</v>
      </c>
      <c r="J82" s="21">
        <f t="shared" si="8"/>
        <v>7800</v>
      </c>
      <c r="K82" s="7"/>
      <c r="V82" s="5">
        <f t="shared" si="5"/>
        <v>1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>
        <v>44944</v>
      </c>
      <c r="D83" s="19" t="s">
        <v>69</v>
      </c>
      <c r="E83" s="19" t="s">
        <v>561</v>
      </c>
      <c r="F83" s="35">
        <v>3565</v>
      </c>
      <c r="G83" s="97">
        <v>3535</v>
      </c>
      <c r="H83" s="35">
        <v>30</v>
      </c>
      <c r="I83" s="20">
        <v>250</v>
      </c>
      <c r="J83" s="21">
        <f t="shared" si="8"/>
        <v>7500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>
        <v>44944</v>
      </c>
      <c r="D84" s="19" t="s">
        <v>69</v>
      </c>
      <c r="E84" s="19" t="s">
        <v>390</v>
      </c>
      <c r="F84" s="35">
        <v>4325</v>
      </c>
      <c r="G84" s="97">
        <v>4313</v>
      </c>
      <c r="H84" s="35">
        <f>4325-4313</f>
        <v>12</v>
      </c>
      <c r="I84" s="20">
        <v>125</v>
      </c>
      <c r="J84" s="21">
        <f t="shared" si="8"/>
        <v>1500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>
        <v>44945</v>
      </c>
      <c r="D85" s="19" t="s">
        <v>18</v>
      </c>
      <c r="E85" s="19" t="s">
        <v>181</v>
      </c>
      <c r="F85" s="35">
        <v>2115</v>
      </c>
      <c r="G85" s="97">
        <v>2125</v>
      </c>
      <c r="H85" s="35">
        <v>10</v>
      </c>
      <c r="I85" s="20">
        <v>300</v>
      </c>
      <c r="J85" s="21">
        <f t="shared" si="8"/>
        <v>3000</v>
      </c>
      <c r="K85" s="7"/>
      <c r="V85" s="5">
        <f t="shared" si="5"/>
        <v>1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>
        <v>44946</v>
      </c>
      <c r="D86" s="19" t="s">
        <v>69</v>
      </c>
      <c r="E86" s="19" t="s">
        <v>561</v>
      </c>
      <c r="F86" s="35">
        <v>3455</v>
      </c>
      <c r="G86" s="97">
        <v>3445</v>
      </c>
      <c r="H86" s="35">
        <v>10</v>
      </c>
      <c r="I86" s="20">
        <v>250</v>
      </c>
      <c r="J86" s="21">
        <f t="shared" si="8"/>
        <v>2500</v>
      </c>
      <c r="K86" s="7"/>
      <c r="V86" s="5">
        <f t="shared" si="5"/>
        <v>1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>
        <v>44949</v>
      </c>
      <c r="D87" s="19" t="s">
        <v>18</v>
      </c>
      <c r="E87" s="19" t="s">
        <v>817</v>
      </c>
      <c r="F87" s="35">
        <v>551</v>
      </c>
      <c r="G87" s="97">
        <v>555</v>
      </c>
      <c r="H87" s="35">
        <v>4</v>
      </c>
      <c r="I87" s="20">
        <v>975</v>
      </c>
      <c r="J87" s="21">
        <f t="shared" si="8"/>
        <v>3900</v>
      </c>
      <c r="K87" s="7"/>
      <c r="V87" s="5">
        <f t="shared" si="5"/>
        <v>1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>
        <v>44949</v>
      </c>
      <c r="D88" s="19" t="s">
        <v>18</v>
      </c>
      <c r="E88" s="19" t="s">
        <v>111</v>
      </c>
      <c r="F88" s="77">
        <v>601</v>
      </c>
      <c r="G88" s="97">
        <v>603</v>
      </c>
      <c r="H88" s="78">
        <v>2</v>
      </c>
      <c r="I88" s="20">
        <v>1500</v>
      </c>
      <c r="J88" s="21">
        <f t="shared" si="8"/>
        <v>3000</v>
      </c>
      <c r="K88" s="7"/>
      <c r="V88" s="5">
        <f t="shared" si="5"/>
        <v>1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>
        <v>44950</v>
      </c>
      <c r="D89" s="19" t="s">
        <v>69</v>
      </c>
      <c r="E89" s="19" t="s">
        <v>70</v>
      </c>
      <c r="F89" s="35">
        <v>917</v>
      </c>
      <c r="G89" s="97">
        <v>905</v>
      </c>
      <c r="H89" s="78">
        <f>917-905</f>
        <v>12</v>
      </c>
      <c r="I89" s="20">
        <v>1200</v>
      </c>
      <c r="J89" s="21">
        <f t="shared" si="8"/>
        <v>14400</v>
      </c>
      <c r="K89" s="7"/>
      <c r="V89" s="5">
        <f t="shared" si="5"/>
        <v>1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>
        <v>44951</v>
      </c>
      <c r="D90" s="19" t="s">
        <v>69</v>
      </c>
      <c r="E90" s="19" t="s">
        <v>70</v>
      </c>
      <c r="F90" s="35">
        <v>900</v>
      </c>
      <c r="G90" s="97">
        <v>884</v>
      </c>
      <c r="H90" s="78">
        <f>900-884</f>
        <v>16</v>
      </c>
      <c r="I90" s="20">
        <v>1200</v>
      </c>
      <c r="J90" s="21">
        <f t="shared" si="8"/>
        <v>19200</v>
      </c>
      <c r="K90" s="7"/>
      <c r="V90" s="5">
        <f t="shared" si="5"/>
        <v>1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>
        <v>44953</v>
      </c>
      <c r="D91" s="19" t="s">
        <v>69</v>
      </c>
      <c r="E91" s="19" t="s">
        <v>708</v>
      </c>
      <c r="F91" s="35">
        <v>321</v>
      </c>
      <c r="G91" s="97">
        <v>317</v>
      </c>
      <c r="H91" s="35">
        <v>4</v>
      </c>
      <c r="I91" s="20">
        <v>1500</v>
      </c>
      <c r="J91" s="21">
        <f t="shared" si="8"/>
        <v>6000</v>
      </c>
      <c r="K91" s="7"/>
      <c r="V91" s="5">
        <f t="shared" si="5"/>
        <v>1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>
        <v>44956</v>
      </c>
      <c r="D92" s="19" t="s">
        <v>69</v>
      </c>
      <c r="E92" s="19" t="s">
        <v>564</v>
      </c>
      <c r="F92" s="35">
        <v>2095</v>
      </c>
      <c r="G92" s="97">
        <v>2085</v>
      </c>
      <c r="H92" s="35">
        <v>10</v>
      </c>
      <c r="I92" s="20">
        <v>375</v>
      </c>
      <c r="J92" s="21">
        <f t="shared" si="8"/>
        <v>3750</v>
      </c>
      <c r="K92" s="7"/>
      <c r="V92" s="5">
        <f t="shared" si="5"/>
        <v>1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/>
      <c r="D93" s="19"/>
      <c r="E93" s="19"/>
      <c r="F93" s="35"/>
      <c r="G93" s="97"/>
      <c r="H93" s="35"/>
      <c r="I93" s="20"/>
      <c r="J93" s="21">
        <f t="shared" si="8"/>
        <v>0</v>
      </c>
      <c r="K93" s="7"/>
      <c r="V93" s="5">
        <f t="shared" si="5"/>
        <v>0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/>
      <c r="D94" s="19"/>
      <c r="E94" s="19"/>
      <c r="F94" s="35"/>
      <c r="G94" s="97"/>
      <c r="H94" s="35"/>
      <c r="I94" s="20"/>
      <c r="J94" s="21">
        <f t="shared" si="8"/>
        <v>0</v>
      </c>
      <c r="K94" s="7"/>
      <c r="V94" s="5">
        <f t="shared" si="5"/>
        <v>0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/>
      <c r="D95" s="19"/>
      <c r="E95" s="19"/>
      <c r="F95" s="35"/>
      <c r="G95" s="97"/>
      <c r="H95" s="35"/>
      <c r="I95" s="20"/>
      <c r="J95" s="21">
        <f t="shared" si="8"/>
        <v>0</v>
      </c>
      <c r="K95" s="7"/>
      <c r="V95" s="5">
        <f t="shared" si="5"/>
        <v>0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/>
      <c r="D96" s="19"/>
      <c r="E96" s="19"/>
      <c r="F96" s="35"/>
      <c r="G96" s="97"/>
      <c r="H96" s="35"/>
      <c r="I96" s="20"/>
      <c r="J96" s="21">
        <f t="shared" si="8"/>
        <v>0</v>
      </c>
      <c r="K96" s="7"/>
      <c r="V96" s="5">
        <f t="shared" si="5"/>
        <v>0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/>
      <c r="D97" s="19"/>
      <c r="E97" s="19"/>
      <c r="F97" s="35"/>
      <c r="G97" s="97"/>
      <c r="H97" s="35"/>
      <c r="I97" s="20"/>
      <c r="J97" s="21">
        <f t="shared" si="8"/>
        <v>0</v>
      </c>
      <c r="K97" s="7"/>
      <c r="V97" s="5">
        <f t="shared" si="5"/>
        <v>0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/>
      <c r="D98" s="19"/>
      <c r="E98" s="19"/>
      <c r="F98" s="35"/>
      <c r="G98" s="97"/>
      <c r="H98" s="35"/>
      <c r="I98" s="20"/>
      <c r="J98" s="21">
        <f t="shared" si="8"/>
        <v>0</v>
      </c>
      <c r="K98" s="7"/>
      <c r="V98" s="5">
        <f t="shared" si="5"/>
        <v>0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/>
      <c r="D99" s="19"/>
      <c r="E99" s="19"/>
      <c r="F99" s="35"/>
      <c r="G99" s="97"/>
      <c r="H99" s="35"/>
      <c r="I99" s="20"/>
      <c r="J99" s="21">
        <f t="shared" si="8"/>
        <v>0</v>
      </c>
      <c r="K99" s="7"/>
      <c r="V99" s="5">
        <f t="shared" si="5"/>
        <v>0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ht="15" thickBot="1" x14ac:dyDescent="0.35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ht="15" hidden="1" thickBot="1" x14ac:dyDescent="0.35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t="15" hidden="1" thickBot="1" x14ac:dyDescent="0.35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t="15" hidden="1" thickBot="1" x14ac:dyDescent="0.35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t="15" hidden="1" thickBot="1" x14ac:dyDescent="0.35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t="15" hidden="1" thickBot="1" x14ac:dyDescent="0.35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t="15" hidden="1" thickBot="1" x14ac:dyDescent="0.35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t="15" hidden="1" thickBot="1" x14ac:dyDescent="0.35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t="15" hidden="1" thickBot="1" x14ac:dyDescent="0.35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t="15" hidden="1" thickBot="1" x14ac:dyDescent="0.35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t="15" hidden="1" thickBot="1" x14ac:dyDescent="0.35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hidden="1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15" hidden="1" thickBot="1" x14ac:dyDescent="0.35">
      <c r="A121" s="6"/>
      <c r="B121" s="17">
        <f t="shared" si="7"/>
        <v>51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52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15" hidden="1" thickBot="1" x14ac:dyDescent="0.35">
      <c r="A123" s="6"/>
      <c r="B123" s="17">
        <f t="shared" si="7"/>
        <v>53</v>
      </c>
      <c r="C123" s="18"/>
      <c r="D123" s="19"/>
      <c r="E123" s="19"/>
      <c r="F123" s="35"/>
      <c r="G123" s="35"/>
      <c r="H123" s="35"/>
      <c r="I123" s="20"/>
      <c r="J123" s="21">
        <f t="shared" si="8"/>
        <v>0</v>
      </c>
      <c r="K123" s="7"/>
      <c r="V123" s="5">
        <f t="shared" si="5"/>
        <v>0</v>
      </c>
      <c r="W123" s="5">
        <f t="shared" si="6"/>
        <v>0</v>
      </c>
    </row>
    <row r="124" spans="1:23" s="36" customFormat="1" ht="15" hidden="1" thickBot="1" x14ac:dyDescent="0.35">
      <c r="A124" s="6"/>
      <c r="B124" s="17">
        <f t="shared" si="7"/>
        <v>54</v>
      </c>
      <c r="C124" s="18"/>
      <c r="D124" s="19"/>
      <c r="E124" s="19"/>
      <c r="F124" s="35"/>
      <c r="G124" s="35"/>
      <c r="H124" s="35"/>
      <c r="I124" s="20"/>
      <c r="J124" s="21">
        <f t="shared" si="8"/>
        <v>0</v>
      </c>
      <c r="K124" s="7"/>
      <c r="V124" s="5">
        <f t="shared" si="5"/>
        <v>0</v>
      </c>
      <c r="W124" s="5">
        <f t="shared" si="6"/>
        <v>0</v>
      </c>
    </row>
    <row r="125" spans="1:23" s="36" customFormat="1" ht="15" hidden="1" thickBot="1" x14ac:dyDescent="0.35">
      <c r="A125" s="6"/>
      <c r="B125" s="17">
        <f t="shared" si="7"/>
        <v>55</v>
      </c>
      <c r="C125" s="18"/>
      <c r="D125" s="19"/>
      <c r="E125" s="19"/>
      <c r="F125" s="35"/>
      <c r="G125" s="35"/>
      <c r="H125" s="35"/>
      <c r="I125" s="20"/>
      <c r="J125" s="21">
        <f t="shared" si="8"/>
        <v>0</v>
      </c>
      <c r="K125" s="7"/>
      <c r="V125" s="5">
        <f t="shared" si="5"/>
        <v>0</v>
      </c>
      <c r="W125" s="5">
        <f t="shared" si="6"/>
        <v>0</v>
      </c>
    </row>
    <row r="126" spans="1:23" s="36" customFormat="1" ht="15" hidden="1" thickBot="1" x14ac:dyDescent="0.35">
      <c r="A126" s="6"/>
      <c r="B126" s="17">
        <f t="shared" si="7"/>
        <v>56</v>
      </c>
      <c r="C126" s="18"/>
      <c r="D126" s="19"/>
      <c r="E126" s="19"/>
      <c r="F126" s="35"/>
      <c r="G126" s="35"/>
      <c r="H126" s="35"/>
      <c r="I126" s="20"/>
      <c r="J126" s="21">
        <f t="shared" si="8"/>
        <v>0</v>
      </c>
      <c r="K126" s="7"/>
      <c r="V126" s="5">
        <f t="shared" si="5"/>
        <v>0</v>
      </c>
      <c r="W126" s="5">
        <f t="shared" si="6"/>
        <v>0</v>
      </c>
    </row>
    <row r="127" spans="1:23" s="36" customFormat="1" ht="15" hidden="1" thickBot="1" x14ac:dyDescent="0.35">
      <c r="A127" s="6"/>
      <c r="B127" s="17">
        <f t="shared" si="7"/>
        <v>57</v>
      </c>
      <c r="C127" s="18"/>
      <c r="D127" s="19"/>
      <c r="E127" s="19"/>
      <c r="F127" s="35"/>
      <c r="G127" s="35"/>
      <c r="H127" s="35"/>
      <c r="I127" s="20"/>
      <c r="J127" s="21">
        <f t="shared" si="8"/>
        <v>0</v>
      </c>
      <c r="K127" s="7"/>
      <c r="V127" s="5">
        <f t="shared" si="5"/>
        <v>0</v>
      </c>
      <c r="W127" s="5">
        <f t="shared" si="6"/>
        <v>0</v>
      </c>
    </row>
    <row r="128" spans="1:23" s="36" customFormat="1" ht="15" hidden="1" thickBot="1" x14ac:dyDescent="0.35">
      <c r="A128" s="6"/>
      <c r="B128" s="17">
        <f t="shared" si="7"/>
        <v>58</v>
      </c>
      <c r="C128" s="79"/>
      <c r="D128" s="80"/>
      <c r="E128" s="80"/>
      <c r="F128" s="81"/>
      <c r="G128" s="81"/>
      <c r="H128" s="80"/>
      <c r="I128" s="81"/>
      <c r="J128" s="82">
        <f t="shared" si="8"/>
        <v>0</v>
      </c>
      <c r="K128" s="7"/>
      <c r="V128" s="5">
        <f t="shared" si="5"/>
        <v>0</v>
      </c>
      <c r="W128" s="5">
        <f t="shared" si="6"/>
        <v>0</v>
      </c>
    </row>
    <row r="129" spans="1:23" s="36" customFormat="1" ht="24" thickBot="1" x14ac:dyDescent="0.5">
      <c r="A129" s="6"/>
      <c r="B129" s="144" t="s">
        <v>22</v>
      </c>
      <c r="C129" s="145"/>
      <c r="D129" s="145"/>
      <c r="E129" s="145"/>
      <c r="F129" s="145"/>
      <c r="G129" s="145"/>
      <c r="H129" s="146"/>
      <c r="I129" s="83" t="s">
        <v>23</v>
      </c>
      <c r="J129" s="84">
        <f>SUM(J67:J128)</f>
        <v>129674.99999999999</v>
      </c>
      <c r="K129" s="7"/>
      <c r="L129" s="5"/>
      <c r="M129" s="5"/>
      <c r="N129" s="5"/>
      <c r="O129" s="5"/>
      <c r="P129" s="5"/>
      <c r="Q129" s="5"/>
      <c r="R129" s="5"/>
      <c r="V129" s="36">
        <f>SUM(V67:V128)</f>
        <v>23</v>
      </c>
      <c r="W129" s="36">
        <f>SUM(W67:W128)</f>
        <v>3</v>
      </c>
    </row>
    <row r="130" spans="1:23" s="36" customFormat="1" ht="30" customHeight="1" thickBot="1" x14ac:dyDescent="0.35">
      <c r="A130" s="30"/>
      <c r="B130" s="31"/>
      <c r="C130" s="31"/>
      <c r="D130" s="31"/>
      <c r="E130" s="31"/>
      <c r="F130" s="31"/>
      <c r="G130" s="31"/>
      <c r="H130" s="32"/>
      <c r="I130" s="31"/>
      <c r="J130" s="32"/>
      <c r="K130" s="33"/>
      <c r="L130" s="5"/>
      <c r="M130" s="5"/>
      <c r="N130" s="5"/>
      <c r="O130" s="5"/>
      <c r="P130" s="5"/>
      <c r="Q130" s="5"/>
      <c r="R130" s="5"/>
    </row>
    <row r="131" spans="1:23" ht="15" thickBot="1" x14ac:dyDescent="0.35"/>
    <row r="132" spans="1:23" s="36" customFormat="1" ht="30" customHeight="1" thickBot="1" x14ac:dyDescent="0.35">
      <c r="A132" s="1"/>
      <c r="B132" s="2"/>
      <c r="C132" s="2"/>
      <c r="D132" s="2"/>
      <c r="E132" s="2"/>
      <c r="F132" s="2"/>
      <c r="G132" s="2"/>
      <c r="H132" s="3"/>
      <c r="I132" s="2"/>
      <c r="J132" s="3"/>
      <c r="K132" s="4"/>
    </row>
    <row r="133" spans="1:23" s="36" customFormat="1" ht="25.2" thickBot="1" x14ac:dyDescent="0.35">
      <c r="A133" s="6" t="s">
        <v>1</v>
      </c>
      <c r="B133" s="119" t="s">
        <v>2</v>
      </c>
      <c r="C133" s="120"/>
      <c r="D133" s="120"/>
      <c r="E133" s="120"/>
      <c r="F133" s="120"/>
      <c r="G133" s="120"/>
      <c r="H133" s="120"/>
      <c r="I133" s="120"/>
      <c r="J133" s="121"/>
      <c r="K133" s="7"/>
    </row>
    <row r="134" spans="1:23" s="36" customFormat="1" ht="16.2" thickBot="1" x14ac:dyDescent="0.35">
      <c r="A134" s="6"/>
      <c r="B134" s="216">
        <v>44927</v>
      </c>
      <c r="C134" s="169"/>
      <c r="D134" s="169"/>
      <c r="E134" s="169"/>
      <c r="F134" s="169"/>
      <c r="G134" s="169"/>
      <c r="H134" s="169"/>
      <c r="I134" s="169"/>
      <c r="J134" s="170"/>
      <c r="K134" s="7"/>
      <c r="L134" s="22"/>
    </row>
    <row r="135" spans="1:23" s="36" customFormat="1" ht="16.2" thickBot="1" x14ac:dyDescent="0.35">
      <c r="A135" s="6"/>
      <c r="B135" s="106" t="s">
        <v>699</v>
      </c>
      <c r="C135" s="107"/>
      <c r="D135" s="107"/>
      <c r="E135" s="107"/>
      <c r="F135" s="107"/>
      <c r="G135" s="107"/>
      <c r="H135" s="107"/>
      <c r="I135" s="107"/>
      <c r="J135" s="108"/>
      <c r="K135" s="7"/>
    </row>
    <row r="136" spans="1:23" s="22" customFormat="1" ht="15" thickBot="1" x14ac:dyDescent="0.35">
      <c r="A136" s="69"/>
      <c r="B136" s="70" t="s">
        <v>9</v>
      </c>
      <c r="C136" s="71" t="s">
        <v>10</v>
      </c>
      <c r="D136" s="72" t="s">
        <v>11</v>
      </c>
      <c r="E136" s="72" t="s">
        <v>12</v>
      </c>
      <c r="F136" s="73" t="s">
        <v>65</v>
      </c>
      <c r="G136" s="73" t="s">
        <v>66</v>
      </c>
      <c r="H136" s="74" t="s">
        <v>67</v>
      </c>
      <c r="I136" s="73" t="s">
        <v>68</v>
      </c>
      <c r="J136" s="75" t="s">
        <v>17</v>
      </c>
      <c r="K136" s="76"/>
      <c r="L136" s="36"/>
      <c r="M136" s="36"/>
      <c r="N136" s="36"/>
      <c r="O136" s="36" t="s">
        <v>21</v>
      </c>
      <c r="P136" s="36"/>
      <c r="Q136" s="36"/>
      <c r="R136" s="36"/>
      <c r="V136" s="5" t="s">
        <v>5</v>
      </c>
      <c r="W136" s="5" t="s">
        <v>6</v>
      </c>
    </row>
    <row r="137" spans="1:23" s="36" customFormat="1" x14ac:dyDescent="0.3">
      <c r="A137" s="6"/>
      <c r="B137" s="14">
        <v>1</v>
      </c>
      <c r="C137" s="93">
        <v>44928</v>
      </c>
      <c r="D137" s="94" t="s">
        <v>18</v>
      </c>
      <c r="E137" s="94" t="s">
        <v>747</v>
      </c>
      <c r="F137" s="60">
        <v>115</v>
      </c>
      <c r="G137" s="60">
        <v>130</v>
      </c>
      <c r="H137" s="60">
        <v>15</v>
      </c>
      <c r="I137" s="15">
        <v>300</v>
      </c>
      <c r="J137" s="16">
        <f t="shared" ref="J137:J182" si="9">I137*H137</f>
        <v>4500</v>
      </c>
      <c r="K137" s="7"/>
      <c r="V137" s="5">
        <f t="shared" ref="V137:V182" si="10">IF($J137&gt;0,1,0)</f>
        <v>1</v>
      </c>
      <c r="W137" s="5">
        <f t="shared" ref="W137:W182" si="11">IF($J137&lt;0,1,0)</f>
        <v>0</v>
      </c>
    </row>
    <row r="138" spans="1:23" s="36" customFormat="1" x14ac:dyDescent="0.3">
      <c r="A138" s="6"/>
      <c r="B138" s="17">
        <f>B137+1</f>
        <v>2</v>
      </c>
      <c r="C138" s="18">
        <v>44928</v>
      </c>
      <c r="D138" s="19" t="s">
        <v>18</v>
      </c>
      <c r="E138" s="19" t="s">
        <v>538</v>
      </c>
      <c r="F138" s="35">
        <v>90</v>
      </c>
      <c r="G138" s="35">
        <v>96</v>
      </c>
      <c r="H138" s="35">
        <v>6</v>
      </c>
      <c r="I138" s="20">
        <v>300</v>
      </c>
      <c r="J138" s="21">
        <f t="shared" si="9"/>
        <v>1800</v>
      </c>
      <c r="K138" s="7"/>
      <c r="L138" s="36" t="s">
        <v>21</v>
      </c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ref="B139:B159" si="12">B138+1</f>
        <v>3</v>
      </c>
      <c r="C139" s="18">
        <v>44929</v>
      </c>
      <c r="D139" s="19" t="s">
        <v>18</v>
      </c>
      <c r="E139" s="19" t="s">
        <v>539</v>
      </c>
      <c r="F139" s="35">
        <v>105</v>
      </c>
      <c r="G139" s="35">
        <v>140</v>
      </c>
      <c r="H139" s="35">
        <f>140-105</f>
        <v>35</v>
      </c>
      <c r="I139" s="20">
        <v>300</v>
      </c>
      <c r="J139" s="21">
        <f t="shared" si="9"/>
        <v>10500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4</v>
      </c>
      <c r="C140" s="18">
        <v>44929</v>
      </c>
      <c r="D140" s="19" t="s">
        <v>18</v>
      </c>
      <c r="E140" s="19" t="s">
        <v>538</v>
      </c>
      <c r="F140" s="35">
        <v>105</v>
      </c>
      <c r="G140" s="35">
        <v>110</v>
      </c>
      <c r="H140" s="35">
        <v>5</v>
      </c>
      <c r="I140" s="20">
        <v>300</v>
      </c>
      <c r="J140" s="21">
        <f t="shared" si="9"/>
        <v>1500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5</v>
      </c>
      <c r="C141" s="18">
        <v>44929</v>
      </c>
      <c r="D141" s="19" t="s">
        <v>18</v>
      </c>
      <c r="E141" s="19" t="s">
        <v>538</v>
      </c>
      <c r="F141" s="35">
        <v>100</v>
      </c>
      <c r="G141" s="35">
        <v>114.4</v>
      </c>
      <c r="H141" s="35">
        <v>14.4</v>
      </c>
      <c r="I141" s="20">
        <v>300</v>
      </c>
      <c r="J141" s="21">
        <f t="shared" si="9"/>
        <v>4320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6</v>
      </c>
      <c r="C142" s="18">
        <v>44930</v>
      </c>
      <c r="D142" s="19" t="s">
        <v>18</v>
      </c>
      <c r="E142" s="19" t="s">
        <v>539</v>
      </c>
      <c r="F142" s="20">
        <v>115</v>
      </c>
      <c r="G142" s="35">
        <v>121</v>
      </c>
      <c r="H142" s="35">
        <f>121-115</f>
        <v>6</v>
      </c>
      <c r="I142" s="20">
        <v>300</v>
      </c>
      <c r="J142" s="21">
        <f t="shared" si="9"/>
        <v>1800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7</v>
      </c>
      <c r="C143" s="18">
        <v>44930</v>
      </c>
      <c r="D143" s="19" t="s">
        <v>18</v>
      </c>
      <c r="E143" s="19" t="s">
        <v>747</v>
      </c>
      <c r="F143" s="35">
        <v>110</v>
      </c>
      <c r="G143" s="35">
        <v>145</v>
      </c>
      <c r="H143" s="35">
        <f>145-110</f>
        <v>35</v>
      </c>
      <c r="I143" s="20">
        <v>300</v>
      </c>
      <c r="J143" s="21">
        <f t="shared" si="9"/>
        <v>10500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8</v>
      </c>
      <c r="C144" s="18">
        <v>44931</v>
      </c>
      <c r="D144" s="19" t="s">
        <v>18</v>
      </c>
      <c r="E144" s="19" t="s">
        <v>747</v>
      </c>
      <c r="F144" s="35">
        <v>110</v>
      </c>
      <c r="G144" s="35">
        <v>145</v>
      </c>
      <c r="H144" s="35">
        <f>145-110</f>
        <v>35</v>
      </c>
      <c r="I144" s="20">
        <v>300</v>
      </c>
      <c r="J144" s="21">
        <f t="shared" si="9"/>
        <v>10500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9</v>
      </c>
      <c r="C145" s="18">
        <v>44931</v>
      </c>
      <c r="D145" s="19" t="s">
        <v>18</v>
      </c>
      <c r="E145" s="19" t="s">
        <v>541</v>
      </c>
      <c r="F145" s="35">
        <v>90</v>
      </c>
      <c r="G145" s="35">
        <v>125</v>
      </c>
      <c r="H145" s="35">
        <f>125-90</f>
        <v>35</v>
      </c>
      <c r="I145" s="20">
        <v>300</v>
      </c>
      <c r="J145" s="21">
        <f t="shared" si="9"/>
        <v>10500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10</v>
      </c>
      <c r="C146" s="18">
        <v>44932</v>
      </c>
      <c r="D146" s="19" t="s">
        <v>18</v>
      </c>
      <c r="E146" s="19" t="s">
        <v>569</v>
      </c>
      <c r="F146" s="35">
        <v>95</v>
      </c>
      <c r="G146" s="35">
        <v>130</v>
      </c>
      <c r="H146" s="35">
        <f>130-95</f>
        <v>35</v>
      </c>
      <c r="I146" s="20">
        <v>300</v>
      </c>
      <c r="J146" s="21">
        <f t="shared" si="9"/>
        <v>10500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11</v>
      </c>
      <c r="C147" s="18">
        <v>44932</v>
      </c>
      <c r="D147" s="19" t="s">
        <v>18</v>
      </c>
      <c r="E147" s="19" t="s">
        <v>526</v>
      </c>
      <c r="F147" s="19">
        <v>140</v>
      </c>
      <c r="G147" s="35">
        <v>120</v>
      </c>
      <c r="H147" s="35">
        <v>-20</v>
      </c>
      <c r="I147" s="20">
        <v>300</v>
      </c>
      <c r="J147" s="21">
        <f t="shared" si="9"/>
        <v>-6000</v>
      </c>
      <c r="K147" s="7"/>
      <c r="V147" s="5">
        <f t="shared" si="10"/>
        <v>0</v>
      </c>
      <c r="W147" s="5">
        <f t="shared" si="11"/>
        <v>1</v>
      </c>
    </row>
    <row r="148" spans="1:23" s="36" customFormat="1" x14ac:dyDescent="0.3">
      <c r="A148" s="6"/>
      <c r="B148" s="17">
        <f t="shared" si="12"/>
        <v>12</v>
      </c>
      <c r="C148" s="18">
        <v>44935</v>
      </c>
      <c r="D148" s="19" t="s">
        <v>18</v>
      </c>
      <c r="E148" s="19" t="s">
        <v>527</v>
      </c>
      <c r="F148" s="35">
        <v>100</v>
      </c>
      <c r="G148" s="35">
        <v>135</v>
      </c>
      <c r="H148" s="35">
        <v>35</v>
      </c>
      <c r="I148" s="20">
        <v>300</v>
      </c>
      <c r="J148" s="21">
        <f t="shared" si="9"/>
        <v>10500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13</v>
      </c>
      <c r="C149" s="18">
        <v>44935</v>
      </c>
      <c r="D149" s="19" t="s">
        <v>18</v>
      </c>
      <c r="E149" s="19" t="s">
        <v>528</v>
      </c>
      <c r="F149" s="35">
        <v>115</v>
      </c>
      <c r="G149" s="35">
        <v>125</v>
      </c>
      <c r="H149" s="35">
        <v>10</v>
      </c>
      <c r="I149" s="20">
        <v>300</v>
      </c>
      <c r="J149" s="21">
        <f t="shared" si="9"/>
        <v>3000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14</v>
      </c>
      <c r="C150" s="18">
        <v>44936</v>
      </c>
      <c r="D150" s="19" t="s">
        <v>18</v>
      </c>
      <c r="E150" s="19" t="s">
        <v>541</v>
      </c>
      <c r="F150" s="77">
        <v>110</v>
      </c>
      <c r="G150" s="35">
        <v>145</v>
      </c>
      <c r="H150" s="78">
        <f>145-110</f>
        <v>35</v>
      </c>
      <c r="I150" s="20">
        <v>300</v>
      </c>
      <c r="J150" s="21">
        <f t="shared" si="9"/>
        <v>10500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15</v>
      </c>
      <c r="C151" s="18">
        <v>44936</v>
      </c>
      <c r="D151" s="19" t="s">
        <v>18</v>
      </c>
      <c r="E151" s="19" t="s">
        <v>537</v>
      </c>
      <c r="F151" s="35">
        <v>90</v>
      </c>
      <c r="G151" s="35">
        <v>125</v>
      </c>
      <c r="H151" s="78">
        <f>125-90</f>
        <v>35</v>
      </c>
      <c r="I151" s="20">
        <v>300</v>
      </c>
      <c r="J151" s="21">
        <f t="shared" si="9"/>
        <v>10500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16</v>
      </c>
      <c r="C152" s="18">
        <v>44937</v>
      </c>
      <c r="D152" s="19" t="s">
        <v>18</v>
      </c>
      <c r="E152" s="19" t="s">
        <v>568</v>
      </c>
      <c r="F152" s="35">
        <v>110</v>
      </c>
      <c r="G152" s="35">
        <v>145</v>
      </c>
      <c r="H152" s="78">
        <f>145-110</f>
        <v>35</v>
      </c>
      <c r="I152" s="20">
        <v>300</v>
      </c>
      <c r="J152" s="21">
        <f t="shared" si="9"/>
        <v>10500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17</v>
      </c>
      <c r="C153" s="18">
        <v>44937</v>
      </c>
      <c r="D153" s="19" t="s">
        <v>18</v>
      </c>
      <c r="E153" s="19" t="s">
        <v>525</v>
      </c>
      <c r="F153" s="35">
        <v>120</v>
      </c>
      <c r="G153" s="35">
        <v>133</v>
      </c>
      <c r="H153" s="78">
        <f>133-120</f>
        <v>13</v>
      </c>
      <c r="I153" s="20">
        <v>300</v>
      </c>
      <c r="J153" s="21">
        <f t="shared" si="9"/>
        <v>3900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2"/>
        <v>18</v>
      </c>
      <c r="C154" s="18">
        <v>44937</v>
      </c>
      <c r="D154" s="19" t="s">
        <v>18</v>
      </c>
      <c r="E154" s="19" t="s">
        <v>525</v>
      </c>
      <c r="F154" s="35">
        <v>120</v>
      </c>
      <c r="G154" s="35">
        <v>100</v>
      </c>
      <c r="H154" s="78">
        <v>20</v>
      </c>
      <c r="I154" s="20">
        <v>300</v>
      </c>
      <c r="J154" s="21">
        <f t="shared" si="9"/>
        <v>6000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2"/>
        <v>19</v>
      </c>
      <c r="C155" s="18">
        <v>44938</v>
      </c>
      <c r="D155" s="19" t="s">
        <v>18</v>
      </c>
      <c r="E155" s="19" t="s">
        <v>525</v>
      </c>
      <c r="F155" s="35">
        <v>105</v>
      </c>
      <c r="G155" s="35">
        <v>123</v>
      </c>
      <c r="H155" s="78">
        <f>123-105</f>
        <v>18</v>
      </c>
      <c r="I155" s="20">
        <v>300</v>
      </c>
      <c r="J155" s="21">
        <f t="shared" si="9"/>
        <v>5400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2"/>
        <v>20</v>
      </c>
      <c r="C156" s="18">
        <v>44938</v>
      </c>
      <c r="D156" s="19" t="s">
        <v>18</v>
      </c>
      <c r="E156" s="19" t="s">
        <v>568</v>
      </c>
      <c r="F156" s="35">
        <v>125</v>
      </c>
      <c r="G156" s="35">
        <v>160</v>
      </c>
      <c r="H156" s="35">
        <f>160-125</f>
        <v>35</v>
      </c>
      <c r="I156" s="20">
        <v>300</v>
      </c>
      <c r="J156" s="21">
        <f t="shared" si="9"/>
        <v>10500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2"/>
        <v>21</v>
      </c>
      <c r="C157" s="18">
        <v>44939</v>
      </c>
      <c r="D157" s="19" t="s">
        <v>18</v>
      </c>
      <c r="E157" s="19" t="s">
        <v>483</v>
      </c>
      <c r="F157" s="35">
        <v>120</v>
      </c>
      <c r="G157" s="35">
        <v>127</v>
      </c>
      <c r="H157" s="35">
        <v>7</v>
      </c>
      <c r="I157" s="20">
        <v>300</v>
      </c>
      <c r="J157" s="21">
        <f t="shared" si="9"/>
        <v>2100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2"/>
        <v>22</v>
      </c>
      <c r="C158" s="18">
        <v>44939</v>
      </c>
      <c r="D158" s="19" t="s">
        <v>18</v>
      </c>
      <c r="E158" s="19" t="s">
        <v>527</v>
      </c>
      <c r="F158" s="35">
        <v>100</v>
      </c>
      <c r="G158" s="35">
        <v>106</v>
      </c>
      <c r="H158" s="35">
        <v>6</v>
      </c>
      <c r="I158" s="20">
        <v>300</v>
      </c>
      <c r="J158" s="21">
        <f t="shared" si="9"/>
        <v>1800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2"/>
        <v>23</v>
      </c>
      <c r="C159" s="18">
        <v>44942</v>
      </c>
      <c r="D159" s="19" t="s">
        <v>18</v>
      </c>
      <c r="E159" s="19" t="s">
        <v>537</v>
      </c>
      <c r="F159" s="35">
        <v>100</v>
      </c>
      <c r="G159" s="35">
        <v>127</v>
      </c>
      <c r="H159" s="35">
        <v>27</v>
      </c>
      <c r="I159" s="20">
        <v>300</v>
      </c>
      <c r="J159" s="21">
        <f t="shared" si="9"/>
        <v>8100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>B159+1</f>
        <v>24</v>
      </c>
      <c r="C160" s="18">
        <v>44942</v>
      </c>
      <c r="D160" s="19" t="s">
        <v>18</v>
      </c>
      <c r="E160" s="19" t="s">
        <v>537</v>
      </c>
      <c r="F160" s="35">
        <v>125</v>
      </c>
      <c r="G160" s="35">
        <v>160</v>
      </c>
      <c r="H160" s="35">
        <f>160-125</f>
        <v>35</v>
      </c>
      <c r="I160" s="20">
        <v>300</v>
      </c>
      <c r="J160" s="21">
        <f t="shared" si="9"/>
        <v>10500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ref="B161:B182" si="13">B160+1</f>
        <v>25</v>
      </c>
      <c r="C161" s="18">
        <v>44943</v>
      </c>
      <c r="D161" s="19" t="s">
        <v>18</v>
      </c>
      <c r="E161" s="19" t="s">
        <v>484</v>
      </c>
      <c r="F161" s="35">
        <v>105</v>
      </c>
      <c r="G161" s="35">
        <v>130</v>
      </c>
      <c r="H161" s="35">
        <v>25</v>
      </c>
      <c r="I161" s="20">
        <v>300</v>
      </c>
      <c r="J161" s="21">
        <f t="shared" si="9"/>
        <v>7500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3"/>
        <v>26</v>
      </c>
      <c r="C162" s="18">
        <v>44943</v>
      </c>
      <c r="D162" s="19" t="s">
        <v>18</v>
      </c>
      <c r="E162" s="19" t="s">
        <v>526</v>
      </c>
      <c r="F162" s="35">
        <v>85</v>
      </c>
      <c r="G162" s="35">
        <v>95</v>
      </c>
      <c r="H162" s="35">
        <v>10</v>
      </c>
      <c r="I162" s="20">
        <v>300</v>
      </c>
      <c r="J162" s="21">
        <f t="shared" si="9"/>
        <v>3000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3"/>
        <v>27</v>
      </c>
      <c r="C163" s="18">
        <v>44944</v>
      </c>
      <c r="D163" s="19" t="s">
        <v>18</v>
      </c>
      <c r="E163" s="19" t="s">
        <v>528</v>
      </c>
      <c r="F163" s="35">
        <v>100</v>
      </c>
      <c r="G163" s="35">
        <v>108</v>
      </c>
      <c r="H163" s="35">
        <v>8</v>
      </c>
      <c r="I163" s="20">
        <v>300</v>
      </c>
      <c r="J163" s="21">
        <f t="shared" si="9"/>
        <v>2400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3"/>
        <v>28</v>
      </c>
      <c r="C164" s="18">
        <v>44945</v>
      </c>
      <c r="D164" s="19" t="s">
        <v>18</v>
      </c>
      <c r="E164" s="19" t="s">
        <v>747</v>
      </c>
      <c r="F164" s="35">
        <v>85</v>
      </c>
      <c r="G164" s="35">
        <v>91</v>
      </c>
      <c r="H164" s="35">
        <f>91-85</f>
        <v>6</v>
      </c>
      <c r="I164" s="20">
        <v>300</v>
      </c>
      <c r="J164" s="21">
        <f t="shared" si="9"/>
        <v>1800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3"/>
        <v>29</v>
      </c>
      <c r="C165" s="18">
        <v>44946</v>
      </c>
      <c r="D165" s="19" t="s">
        <v>18</v>
      </c>
      <c r="E165" s="19" t="s">
        <v>750</v>
      </c>
      <c r="F165" s="35">
        <v>160</v>
      </c>
      <c r="G165" s="35">
        <v>215</v>
      </c>
      <c r="H165" s="35">
        <f>215-160</f>
        <v>55</v>
      </c>
      <c r="I165" s="20">
        <v>300</v>
      </c>
      <c r="J165" s="21">
        <f t="shared" si="9"/>
        <v>16500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3"/>
        <v>30</v>
      </c>
      <c r="C166" s="18">
        <v>44949</v>
      </c>
      <c r="D166" s="19" t="s">
        <v>18</v>
      </c>
      <c r="E166" s="19" t="s">
        <v>528</v>
      </c>
      <c r="F166" s="35">
        <v>105</v>
      </c>
      <c r="G166" s="35">
        <v>130</v>
      </c>
      <c r="H166" s="35">
        <f>130-105</f>
        <v>25</v>
      </c>
      <c r="I166" s="20">
        <v>300</v>
      </c>
      <c r="J166" s="21">
        <f t="shared" si="9"/>
        <v>7500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3"/>
        <v>31</v>
      </c>
      <c r="C167" s="18">
        <v>44949</v>
      </c>
      <c r="D167" s="19" t="s">
        <v>18</v>
      </c>
      <c r="E167" s="19" t="s">
        <v>527</v>
      </c>
      <c r="F167" s="35">
        <v>120</v>
      </c>
      <c r="G167" s="35">
        <v>145</v>
      </c>
      <c r="H167" s="35">
        <v>25</v>
      </c>
      <c r="I167" s="20">
        <v>300</v>
      </c>
      <c r="J167" s="21">
        <f t="shared" si="9"/>
        <v>7500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3"/>
        <v>32</v>
      </c>
      <c r="C168" s="18">
        <v>44950</v>
      </c>
      <c r="D168" s="19" t="s">
        <v>18</v>
      </c>
      <c r="E168" s="19" t="s">
        <v>750</v>
      </c>
      <c r="F168" s="35">
        <v>100</v>
      </c>
      <c r="G168" s="35">
        <v>135</v>
      </c>
      <c r="H168" s="35">
        <v>35</v>
      </c>
      <c r="I168" s="20">
        <v>300</v>
      </c>
      <c r="J168" s="21">
        <f t="shared" si="9"/>
        <v>10500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3"/>
        <v>33</v>
      </c>
      <c r="C169" s="18">
        <v>44950</v>
      </c>
      <c r="D169" s="19" t="s">
        <v>18</v>
      </c>
      <c r="E169" s="19" t="s">
        <v>528</v>
      </c>
      <c r="F169" s="35">
        <v>120</v>
      </c>
      <c r="G169" s="35">
        <v>135</v>
      </c>
      <c r="H169" s="35">
        <v>15</v>
      </c>
      <c r="I169" s="20">
        <v>300</v>
      </c>
      <c r="J169" s="21">
        <f t="shared" si="9"/>
        <v>4500</v>
      </c>
      <c r="K169" s="7"/>
      <c r="V169" s="5">
        <f t="shared" si="10"/>
        <v>1</v>
      </c>
      <c r="W169" s="5">
        <f t="shared" si="11"/>
        <v>0</v>
      </c>
    </row>
    <row r="170" spans="1:23" s="36" customFormat="1" x14ac:dyDescent="0.3">
      <c r="A170" s="6"/>
      <c r="B170" s="17">
        <f t="shared" si="13"/>
        <v>34</v>
      </c>
      <c r="C170" s="18">
        <v>44951</v>
      </c>
      <c r="D170" s="19" t="s">
        <v>18</v>
      </c>
      <c r="E170" s="19" t="s">
        <v>747</v>
      </c>
      <c r="F170" s="35">
        <v>100</v>
      </c>
      <c r="G170" s="35">
        <v>135</v>
      </c>
      <c r="H170" s="35">
        <v>35</v>
      </c>
      <c r="I170" s="20">
        <v>300</v>
      </c>
      <c r="J170" s="21">
        <f t="shared" si="9"/>
        <v>10500</v>
      </c>
      <c r="K170" s="7"/>
      <c r="V170" s="5">
        <f t="shared" si="10"/>
        <v>1</v>
      </c>
      <c r="W170" s="5">
        <f t="shared" si="11"/>
        <v>0</v>
      </c>
    </row>
    <row r="171" spans="1:23" s="36" customFormat="1" x14ac:dyDescent="0.3">
      <c r="A171" s="6"/>
      <c r="B171" s="17">
        <f t="shared" si="13"/>
        <v>35</v>
      </c>
      <c r="C171" s="18">
        <v>44951</v>
      </c>
      <c r="D171" s="19" t="s">
        <v>18</v>
      </c>
      <c r="E171" s="19" t="s">
        <v>537</v>
      </c>
      <c r="F171" s="35">
        <v>95</v>
      </c>
      <c r="G171" s="35">
        <v>122</v>
      </c>
      <c r="H171" s="35">
        <f>122-95</f>
        <v>27</v>
      </c>
      <c r="I171" s="20">
        <v>300</v>
      </c>
      <c r="J171" s="21">
        <f t="shared" si="9"/>
        <v>8100</v>
      </c>
      <c r="K171" s="7"/>
      <c r="V171" s="5">
        <f t="shared" si="10"/>
        <v>1</v>
      </c>
      <c r="W171" s="5">
        <f t="shared" si="11"/>
        <v>0</v>
      </c>
    </row>
    <row r="172" spans="1:23" s="36" customFormat="1" x14ac:dyDescent="0.3">
      <c r="A172" s="6"/>
      <c r="B172" s="17">
        <f t="shared" si="13"/>
        <v>36</v>
      </c>
      <c r="C172" s="18">
        <v>44953</v>
      </c>
      <c r="D172" s="19" t="s">
        <v>18</v>
      </c>
      <c r="E172" s="19" t="s">
        <v>709</v>
      </c>
      <c r="F172" s="35">
        <v>145</v>
      </c>
      <c r="G172" s="35">
        <v>180</v>
      </c>
      <c r="H172" s="35">
        <f>180-145</f>
        <v>35</v>
      </c>
      <c r="I172" s="20">
        <v>300</v>
      </c>
      <c r="J172" s="21">
        <f t="shared" si="9"/>
        <v>10500</v>
      </c>
      <c r="K172" s="7"/>
      <c r="V172" s="5">
        <f t="shared" si="10"/>
        <v>1</v>
      </c>
      <c r="W172" s="5">
        <f t="shared" si="11"/>
        <v>0</v>
      </c>
    </row>
    <row r="173" spans="1:23" s="36" customFormat="1" x14ac:dyDescent="0.3">
      <c r="A173" s="6"/>
      <c r="B173" s="17">
        <f t="shared" si="13"/>
        <v>37</v>
      </c>
      <c r="C173" s="18">
        <v>44953</v>
      </c>
      <c r="D173" s="19" t="s">
        <v>18</v>
      </c>
      <c r="E173" s="19" t="s">
        <v>709</v>
      </c>
      <c r="F173" s="35">
        <v>160</v>
      </c>
      <c r="G173" s="35">
        <v>195</v>
      </c>
      <c r="H173" s="35">
        <f>195-160</f>
        <v>35</v>
      </c>
      <c r="I173" s="20">
        <v>300</v>
      </c>
      <c r="J173" s="21">
        <f t="shared" si="9"/>
        <v>10500</v>
      </c>
      <c r="K173" s="7"/>
      <c r="V173" s="5">
        <f t="shared" si="10"/>
        <v>1</v>
      </c>
      <c r="W173" s="5">
        <f t="shared" si="11"/>
        <v>0</v>
      </c>
    </row>
    <row r="174" spans="1:23" s="36" customFormat="1" x14ac:dyDescent="0.3">
      <c r="A174" s="6"/>
      <c r="B174" s="17">
        <f t="shared" si="13"/>
        <v>38</v>
      </c>
      <c r="C174" s="18">
        <v>44956</v>
      </c>
      <c r="D174" s="19" t="s">
        <v>18</v>
      </c>
      <c r="E174" s="19" t="s">
        <v>575</v>
      </c>
      <c r="F174" s="35">
        <v>120</v>
      </c>
      <c r="G174" s="35">
        <v>150</v>
      </c>
      <c r="H174" s="35">
        <v>30</v>
      </c>
      <c r="I174" s="20">
        <v>300</v>
      </c>
      <c r="J174" s="21">
        <f t="shared" si="9"/>
        <v>9000</v>
      </c>
      <c r="K174" s="7"/>
      <c r="V174" s="5">
        <f t="shared" si="10"/>
        <v>1</v>
      </c>
      <c r="W174" s="5">
        <f t="shared" si="11"/>
        <v>0</v>
      </c>
    </row>
    <row r="175" spans="1:23" s="36" customFormat="1" x14ac:dyDescent="0.3">
      <c r="A175" s="6"/>
      <c r="B175" s="17">
        <f t="shared" si="13"/>
        <v>39</v>
      </c>
      <c r="C175" s="18">
        <v>44956</v>
      </c>
      <c r="D175" s="19" t="s">
        <v>18</v>
      </c>
      <c r="E175" s="19" t="s">
        <v>575</v>
      </c>
      <c r="F175" s="35">
        <v>120</v>
      </c>
      <c r="G175" s="35">
        <v>155</v>
      </c>
      <c r="H175" s="35">
        <f>155-120</f>
        <v>35</v>
      </c>
      <c r="I175" s="20">
        <v>300</v>
      </c>
      <c r="J175" s="21">
        <f t="shared" si="9"/>
        <v>10500</v>
      </c>
      <c r="K175" s="7"/>
      <c r="V175" s="5">
        <f t="shared" si="10"/>
        <v>1</v>
      </c>
      <c r="W175" s="5">
        <f t="shared" si="11"/>
        <v>0</v>
      </c>
    </row>
    <row r="176" spans="1:23" s="36" customFormat="1" x14ac:dyDescent="0.3">
      <c r="A176" s="6"/>
      <c r="B176" s="17">
        <f t="shared" si="13"/>
        <v>40</v>
      </c>
      <c r="C176" s="18"/>
      <c r="D176" s="19"/>
      <c r="E176" s="19"/>
      <c r="F176" s="35"/>
      <c r="G176" s="35"/>
      <c r="H176" s="35"/>
      <c r="I176" s="20"/>
      <c r="J176" s="21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x14ac:dyDescent="0.3">
      <c r="A177" s="6"/>
      <c r="B177" s="17">
        <f t="shared" si="13"/>
        <v>41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x14ac:dyDescent="0.3">
      <c r="A178" s="6"/>
      <c r="B178" s="17">
        <f t="shared" si="13"/>
        <v>42</v>
      </c>
      <c r="C178" s="18"/>
      <c r="D178" s="19"/>
      <c r="E178" s="19"/>
      <c r="F178" s="35"/>
      <c r="G178" s="35"/>
      <c r="H178" s="35"/>
      <c r="I178" s="20"/>
      <c r="J178" s="21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x14ac:dyDescent="0.3">
      <c r="A179" s="6"/>
      <c r="B179" s="17">
        <f t="shared" si="13"/>
        <v>43</v>
      </c>
      <c r="C179" s="18"/>
      <c r="D179" s="19"/>
      <c r="E179" s="19"/>
      <c r="F179" s="35"/>
      <c r="G179" s="35"/>
      <c r="H179" s="35"/>
      <c r="I179" s="20"/>
      <c r="J179" s="21">
        <f t="shared" si="9"/>
        <v>0</v>
      </c>
      <c r="K179" s="7"/>
      <c r="V179" s="5">
        <f t="shared" si="10"/>
        <v>0</v>
      </c>
      <c r="W179" s="5">
        <f t="shared" si="11"/>
        <v>0</v>
      </c>
    </row>
    <row r="180" spans="1:23" s="36" customFormat="1" x14ac:dyDescent="0.3">
      <c r="A180" s="6"/>
      <c r="B180" s="17">
        <f t="shared" si="13"/>
        <v>44</v>
      </c>
      <c r="C180" s="18"/>
      <c r="D180" s="19"/>
      <c r="E180" s="19"/>
      <c r="F180" s="35"/>
      <c r="G180" s="35"/>
      <c r="H180" s="35"/>
      <c r="I180" s="20"/>
      <c r="J180" s="21">
        <f t="shared" si="9"/>
        <v>0</v>
      </c>
      <c r="K180" s="7"/>
      <c r="V180" s="5">
        <f t="shared" si="10"/>
        <v>0</v>
      </c>
      <c r="W180" s="5">
        <f t="shared" si="11"/>
        <v>0</v>
      </c>
    </row>
    <row r="181" spans="1:23" s="36" customFormat="1" x14ac:dyDescent="0.3">
      <c r="A181" s="6"/>
      <c r="B181" s="17">
        <f t="shared" si="13"/>
        <v>45</v>
      </c>
      <c r="C181" s="18"/>
      <c r="D181" s="19"/>
      <c r="E181" s="19"/>
      <c r="F181" s="35"/>
      <c r="G181" s="35"/>
      <c r="H181" s="35"/>
      <c r="I181" s="20"/>
      <c r="J181" s="21">
        <f t="shared" si="9"/>
        <v>0</v>
      </c>
      <c r="K181" s="7"/>
      <c r="V181" s="5">
        <f t="shared" si="10"/>
        <v>0</v>
      </c>
      <c r="W181" s="5">
        <f t="shared" si="11"/>
        <v>0</v>
      </c>
    </row>
    <row r="182" spans="1:23" s="36" customFormat="1" ht="15" thickBot="1" x14ac:dyDescent="0.35">
      <c r="A182" s="6"/>
      <c r="B182" s="95">
        <f t="shared" si="13"/>
        <v>46</v>
      </c>
      <c r="C182" s="79"/>
      <c r="D182" s="80"/>
      <c r="E182" s="80"/>
      <c r="F182" s="96"/>
      <c r="G182" s="96"/>
      <c r="H182" s="96"/>
      <c r="I182" s="81"/>
      <c r="J182" s="82">
        <f t="shared" si="9"/>
        <v>0</v>
      </c>
      <c r="K182" s="7"/>
      <c r="V182" s="5">
        <f t="shared" si="10"/>
        <v>0</v>
      </c>
      <c r="W182" s="5">
        <f t="shared" si="11"/>
        <v>0</v>
      </c>
    </row>
    <row r="183" spans="1:23" s="36" customFormat="1" ht="24" thickBot="1" x14ac:dyDescent="0.5">
      <c r="A183" s="6"/>
      <c r="B183" s="165" t="s">
        <v>22</v>
      </c>
      <c r="C183" s="166"/>
      <c r="D183" s="166"/>
      <c r="E183" s="166"/>
      <c r="F183" s="166"/>
      <c r="G183" s="166"/>
      <c r="H183" s="167"/>
      <c r="I183" s="83" t="s">
        <v>23</v>
      </c>
      <c r="J183" s="84">
        <f>SUM(J137:J182)</f>
        <v>274020</v>
      </c>
      <c r="K183" s="7"/>
      <c r="L183" s="5"/>
      <c r="M183" s="5"/>
      <c r="N183" s="5"/>
      <c r="O183" s="5"/>
      <c r="P183" s="5"/>
      <c r="Q183" s="5"/>
      <c r="R183" s="5"/>
      <c r="V183" s="36">
        <f>SUM(V137:V182)</f>
        <v>38</v>
      </c>
      <c r="W183" s="36">
        <f>SUM(W137:W182)</f>
        <v>1</v>
      </c>
    </row>
    <row r="184" spans="1:23" s="36" customFormat="1" ht="30" customHeight="1" thickBot="1" x14ac:dyDescent="0.35">
      <c r="A184" s="30"/>
      <c r="B184" s="31"/>
      <c r="C184" s="31"/>
      <c r="D184" s="31"/>
      <c r="E184" s="31"/>
      <c r="F184" s="31"/>
      <c r="G184" s="31"/>
      <c r="H184" s="32"/>
      <c r="I184" s="31"/>
      <c r="J184" s="32"/>
      <c r="K184" s="33"/>
      <c r="L184" s="5"/>
      <c r="M184" s="5"/>
      <c r="N184" s="5"/>
      <c r="O184" s="5"/>
      <c r="P184" s="5"/>
      <c r="Q184" s="5"/>
      <c r="R184" s="5"/>
    </row>
  </sheetData>
  <mergeCells count="44">
    <mergeCell ref="B129:H129"/>
    <mergeCell ref="B133:J133"/>
    <mergeCell ref="B134:J134"/>
    <mergeCell ref="B135:J135"/>
    <mergeCell ref="B183:H183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59" r:id="rId1" xr:uid="{00000000-0004-0000-1E00-000000000000}"/>
    <hyperlink ref="B129" r:id="rId2" xr:uid="{00000000-0004-0000-1E00-000001000000}"/>
    <hyperlink ref="B183" r:id="rId3" xr:uid="{00000000-0004-0000-1E00-000002000000}"/>
    <hyperlink ref="M1" location="MASTER!A1" display="Back" xr:uid="{00000000-0004-0000-1E00-000003000000}"/>
    <hyperlink ref="M6:M7" location="'NOV 2022'!A70" display="EXTRA STOCK FUTURE" xr:uid="{00000000-0004-0000-1E00-000004000000}"/>
    <hyperlink ref="M8:M9" location="'NOV 2022'!A140" display="EXTRA NIFTY OPTION" xr:uid="{00000000-0004-0000-1E00-000005000000}"/>
    <hyperlink ref="M4:M5" location="'NOV 2022'!A1" display="EXTRA BANKNIFTY OPTION" xr:uid="{00000000-0004-0000-1E00-000006000000}"/>
  </hyperlinks>
  <pageMargins left="0" right="0" top="0" bottom="0" header="0" footer="0"/>
  <pageSetup paperSize="9" orientation="portrait" r:id="rId4"/>
  <drawing r:id="rId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176"/>
  <sheetViews>
    <sheetView topLeftCell="A124" zoomScaleNormal="100" workbookViewId="0">
      <selection activeCell="M134" sqref="M134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9.109375" style="5" customWidth="1"/>
    <col min="22" max="23" width="9.109375" style="5" hidden="1" customWidth="1"/>
    <col min="24" max="24" width="9.109375" style="5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225" t="s">
        <v>3</v>
      </c>
      <c r="N2" s="226" t="s">
        <v>4</v>
      </c>
      <c r="O2" s="227" t="s">
        <v>5</v>
      </c>
      <c r="P2" s="227" t="s">
        <v>6</v>
      </c>
      <c r="Q2" s="227" t="s">
        <v>7</v>
      </c>
      <c r="R2" s="224" t="s">
        <v>8</v>
      </c>
    </row>
    <row r="3" spans="1:23" ht="16.2" thickBot="1" x14ac:dyDescent="0.35">
      <c r="A3" s="6"/>
      <c r="B3" s="103">
        <v>44958</v>
      </c>
      <c r="C3" s="104"/>
      <c r="D3" s="104"/>
      <c r="E3" s="104"/>
      <c r="F3" s="104"/>
      <c r="G3" s="104"/>
      <c r="H3" s="104"/>
      <c r="I3" s="104"/>
      <c r="J3" s="105"/>
      <c r="K3" s="7"/>
      <c r="M3" s="225"/>
      <c r="N3" s="226"/>
      <c r="O3" s="227"/>
      <c r="P3" s="227"/>
      <c r="Q3" s="227"/>
      <c r="R3" s="224"/>
    </row>
    <row r="4" spans="1:23" ht="16.5" customHeight="1" thickBot="1" x14ac:dyDescent="0.35">
      <c r="A4" s="6"/>
      <c r="B4" s="106" t="s">
        <v>785</v>
      </c>
      <c r="C4" s="107"/>
      <c r="D4" s="107"/>
      <c r="E4" s="107"/>
      <c r="F4" s="107"/>
      <c r="G4" s="107"/>
      <c r="H4" s="107"/>
      <c r="I4" s="107"/>
      <c r="J4" s="108"/>
      <c r="K4" s="7"/>
      <c r="M4" s="221" t="s">
        <v>107</v>
      </c>
      <c r="N4" s="222">
        <f>COUNT(C6:C58)</f>
        <v>39</v>
      </c>
      <c r="O4" s="222">
        <f>V59</f>
        <v>31</v>
      </c>
      <c r="P4" s="222">
        <f>W59</f>
        <v>8</v>
      </c>
      <c r="Q4" s="222">
        <f>N4-O4-P4</f>
        <v>0</v>
      </c>
      <c r="R4" s="220">
        <f>O4/N4</f>
        <v>0.79487179487179482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221"/>
      <c r="N5" s="222"/>
      <c r="O5" s="222"/>
      <c r="P5" s="222"/>
      <c r="Q5" s="222"/>
      <c r="R5" s="220"/>
      <c r="V5" s="5" t="s">
        <v>5</v>
      </c>
      <c r="W5" s="5" t="s">
        <v>6</v>
      </c>
    </row>
    <row r="6" spans="1:23" ht="15" customHeight="1" thickBot="1" x14ac:dyDescent="0.35">
      <c r="A6" s="6"/>
      <c r="B6" s="88">
        <v>1</v>
      </c>
      <c r="C6" s="89">
        <v>44958</v>
      </c>
      <c r="D6" s="90" t="s">
        <v>18</v>
      </c>
      <c r="E6" s="90" t="s">
        <v>819</v>
      </c>
      <c r="F6" s="90">
        <v>180</v>
      </c>
      <c r="G6" s="90">
        <v>130</v>
      </c>
      <c r="H6" s="91">
        <v>50</v>
      </c>
      <c r="I6" s="90">
        <v>100</v>
      </c>
      <c r="J6" s="92">
        <f t="shared" ref="J6:J58" si="0">H6*I6</f>
        <v>5000</v>
      </c>
      <c r="K6" s="7"/>
      <c r="M6" s="221" t="s">
        <v>108</v>
      </c>
      <c r="N6" s="222">
        <f>COUNT(C67:C120)</f>
        <v>18</v>
      </c>
      <c r="O6" s="222">
        <f>V121</f>
        <v>14</v>
      </c>
      <c r="P6" s="222">
        <f>W121</f>
        <v>2</v>
      </c>
      <c r="Q6" s="222">
        <f>N6-O6-P6</f>
        <v>2</v>
      </c>
      <c r="R6" s="220">
        <f t="shared" ref="R6" si="1">O6/N6</f>
        <v>0.77777777777777779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ht="15" thickBot="1" x14ac:dyDescent="0.35">
      <c r="A7" s="6"/>
      <c r="B7" s="17">
        <v>2</v>
      </c>
      <c r="C7" s="85">
        <v>44958</v>
      </c>
      <c r="D7" s="86" t="s">
        <v>18</v>
      </c>
      <c r="E7" s="86" t="s">
        <v>726</v>
      </c>
      <c r="F7" s="86">
        <v>170</v>
      </c>
      <c r="G7" s="86">
        <v>270</v>
      </c>
      <c r="H7" s="87">
        <v>100</v>
      </c>
      <c r="I7" s="86">
        <v>100</v>
      </c>
      <c r="J7" s="21">
        <f t="shared" si="0"/>
        <v>10000</v>
      </c>
      <c r="K7" s="7"/>
      <c r="M7" s="221"/>
      <c r="N7" s="222"/>
      <c r="O7" s="222"/>
      <c r="P7" s="222"/>
      <c r="Q7" s="222"/>
      <c r="R7" s="220"/>
      <c r="V7" s="5">
        <f t="shared" si="2"/>
        <v>1</v>
      </c>
      <c r="W7" s="5">
        <f t="shared" si="3"/>
        <v>0</v>
      </c>
    </row>
    <row r="8" spans="1:23" ht="15" thickBot="1" x14ac:dyDescent="0.35">
      <c r="A8" s="6"/>
      <c r="B8" s="88">
        <v>3</v>
      </c>
      <c r="C8" s="85">
        <v>44958</v>
      </c>
      <c r="D8" s="86" t="s">
        <v>18</v>
      </c>
      <c r="E8" s="86" t="s">
        <v>813</v>
      </c>
      <c r="F8" s="86">
        <v>200</v>
      </c>
      <c r="G8" s="86">
        <v>220</v>
      </c>
      <c r="H8" s="87">
        <v>20</v>
      </c>
      <c r="I8" s="86">
        <v>100</v>
      </c>
      <c r="J8" s="21">
        <f t="shared" si="0"/>
        <v>2000</v>
      </c>
      <c r="K8" s="7"/>
      <c r="M8" s="223" t="s">
        <v>194</v>
      </c>
      <c r="N8" s="222">
        <f>COUNT(C129:C174)</f>
        <v>44</v>
      </c>
      <c r="O8" s="222">
        <f>V175</f>
        <v>36</v>
      </c>
      <c r="P8" s="222">
        <f>W175</f>
        <v>8</v>
      </c>
      <c r="Q8" s="222">
        <f>N8-O8-P8</f>
        <v>0</v>
      </c>
      <c r="R8" s="220">
        <f t="shared" ref="R8:R10" si="4">O8/N8</f>
        <v>0.81818181818181823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44959</v>
      </c>
      <c r="D9" s="86" t="s">
        <v>18</v>
      </c>
      <c r="E9" s="86" t="s">
        <v>522</v>
      </c>
      <c r="F9" s="86">
        <v>180</v>
      </c>
      <c r="G9" s="86">
        <v>208</v>
      </c>
      <c r="H9" s="87">
        <f>208-180</f>
        <v>28</v>
      </c>
      <c r="I9" s="86">
        <v>100</v>
      </c>
      <c r="J9" s="21">
        <f t="shared" si="0"/>
        <v>2800</v>
      </c>
      <c r="K9" s="7"/>
      <c r="M9" s="223"/>
      <c r="N9" s="222"/>
      <c r="O9" s="222"/>
      <c r="P9" s="222"/>
      <c r="Q9" s="222"/>
      <c r="R9" s="220"/>
      <c r="V9" s="5">
        <f t="shared" si="2"/>
        <v>1</v>
      </c>
      <c r="W9" s="5">
        <f t="shared" si="3"/>
        <v>0</v>
      </c>
    </row>
    <row r="10" spans="1:23" ht="16.5" customHeight="1" thickBot="1" x14ac:dyDescent="0.35">
      <c r="A10" s="6"/>
      <c r="B10" s="88">
        <v>5</v>
      </c>
      <c r="C10" s="85">
        <v>44959</v>
      </c>
      <c r="D10" s="86" t="s">
        <v>18</v>
      </c>
      <c r="E10" s="86" t="s">
        <v>739</v>
      </c>
      <c r="F10" s="86">
        <v>170</v>
      </c>
      <c r="G10" s="86">
        <v>270</v>
      </c>
      <c r="H10" s="87">
        <v>100</v>
      </c>
      <c r="I10" s="86">
        <v>100</v>
      </c>
      <c r="J10" s="21">
        <f t="shared" si="0"/>
        <v>10000</v>
      </c>
      <c r="K10" s="7"/>
      <c r="M10" s="218" t="s">
        <v>19</v>
      </c>
      <c r="N10" s="219">
        <f>SUM(N4:N9)</f>
        <v>101</v>
      </c>
      <c r="O10" s="219">
        <f>SUM(O4:O9)</f>
        <v>81</v>
      </c>
      <c r="P10" s="219">
        <f>SUM(P4:P9)</f>
        <v>18</v>
      </c>
      <c r="Q10" s="219">
        <f>SUM(Q4:Q9)</f>
        <v>2</v>
      </c>
      <c r="R10" s="220">
        <f t="shared" si="4"/>
        <v>0.80198019801980203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44960</v>
      </c>
      <c r="D11" s="86" t="s">
        <v>18</v>
      </c>
      <c r="E11" s="86" t="s">
        <v>819</v>
      </c>
      <c r="F11" s="86">
        <v>200</v>
      </c>
      <c r="G11" s="86">
        <v>300</v>
      </c>
      <c r="H11" s="87">
        <v>100</v>
      </c>
      <c r="I11" s="86">
        <v>100</v>
      </c>
      <c r="J11" s="21">
        <f t="shared" si="0"/>
        <v>10000</v>
      </c>
      <c r="K11" s="7"/>
      <c r="M11" s="218"/>
      <c r="N11" s="219"/>
      <c r="O11" s="219"/>
      <c r="P11" s="219"/>
      <c r="Q11" s="219"/>
      <c r="R11" s="220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44960</v>
      </c>
      <c r="D12" s="86" t="s">
        <v>18</v>
      </c>
      <c r="E12" s="86" t="s">
        <v>724</v>
      </c>
      <c r="F12" s="86">
        <v>200</v>
      </c>
      <c r="G12" s="86">
        <v>265</v>
      </c>
      <c r="H12" s="87">
        <v>65</v>
      </c>
      <c r="I12" s="86">
        <v>100</v>
      </c>
      <c r="J12" s="21">
        <f t="shared" si="0"/>
        <v>6500</v>
      </c>
      <c r="K12" s="7"/>
      <c r="M12" s="129" t="s">
        <v>20</v>
      </c>
      <c r="N12" s="130"/>
      <c r="O12" s="131"/>
      <c r="P12" s="138">
        <f>R10</f>
        <v>0.80198019801980203</v>
      </c>
      <c r="Q12" s="139"/>
      <c r="R12" s="140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44963</v>
      </c>
      <c r="D13" s="86" t="s">
        <v>18</v>
      </c>
      <c r="E13" s="86" t="s">
        <v>723</v>
      </c>
      <c r="F13" s="86">
        <v>200</v>
      </c>
      <c r="G13" s="86">
        <v>150</v>
      </c>
      <c r="H13" s="87">
        <v>-50</v>
      </c>
      <c r="I13" s="86">
        <v>100</v>
      </c>
      <c r="J13" s="21">
        <f t="shared" si="0"/>
        <v>-5000</v>
      </c>
      <c r="K13" s="7"/>
      <c r="M13" s="129"/>
      <c r="N13" s="130"/>
      <c r="O13" s="131"/>
      <c r="P13" s="138"/>
      <c r="Q13" s="139"/>
      <c r="R13" s="140"/>
      <c r="V13" s="5">
        <f t="shared" si="2"/>
        <v>0</v>
      </c>
      <c r="W13" s="5">
        <f t="shared" si="3"/>
        <v>1</v>
      </c>
    </row>
    <row r="14" spans="1:23" ht="15.75" customHeight="1" thickBot="1" x14ac:dyDescent="0.35">
      <c r="A14" s="6"/>
      <c r="B14" s="88">
        <v>9</v>
      </c>
      <c r="C14" s="85">
        <v>44963</v>
      </c>
      <c r="D14" s="86" t="s">
        <v>18</v>
      </c>
      <c r="E14" s="86" t="s">
        <v>726</v>
      </c>
      <c r="F14" s="86">
        <v>180</v>
      </c>
      <c r="G14" s="86">
        <v>230</v>
      </c>
      <c r="H14" s="87">
        <f>230-180</f>
        <v>50</v>
      </c>
      <c r="I14" s="86">
        <v>100</v>
      </c>
      <c r="J14" s="21">
        <f t="shared" si="0"/>
        <v>5000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44964</v>
      </c>
      <c r="D15" s="86" t="s">
        <v>18</v>
      </c>
      <c r="E15" s="86" t="s">
        <v>728</v>
      </c>
      <c r="F15" s="86">
        <v>160</v>
      </c>
      <c r="G15" s="86">
        <v>260</v>
      </c>
      <c r="H15" s="87">
        <v>100</v>
      </c>
      <c r="I15" s="86">
        <v>100</v>
      </c>
      <c r="J15" s="21">
        <f t="shared" si="0"/>
        <v>10000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85">
        <v>44964</v>
      </c>
      <c r="D16" s="86" t="s">
        <v>18</v>
      </c>
      <c r="E16" s="86" t="s">
        <v>743</v>
      </c>
      <c r="F16" s="86">
        <v>150</v>
      </c>
      <c r="G16" s="86">
        <v>169</v>
      </c>
      <c r="H16" s="87">
        <v>19</v>
      </c>
      <c r="I16" s="86">
        <v>100</v>
      </c>
      <c r="J16" s="21">
        <f t="shared" si="0"/>
        <v>1900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85">
        <v>44965</v>
      </c>
      <c r="D17" s="86" t="s">
        <v>18</v>
      </c>
      <c r="E17" s="86" t="s">
        <v>748</v>
      </c>
      <c r="F17" s="86">
        <v>170</v>
      </c>
      <c r="G17" s="86">
        <v>216</v>
      </c>
      <c r="H17" s="87">
        <f>216-170</f>
        <v>46</v>
      </c>
      <c r="I17" s="86">
        <v>100</v>
      </c>
      <c r="J17" s="21">
        <f t="shared" si="0"/>
        <v>4600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85">
        <v>44965</v>
      </c>
      <c r="D18" s="86" t="s">
        <v>18</v>
      </c>
      <c r="E18" s="86" t="s">
        <v>745</v>
      </c>
      <c r="F18" s="86">
        <v>160</v>
      </c>
      <c r="G18" s="86">
        <v>170</v>
      </c>
      <c r="H18" s="87">
        <v>10</v>
      </c>
      <c r="I18" s="86">
        <v>100</v>
      </c>
      <c r="J18" s="21">
        <f t="shared" si="0"/>
        <v>1000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85">
        <v>44966</v>
      </c>
      <c r="D19" s="86" t="s">
        <v>18</v>
      </c>
      <c r="E19" s="86" t="s">
        <v>745</v>
      </c>
      <c r="F19" s="86">
        <v>170</v>
      </c>
      <c r="G19" s="86">
        <v>220</v>
      </c>
      <c r="H19" s="87">
        <f>200-170</f>
        <v>30</v>
      </c>
      <c r="I19" s="86">
        <v>100</v>
      </c>
      <c r="J19" s="21">
        <f t="shared" si="0"/>
        <v>3000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85">
        <v>44966</v>
      </c>
      <c r="D20" s="86" t="s">
        <v>18</v>
      </c>
      <c r="E20" s="86" t="s">
        <v>745</v>
      </c>
      <c r="F20" s="86">
        <v>160</v>
      </c>
      <c r="G20" s="86">
        <v>120</v>
      </c>
      <c r="H20" s="87">
        <v>-50</v>
      </c>
      <c r="I20" s="86">
        <v>100</v>
      </c>
      <c r="J20" s="21">
        <f t="shared" si="0"/>
        <v>-5000</v>
      </c>
      <c r="K20" s="7"/>
      <c r="V20" s="5">
        <f t="shared" si="2"/>
        <v>0</v>
      </c>
      <c r="W20" s="5">
        <f t="shared" si="3"/>
        <v>1</v>
      </c>
    </row>
    <row r="21" spans="1:23" x14ac:dyDescent="0.3">
      <c r="A21" s="6"/>
      <c r="B21" s="17">
        <v>16</v>
      </c>
      <c r="C21" s="85">
        <v>44967</v>
      </c>
      <c r="D21" s="86" t="s">
        <v>18</v>
      </c>
      <c r="E21" s="86" t="s">
        <v>743</v>
      </c>
      <c r="F21" s="86">
        <v>170</v>
      </c>
      <c r="G21" s="86">
        <v>120</v>
      </c>
      <c r="H21" s="87">
        <v>-50</v>
      </c>
      <c r="I21" s="86">
        <v>100</v>
      </c>
      <c r="J21" s="21">
        <f t="shared" si="0"/>
        <v>-5000</v>
      </c>
      <c r="K21" s="7"/>
      <c r="O21" s="22"/>
      <c r="P21" s="22"/>
      <c r="Q21" s="22"/>
      <c r="R21" s="22"/>
      <c r="V21" s="5">
        <f t="shared" si="2"/>
        <v>0</v>
      </c>
      <c r="W21" s="5">
        <f t="shared" si="3"/>
        <v>1</v>
      </c>
    </row>
    <row r="22" spans="1:23" x14ac:dyDescent="0.3">
      <c r="A22" s="6"/>
      <c r="B22" s="88">
        <v>17</v>
      </c>
      <c r="C22" s="18">
        <v>44970</v>
      </c>
      <c r="D22" s="19" t="s">
        <v>18</v>
      </c>
      <c r="E22" s="19" t="s">
        <v>820</v>
      </c>
      <c r="F22" s="35">
        <v>140</v>
      </c>
      <c r="G22" s="35">
        <v>180</v>
      </c>
      <c r="H22" s="35">
        <v>40</v>
      </c>
      <c r="I22" s="86">
        <v>100</v>
      </c>
      <c r="J22" s="21">
        <f t="shared" si="0"/>
        <v>4000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44970</v>
      </c>
      <c r="D23" s="19" t="s">
        <v>18</v>
      </c>
      <c r="E23" s="19" t="s">
        <v>722</v>
      </c>
      <c r="F23" s="35">
        <v>160</v>
      </c>
      <c r="G23" s="35">
        <v>260</v>
      </c>
      <c r="H23" s="35">
        <v>100</v>
      </c>
      <c r="I23" s="86">
        <v>100</v>
      </c>
      <c r="J23" s="21">
        <f t="shared" si="0"/>
        <v>10000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44971</v>
      </c>
      <c r="D24" s="19" t="s">
        <v>18</v>
      </c>
      <c r="E24" s="19" t="s">
        <v>743</v>
      </c>
      <c r="F24" s="35">
        <v>140</v>
      </c>
      <c r="G24" s="35">
        <v>190</v>
      </c>
      <c r="H24" s="35">
        <v>50</v>
      </c>
      <c r="I24" s="20">
        <v>100</v>
      </c>
      <c r="J24" s="21">
        <f t="shared" si="0"/>
        <v>5000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44971</v>
      </c>
      <c r="D25" s="19" t="s">
        <v>18</v>
      </c>
      <c r="E25" s="19" t="s">
        <v>518</v>
      </c>
      <c r="F25" s="35">
        <v>150</v>
      </c>
      <c r="G25" s="35">
        <v>250</v>
      </c>
      <c r="H25" s="35">
        <v>100</v>
      </c>
      <c r="I25" s="20">
        <v>100</v>
      </c>
      <c r="J25" s="21">
        <f t="shared" si="0"/>
        <v>10000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44972</v>
      </c>
      <c r="D26" s="19" t="s">
        <v>18</v>
      </c>
      <c r="E26" s="19" t="s">
        <v>748</v>
      </c>
      <c r="F26" s="35">
        <v>150</v>
      </c>
      <c r="G26" s="35">
        <v>200</v>
      </c>
      <c r="H26" s="35">
        <v>50</v>
      </c>
      <c r="I26" s="20">
        <v>100</v>
      </c>
      <c r="J26" s="21">
        <f t="shared" si="0"/>
        <v>5000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44972</v>
      </c>
      <c r="D27" s="19" t="s">
        <v>18</v>
      </c>
      <c r="E27" s="19" t="s">
        <v>727</v>
      </c>
      <c r="F27" s="35">
        <v>150</v>
      </c>
      <c r="G27" s="35">
        <v>180</v>
      </c>
      <c r="H27" s="19">
        <v>30</v>
      </c>
      <c r="I27" s="20">
        <v>100</v>
      </c>
      <c r="J27" s="21">
        <f t="shared" si="0"/>
        <v>3000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44973</v>
      </c>
      <c r="D28" s="19" t="s">
        <v>18</v>
      </c>
      <c r="E28" s="19" t="s">
        <v>760</v>
      </c>
      <c r="F28" s="35">
        <v>110</v>
      </c>
      <c r="G28" s="35">
        <v>210</v>
      </c>
      <c r="H28" s="19">
        <v>100</v>
      </c>
      <c r="I28" s="20">
        <v>100</v>
      </c>
      <c r="J28" s="21">
        <f t="shared" si="0"/>
        <v>10000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44973</v>
      </c>
      <c r="D29" s="19" t="s">
        <v>18</v>
      </c>
      <c r="E29" s="19" t="s">
        <v>760</v>
      </c>
      <c r="F29" s="20">
        <v>140</v>
      </c>
      <c r="G29" s="20">
        <v>240</v>
      </c>
      <c r="H29" s="19">
        <v>100</v>
      </c>
      <c r="I29" s="20">
        <v>100</v>
      </c>
      <c r="J29" s="21">
        <f t="shared" si="0"/>
        <v>10000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44974</v>
      </c>
      <c r="D30" s="25" t="s">
        <v>18</v>
      </c>
      <c r="E30" s="25" t="s">
        <v>728</v>
      </c>
      <c r="F30" s="26">
        <v>150</v>
      </c>
      <c r="G30" s="61">
        <v>130</v>
      </c>
      <c r="H30" s="61">
        <v>-20</v>
      </c>
      <c r="I30" s="26">
        <v>100</v>
      </c>
      <c r="J30" s="21">
        <f t="shared" si="0"/>
        <v>-2000</v>
      </c>
      <c r="K30" s="7"/>
      <c r="V30" s="5">
        <f t="shared" si="2"/>
        <v>0</v>
      </c>
      <c r="W30" s="5">
        <f t="shared" si="3"/>
        <v>1</v>
      </c>
    </row>
    <row r="31" spans="1:23" x14ac:dyDescent="0.3">
      <c r="A31" s="6"/>
      <c r="B31" s="17">
        <v>26</v>
      </c>
      <c r="C31" s="24">
        <v>44974</v>
      </c>
      <c r="D31" s="25" t="s">
        <v>18</v>
      </c>
      <c r="E31" s="25" t="s">
        <v>820</v>
      </c>
      <c r="F31" s="26">
        <v>150</v>
      </c>
      <c r="G31" s="61">
        <v>200</v>
      </c>
      <c r="H31" s="61">
        <v>50</v>
      </c>
      <c r="I31" s="26">
        <v>100</v>
      </c>
      <c r="J31" s="21">
        <f t="shared" si="0"/>
        <v>5000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44977</v>
      </c>
      <c r="D32" s="25" t="s">
        <v>18</v>
      </c>
      <c r="E32" s="25" t="s">
        <v>821</v>
      </c>
      <c r="F32" s="26">
        <v>230</v>
      </c>
      <c r="G32" s="61">
        <v>310</v>
      </c>
      <c r="H32" s="61">
        <f>310-230</f>
        <v>80</v>
      </c>
      <c r="I32" s="26">
        <v>100</v>
      </c>
      <c r="J32" s="21">
        <f t="shared" si="0"/>
        <v>8000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44977</v>
      </c>
      <c r="D33" s="25" t="s">
        <v>18</v>
      </c>
      <c r="E33" s="25" t="s">
        <v>521</v>
      </c>
      <c r="F33" s="26">
        <v>140</v>
      </c>
      <c r="G33" s="61">
        <v>240</v>
      </c>
      <c r="H33" s="61">
        <v>100</v>
      </c>
      <c r="I33" s="26">
        <v>100</v>
      </c>
      <c r="J33" s="21">
        <f t="shared" si="0"/>
        <v>10000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44978</v>
      </c>
      <c r="D34" s="25" t="s">
        <v>18</v>
      </c>
      <c r="E34" s="25" t="s">
        <v>819</v>
      </c>
      <c r="F34" s="26">
        <v>150</v>
      </c>
      <c r="G34" s="61">
        <v>100</v>
      </c>
      <c r="H34" s="61">
        <v>-50</v>
      </c>
      <c r="I34" s="26">
        <v>100</v>
      </c>
      <c r="J34" s="21">
        <f t="shared" si="0"/>
        <v>-5000</v>
      </c>
      <c r="K34" s="7"/>
      <c r="V34" s="5">
        <f t="shared" si="2"/>
        <v>0</v>
      </c>
      <c r="W34" s="5">
        <f t="shared" si="3"/>
        <v>1</v>
      </c>
    </row>
    <row r="35" spans="1:23" x14ac:dyDescent="0.3">
      <c r="A35" s="6"/>
      <c r="B35" s="17">
        <v>30</v>
      </c>
      <c r="C35" s="24">
        <v>44978</v>
      </c>
      <c r="D35" s="25" t="s">
        <v>18</v>
      </c>
      <c r="E35" s="25" t="s">
        <v>730</v>
      </c>
      <c r="F35" s="26">
        <v>150</v>
      </c>
      <c r="G35" s="61">
        <v>100</v>
      </c>
      <c r="H35" s="61">
        <v>-50</v>
      </c>
      <c r="I35" s="26">
        <v>100</v>
      </c>
      <c r="J35" s="21">
        <f t="shared" si="0"/>
        <v>-5000</v>
      </c>
      <c r="K35" s="7"/>
      <c r="V35" s="5">
        <f t="shared" si="2"/>
        <v>0</v>
      </c>
      <c r="W35" s="5">
        <f t="shared" si="3"/>
        <v>1</v>
      </c>
    </row>
    <row r="36" spans="1:23" x14ac:dyDescent="0.3">
      <c r="A36" s="6"/>
      <c r="B36" s="88">
        <v>31</v>
      </c>
      <c r="C36" s="24">
        <v>44979</v>
      </c>
      <c r="D36" s="25" t="s">
        <v>18</v>
      </c>
      <c r="E36" s="25" t="s">
        <v>741</v>
      </c>
      <c r="F36" s="26">
        <v>140</v>
      </c>
      <c r="G36" s="61">
        <v>220</v>
      </c>
      <c r="H36" s="61">
        <f>220-140</f>
        <v>80</v>
      </c>
      <c r="I36" s="26">
        <v>100</v>
      </c>
      <c r="J36" s="21">
        <f t="shared" si="0"/>
        <v>8000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44979</v>
      </c>
      <c r="D37" s="25" t="s">
        <v>18</v>
      </c>
      <c r="E37" s="25" t="s">
        <v>724</v>
      </c>
      <c r="F37" s="26">
        <v>120</v>
      </c>
      <c r="G37" s="61">
        <v>220</v>
      </c>
      <c r="H37" s="61">
        <v>100</v>
      </c>
      <c r="I37" s="26">
        <v>100</v>
      </c>
      <c r="J37" s="21">
        <f t="shared" si="0"/>
        <v>10000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44980</v>
      </c>
      <c r="D38" s="25" t="s">
        <v>18</v>
      </c>
      <c r="E38" s="25" t="s">
        <v>822</v>
      </c>
      <c r="F38" s="26">
        <v>130</v>
      </c>
      <c r="G38" s="61">
        <v>140</v>
      </c>
      <c r="H38" s="61">
        <v>10</v>
      </c>
      <c r="I38" s="26">
        <v>100</v>
      </c>
      <c r="J38" s="21">
        <f t="shared" si="0"/>
        <v>1000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44980</v>
      </c>
      <c r="D39" s="25" t="s">
        <v>18</v>
      </c>
      <c r="E39" s="25" t="s">
        <v>823</v>
      </c>
      <c r="F39" s="26">
        <v>110</v>
      </c>
      <c r="G39" s="61">
        <v>175</v>
      </c>
      <c r="H39" s="61">
        <f>175-110</f>
        <v>65</v>
      </c>
      <c r="I39" s="26">
        <v>100</v>
      </c>
      <c r="J39" s="21">
        <f t="shared" si="0"/>
        <v>6500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44981</v>
      </c>
      <c r="D40" s="25" t="s">
        <v>18</v>
      </c>
      <c r="E40" s="25" t="s">
        <v>822</v>
      </c>
      <c r="F40" s="26">
        <v>150</v>
      </c>
      <c r="G40" s="61">
        <v>190</v>
      </c>
      <c r="H40" s="61">
        <f>190-150</f>
        <v>40</v>
      </c>
      <c r="I40" s="26">
        <v>100</v>
      </c>
      <c r="J40" s="21">
        <f t="shared" si="0"/>
        <v>4000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18">
        <v>44981</v>
      </c>
      <c r="D41" s="19" t="s">
        <v>18</v>
      </c>
      <c r="E41" s="19" t="s">
        <v>516</v>
      </c>
      <c r="F41" s="35">
        <v>150</v>
      </c>
      <c r="G41" s="35">
        <v>200</v>
      </c>
      <c r="H41" s="35">
        <v>50</v>
      </c>
      <c r="I41" s="26">
        <v>100</v>
      </c>
      <c r="J41" s="21">
        <f t="shared" si="0"/>
        <v>5000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18">
        <v>44984</v>
      </c>
      <c r="D42" s="19" t="s">
        <v>18</v>
      </c>
      <c r="E42" s="19" t="s">
        <v>824</v>
      </c>
      <c r="F42" s="35">
        <v>130</v>
      </c>
      <c r="G42" s="35">
        <v>80</v>
      </c>
      <c r="H42" s="35">
        <v>-50</v>
      </c>
      <c r="I42" s="26">
        <v>100</v>
      </c>
      <c r="J42" s="21">
        <f t="shared" si="0"/>
        <v>-5000</v>
      </c>
      <c r="K42" s="7"/>
      <c r="V42" s="5">
        <f t="shared" si="2"/>
        <v>0</v>
      </c>
      <c r="W42" s="5">
        <f t="shared" si="3"/>
        <v>1</v>
      </c>
    </row>
    <row r="43" spans="1:23" x14ac:dyDescent="0.3">
      <c r="A43" s="6"/>
      <c r="B43" s="17">
        <v>38</v>
      </c>
      <c r="C43" s="24">
        <v>44984</v>
      </c>
      <c r="D43" s="25" t="s">
        <v>18</v>
      </c>
      <c r="E43" s="25" t="s">
        <v>510</v>
      </c>
      <c r="F43" s="26">
        <v>230</v>
      </c>
      <c r="G43" s="61">
        <v>310</v>
      </c>
      <c r="H43" s="61">
        <f>310-230</f>
        <v>80</v>
      </c>
      <c r="I43" s="26">
        <v>100</v>
      </c>
      <c r="J43" s="21">
        <f t="shared" si="0"/>
        <v>8000</v>
      </c>
      <c r="K43" s="7"/>
      <c r="V43" s="5">
        <f t="shared" si="2"/>
        <v>1</v>
      </c>
      <c r="W43" s="5">
        <f t="shared" si="3"/>
        <v>0</v>
      </c>
    </row>
    <row r="44" spans="1:23" x14ac:dyDescent="0.3">
      <c r="A44" s="6"/>
      <c r="B44" s="17">
        <v>39</v>
      </c>
      <c r="C44" s="24">
        <v>44985</v>
      </c>
      <c r="D44" s="25" t="s">
        <v>18</v>
      </c>
      <c r="E44" s="25" t="s">
        <v>823</v>
      </c>
      <c r="F44" s="26">
        <v>150</v>
      </c>
      <c r="G44" s="61">
        <v>100</v>
      </c>
      <c r="H44" s="61">
        <v>-50</v>
      </c>
      <c r="I44" s="26">
        <v>100</v>
      </c>
      <c r="J44" s="21">
        <f t="shared" si="0"/>
        <v>-5000</v>
      </c>
      <c r="K44" s="7"/>
      <c r="V44" s="5">
        <f t="shared" si="2"/>
        <v>0</v>
      </c>
      <c r="W44" s="5">
        <f t="shared" si="3"/>
        <v>1</v>
      </c>
    </row>
    <row r="45" spans="1:23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x14ac:dyDescent="0.3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x14ac:dyDescent="0.3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x14ac:dyDescent="0.3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x14ac:dyDescent="0.3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157300</v>
      </c>
      <c r="K59" s="7"/>
      <c r="V59" s="5">
        <f>SUM(V6:V58)</f>
        <v>31</v>
      </c>
      <c r="W59" s="5">
        <f>SUM(W6:W58)</f>
        <v>8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818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44958</v>
      </c>
      <c r="D67" s="67" t="s">
        <v>69</v>
      </c>
      <c r="E67" s="67" t="s">
        <v>561</v>
      </c>
      <c r="F67" s="68">
        <v>2860</v>
      </c>
      <c r="G67" s="68">
        <v>2800</v>
      </c>
      <c r="H67" s="97">
        <v>60</v>
      </c>
      <c r="I67" s="68">
        <v>250</v>
      </c>
      <c r="J67" s="92">
        <f>H67*I67</f>
        <v>15000</v>
      </c>
      <c r="K67" s="7"/>
      <c r="V67" s="5">
        <f t="shared" ref="V67:V120" si="5">IF($J67&gt;0,1,0)</f>
        <v>1</v>
      </c>
      <c r="W67" s="5">
        <f t="shared" ref="W67:W120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44960</v>
      </c>
      <c r="D68" s="67" t="s">
        <v>18</v>
      </c>
      <c r="E68" s="67" t="s">
        <v>93</v>
      </c>
      <c r="F68" s="97">
        <v>1642</v>
      </c>
      <c r="G68" s="97">
        <v>1664</v>
      </c>
      <c r="H68" s="97">
        <f>1664-1642</f>
        <v>22</v>
      </c>
      <c r="I68" s="20">
        <v>550</v>
      </c>
      <c r="J68" s="21">
        <f>H68*I68</f>
        <v>12100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0" si="7">B68+1</f>
        <v>3</v>
      </c>
      <c r="C69" s="18">
        <v>44963</v>
      </c>
      <c r="D69" s="19" t="s">
        <v>69</v>
      </c>
      <c r="E69" s="19" t="s">
        <v>312</v>
      </c>
      <c r="F69" s="35">
        <v>1572</v>
      </c>
      <c r="G69" s="97">
        <v>1568</v>
      </c>
      <c r="H69" s="35">
        <f>1572-1568</f>
        <v>4</v>
      </c>
      <c r="I69" s="20">
        <v>400</v>
      </c>
      <c r="J69" s="21">
        <f>H69*I69</f>
        <v>1600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44963</v>
      </c>
      <c r="D70" s="19" t="s">
        <v>69</v>
      </c>
      <c r="E70" s="19" t="s">
        <v>75</v>
      </c>
      <c r="F70" s="35">
        <v>857</v>
      </c>
      <c r="G70" s="97">
        <v>854</v>
      </c>
      <c r="H70" s="35">
        <v>3</v>
      </c>
      <c r="I70" s="20">
        <v>250</v>
      </c>
      <c r="J70" s="21">
        <f>H70*I70</f>
        <v>750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44964</v>
      </c>
      <c r="D71" s="19" t="s">
        <v>69</v>
      </c>
      <c r="E71" s="19" t="s">
        <v>71</v>
      </c>
      <c r="F71" s="35">
        <v>2310</v>
      </c>
      <c r="G71" s="97">
        <v>2303</v>
      </c>
      <c r="H71" s="35">
        <v>7</v>
      </c>
      <c r="I71" s="20">
        <v>250</v>
      </c>
      <c r="J71" s="21">
        <f>H71*I71</f>
        <v>1750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44967</v>
      </c>
      <c r="D72" s="19" t="s">
        <v>69</v>
      </c>
      <c r="E72" s="19" t="s">
        <v>294</v>
      </c>
      <c r="F72" s="20">
        <v>1510</v>
      </c>
      <c r="G72" s="97">
        <v>1520</v>
      </c>
      <c r="H72" s="35">
        <v>-10</v>
      </c>
      <c r="I72" s="20">
        <v>275</v>
      </c>
      <c r="J72" s="21">
        <f t="shared" ref="J72:J120" si="8">I72*H72</f>
        <v>-2750</v>
      </c>
      <c r="K72" s="7"/>
      <c r="V72" s="5">
        <f t="shared" si="5"/>
        <v>0</v>
      </c>
      <c r="W72" s="5">
        <f t="shared" si="6"/>
        <v>1</v>
      </c>
    </row>
    <row r="73" spans="1:23" s="36" customFormat="1" x14ac:dyDescent="0.3">
      <c r="A73" s="6"/>
      <c r="B73" s="17">
        <f t="shared" si="7"/>
        <v>7</v>
      </c>
      <c r="C73" s="18">
        <v>44970</v>
      </c>
      <c r="D73" s="19" t="s">
        <v>69</v>
      </c>
      <c r="E73" s="19" t="s">
        <v>111</v>
      </c>
      <c r="F73" s="35">
        <v>540</v>
      </c>
      <c r="G73" s="97">
        <v>536</v>
      </c>
      <c r="H73" s="35">
        <v>4</v>
      </c>
      <c r="I73" s="20">
        <v>1500</v>
      </c>
      <c r="J73" s="21">
        <f t="shared" si="8"/>
        <v>6000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44970</v>
      </c>
      <c r="D74" s="19" t="s">
        <v>18</v>
      </c>
      <c r="E74" s="19" t="s">
        <v>545</v>
      </c>
      <c r="F74" s="35">
        <v>2450</v>
      </c>
      <c r="G74" s="97">
        <v>2470</v>
      </c>
      <c r="H74" s="35">
        <v>20</v>
      </c>
      <c r="I74" s="20">
        <v>300</v>
      </c>
      <c r="J74" s="21">
        <f t="shared" si="8"/>
        <v>6000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44971</v>
      </c>
      <c r="D75" s="19" t="s">
        <v>69</v>
      </c>
      <c r="E75" s="19" t="s">
        <v>631</v>
      </c>
      <c r="F75" s="35">
        <v>910</v>
      </c>
      <c r="G75" s="97">
        <v>905</v>
      </c>
      <c r="H75" s="35">
        <v>5</v>
      </c>
      <c r="I75" s="20">
        <v>700</v>
      </c>
      <c r="J75" s="21">
        <f t="shared" si="8"/>
        <v>3500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44972</v>
      </c>
      <c r="D76" s="19" t="s">
        <v>69</v>
      </c>
      <c r="E76" s="19" t="s">
        <v>70</v>
      </c>
      <c r="F76" s="35">
        <v>868</v>
      </c>
      <c r="G76" s="97">
        <v>865</v>
      </c>
      <c r="H76" s="35">
        <v>3</v>
      </c>
      <c r="I76" s="20">
        <v>1200</v>
      </c>
      <c r="J76" s="21">
        <f t="shared" si="8"/>
        <v>3600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>
        <v>44973</v>
      </c>
      <c r="D77" s="19" t="s">
        <v>18</v>
      </c>
      <c r="E77" s="19" t="s">
        <v>500</v>
      </c>
      <c r="F77" s="19">
        <v>512</v>
      </c>
      <c r="G77" s="97">
        <v>512</v>
      </c>
      <c r="H77" s="35">
        <v>0</v>
      </c>
      <c r="I77" s="20">
        <v>1500</v>
      </c>
      <c r="J77" s="21">
        <f t="shared" si="8"/>
        <v>0</v>
      </c>
      <c r="K77" s="7"/>
      <c r="V77" s="5">
        <f t="shared" si="5"/>
        <v>0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>
        <v>44974</v>
      </c>
      <c r="D78" s="19" t="s">
        <v>69</v>
      </c>
      <c r="E78" s="19" t="s">
        <v>70</v>
      </c>
      <c r="F78" s="35">
        <v>860</v>
      </c>
      <c r="G78" s="97">
        <v>852</v>
      </c>
      <c r="H78" s="35">
        <f>860-852</f>
        <v>8</v>
      </c>
      <c r="I78" s="20">
        <v>1200</v>
      </c>
      <c r="J78" s="21">
        <f t="shared" si="8"/>
        <v>9600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44977</v>
      </c>
      <c r="D79" s="19" t="s">
        <v>18</v>
      </c>
      <c r="E79" s="19" t="s">
        <v>75</v>
      </c>
      <c r="F79" s="77">
        <v>865</v>
      </c>
      <c r="G79" s="97">
        <v>858</v>
      </c>
      <c r="H79" s="78">
        <v>-7</v>
      </c>
      <c r="I79" s="20">
        <v>700</v>
      </c>
      <c r="J79" s="21">
        <f t="shared" si="8"/>
        <v>-4900</v>
      </c>
      <c r="K79" s="7"/>
      <c r="V79" s="5">
        <f t="shared" si="5"/>
        <v>0</v>
      </c>
      <c r="W79" s="5">
        <f t="shared" si="6"/>
        <v>1</v>
      </c>
    </row>
    <row r="80" spans="1:23" s="36" customFormat="1" x14ac:dyDescent="0.3">
      <c r="A80" s="6"/>
      <c r="B80" s="17">
        <f t="shared" si="7"/>
        <v>14</v>
      </c>
      <c r="C80" s="18">
        <v>44977</v>
      </c>
      <c r="D80" s="19" t="s">
        <v>69</v>
      </c>
      <c r="E80" s="19" t="s">
        <v>70</v>
      </c>
      <c r="F80" s="35">
        <v>845</v>
      </c>
      <c r="G80" s="97">
        <v>845</v>
      </c>
      <c r="H80" s="78">
        <v>0</v>
      </c>
      <c r="I80" s="20">
        <v>1200</v>
      </c>
      <c r="J80" s="21">
        <f t="shared" si="8"/>
        <v>0</v>
      </c>
      <c r="K80" s="7"/>
      <c r="V80" s="5">
        <f t="shared" si="5"/>
        <v>0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>
        <v>44979</v>
      </c>
      <c r="D81" s="19" t="s">
        <v>69</v>
      </c>
      <c r="E81" s="19" t="s">
        <v>75</v>
      </c>
      <c r="F81" s="35">
        <v>850</v>
      </c>
      <c r="G81" s="97">
        <v>841</v>
      </c>
      <c r="H81" s="78">
        <f>850-841</f>
        <v>9</v>
      </c>
      <c r="I81" s="20">
        <v>700</v>
      </c>
      <c r="J81" s="21">
        <f t="shared" si="8"/>
        <v>6300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>
        <v>44981</v>
      </c>
      <c r="D82" s="19" t="s">
        <v>69</v>
      </c>
      <c r="E82" s="19" t="s">
        <v>80</v>
      </c>
      <c r="F82" s="35">
        <v>2160</v>
      </c>
      <c r="G82" s="97">
        <v>2130</v>
      </c>
      <c r="H82" s="35">
        <v>30</v>
      </c>
      <c r="I82" s="20">
        <v>300</v>
      </c>
      <c r="J82" s="21">
        <f t="shared" si="8"/>
        <v>9000</v>
      </c>
      <c r="K82" s="7"/>
      <c r="V82" s="5">
        <f t="shared" si="5"/>
        <v>1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>
        <v>44981</v>
      </c>
      <c r="D83" s="19" t="s">
        <v>18</v>
      </c>
      <c r="E83" s="19" t="s">
        <v>118</v>
      </c>
      <c r="F83" s="35">
        <v>440</v>
      </c>
      <c r="G83" s="97">
        <v>443.95</v>
      </c>
      <c r="H83" s="35">
        <v>3.95</v>
      </c>
      <c r="I83" s="20">
        <v>1375</v>
      </c>
      <c r="J83" s="21">
        <f t="shared" si="8"/>
        <v>5431.25</v>
      </c>
      <c r="K83" s="7"/>
      <c r="V83" s="5">
        <f t="shared" si="5"/>
        <v>1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>
        <v>44985</v>
      </c>
      <c r="D84" s="19" t="s">
        <v>18</v>
      </c>
      <c r="E84" s="19" t="s">
        <v>544</v>
      </c>
      <c r="F84" s="35">
        <v>1415</v>
      </c>
      <c r="G84" s="97">
        <v>1420</v>
      </c>
      <c r="H84" s="35">
        <v>5</v>
      </c>
      <c r="I84" s="20">
        <v>400</v>
      </c>
      <c r="J84" s="21">
        <f t="shared" si="8"/>
        <v>2000</v>
      </c>
      <c r="K84" s="7"/>
      <c r="V84" s="5">
        <f t="shared" si="5"/>
        <v>1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/>
      <c r="D85" s="19"/>
      <c r="E85" s="19"/>
      <c r="F85" s="35"/>
      <c r="G85" s="97"/>
      <c r="H85" s="35"/>
      <c r="I85" s="20"/>
      <c r="J85" s="21">
        <f t="shared" si="8"/>
        <v>0</v>
      </c>
      <c r="K85" s="7"/>
      <c r="V85" s="5">
        <f t="shared" si="5"/>
        <v>0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/>
      <c r="D86" s="19"/>
      <c r="E86" s="19"/>
      <c r="F86" s="35"/>
      <c r="G86" s="97"/>
      <c r="H86" s="35"/>
      <c r="I86" s="20"/>
      <c r="J86" s="21">
        <f t="shared" si="8"/>
        <v>0</v>
      </c>
      <c r="K86" s="7"/>
      <c r="V86" s="5">
        <f t="shared" si="5"/>
        <v>0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/>
      <c r="D87" s="19"/>
      <c r="E87" s="19"/>
      <c r="F87" s="35"/>
      <c r="G87" s="97"/>
      <c r="H87" s="35"/>
      <c r="I87" s="20"/>
      <c r="J87" s="21">
        <f t="shared" si="8"/>
        <v>0</v>
      </c>
      <c r="K87" s="7"/>
      <c r="V87" s="5">
        <f t="shared" si="5"/>
        <v>0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/>
      <c r="D88" s="19"/>
      <c r="E88" s="19"/>
      <c r="F88" s="77"/>
      <c r="G88" s="97"/>
      <c r="H88" s="78"/>
      <c r="I88" s="20"/>
      <c r="J88" s="21">
        <f t="shared" si="8"/>
        <v>0</v>
      </c>
      <c r="K88" s="7"/>
      <c r="V88" s="5">
        <f t="shared" si="5"/>
        <v>0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/>
      <c r="D89" s="19"/>
      <c r="E89" s="19"/>
      <c r="F89" s="35"/>
      <c r="G89" s="97"/>
      <c r="H89" s="78"/>
      <c r="I89" s="20"/>
      <c r="J89" s="21">
        <f t="shared" si="8"/>
        <v>0</v>
      </c>
      <c r="K89" s="7"/>
      <c r="V89" s="5">
        <f t="shared" si="5"/>
        <v>0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/>
      <c r="D90" s="19"/>
      <c r="E90" s="19"/>
      <c r="F90" s="35"/>
      <c r="G90" s="97"/>
      <c r="H90" s="78"/>
      <c r="I90" s="20"/>
      <c r="J90" s="21">
        <f t="shared" si="8"/>
        <v>0</v>
      </c>
      <c r="K90" s="7"/>
      <c r="V90" s="5">
        <f t="shared" si="5"/>
        <v>0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/>
      <c r="D91" s="19"/>
      <c r="E91" s="19"/>
      <c r="F91" s="35"/>
      <c r="G91" s="97"/>
      <c r="H91" s="35"/>
      <c r="I91" s="20"/>
      <c r="J91" s="21">
        <f t="shared" si="8"/>
        <v>0</v>
      </c>
      <c r="K91" s="7"/>
      <c r="V91" s="5">
        <f t="shared" si="5"/>
        <v>0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/>
      <c r="D92" s="19"/>
      <c r="E92" s="19"/>
      <c r="F92" s="35"/>
      <c r="G92" s="97"/>
      <c r="H92" s="35"/>
      <c r="I92" s="20"/>
      <c r="J92" s="21">
        <f t="shared" si="8"/>
        <v>0</v>
      </c>
      <c r="K92" s="7"/>
      <c r="V92" s="5">
        <f t="shared" si="5"/>
        <v>0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/>
      <c r="D93" s="19"/>
      <c r="E93" s="19"/>
      <c r="F93" s="35"/>
      <c r="G93" s="97"/>
      <c r="H93" s="35"/>
      <c r="I93" s="20"/>
      <c r="J93" s="21">
        <f t="shared" si="8"/>
        <v>0</v>
      </c>
      <c r="K93" s="7"/>
      <c r="V93" s="5">
        <f t="shared" si="5"/>
        <v>0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/>
      <c r="D94" s="19"/>
      <c r="E94" s="19"/>
      <c r="F94" s="35"/>
      <c r="G94" s="97"/>
      <c r="H94" s="35"/>
      <c r="I94" s="20"/>
      <c r="J94" s="21">
        <f t="shared" si="8"/>
        <v>0</v>
      </c>
      <c r="K94" s="7"/>
      <c r="V94" s="5">
        <f t="shared" si="5"/>
        <v>0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/>
      <c r="D95" s="19"/>
      <c r="E95" s="19"/>
      <c r="F95" s="35"/>
      <c r="G95" s="97"/>
      <c r="H95" s="35"/>
      <c r="I95" s="20"/>
      <c r="J95" s="21">
        <f t="shared" si="8"/>
        <v>0</v>
      </c>
      <c r="K95" s="7"/>
      <c r="V95" s="5">
        <f t="shared" si="5"/>
        <v>0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/>
      <c r="D96" s="19"/>
      <c r="E96" s="19"/>
      <c r="F96" s="35"/>
      <c r="G96" s="97"/>
      <c r="H96" s="35"/>
      <c r="I96" s="20"/>
      <c r="J96" s="21">
        <f t="shared" si="8"/>
        <v>0</v>
      </c>
      <c r="K96" s="7"/>
      <c r="V96" s="5">
        <f t="shared" si="5"/>
        <v>0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/>
      <c r="D97" s="19"/>
      <c r="E97" s="19"/>
      <c r="F97" s="35"/>
      <c r="G97" s="97"/>
      <c r="H97" s="35"/>
      <c r="I97" s="20"/>
      <c r="J97" s="21">
        <f t="shared" si="8"/>
        <v>0</v>
      </c>
      <c r="K97" s="7"/>
      <c r="V97" s="5">
        <f t="shared" si="5"/>
        <v>0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/>
      <c r="D98" s="19"/>
      <c r="E98" s="19"/>
      <c r="F98" s="35"/>
      <c r="G98" s="97"/>
      <c r="H98" s="35"/>
      <c r="I98" s="20"/>
      <c r="J98" s="21">
        <f t="shared" si="8"/>
        <v>0</v>
      </c>
      <c r="K98" s="7"/>
      <c r="V98" s="5">
        <f t="shared" si="5"/>
        <v>0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/>
      <c r="D99" s="19"/>
      <c r="E99" s="19"/>
      <c r="F99" s="35"/>
      <c r="G99" s="97"/>
      <c r="H99" s="35"/>
      <c r="I99" s="20"/>
      <c r="J99" s="21">
        <f t="shared" si="8"/>
        <v>0</v>
      </c>
      <c r="K99" s="7"/>
      <c r="V99" s="5">
        <f t="shared" si="5"/>
        <v>0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x14ac:dyDescent="0.3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x14ac:dyDescent="0.3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x14ac:dyDescent="0.3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x14ac:dyDescent="0.3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x14ac:dyDescent="0.3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x14ac:dyDescent="0.3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x14ac:dyDescent="0.3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x14ac:dyDescent="0.3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x14ac:dyDescent="0.3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x14ac:dyDescent="0.3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x14ac:dyDescent="0.3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24" thickBot="1" x14ac:dyDescent="0.5">
      <c r="A121" s="6"/>
      <c r="B121" s="144" t="s">
        <v>22</v>
      </c>
      <c r="C121" s="145"/>
      <c r="D121" s="145"/>
      <c r="E121" s="145"/>
      <c r="F121" s="145"/>
      <c r="G121" s="145"/>
      <c r="H121" s="146"/>
      <c r="I121" s="83" t="s">
        <v>23</v>
      </c>
      <c r="J121" s="84">
        <f>SUM(J67:J120)</f>
        <v>74981.25</v>
      </c>
      <c r="K121" s="7"/>
      <c r="L121" s="5"/>
      <c r="M121" s="5"/>
      <c r="N121" s="5"/>
      <c r="O121" s="5"/>
      <c r="P121" s="5"/>
      <c r="Q121" s="5"/>
      <c r="R121" s="5"/>
      <c r="V121" s="36">
        <f>SUM(V67:V120)</f>
        <v>14</v>
      </c>
      <c r="W121" s="36">
        <f>SUM(W67:W120)</f>
        <v>2</v>
      </c>
    </row>
    <row r="122" spans="1:23" s="36" customFormat="1" ht="30" customHeight="1" thickBot="1" x14ac:dyDescent="0.35">
      <c r="A122" s="30"/>
      <c r="B122" s="31"/>
      <c r="C122" s="31"/>
      <c r="D122" s="31"/>
      <c r="E122" s="31"/>
      <c r="F122" s="31"/>
      <c r="G122" s="31"/>
      <c r="H122" s="32"/>
      <c r="I122" s="31"/>
      <c r="J122" s="32"/>
      <c r="K122" s="33"/>
      <c r="L122" s="5"/>
      <c r="M122" s="5"/>
      <c r="N122" s="5"/>
      <c r="O122" s="5"/>
      <c r="P122" s="5"/>
      <c r="Q122" s="5"/>
      <c r="R122" s="5"/>
    </row>
    <row r="123" spans="1:23" ht="15" thickBot="1" x14ac:dyDescent="0.35"/>
    <row r="124" spans="1:23" s="36" customFormat="1" ht="30" customHeight="1" thickBot="1" x14ac:dyDescent="0.35">
      <c r="A124" s="1"/>
      <c r="B124" s="2"/>
      <c r="C124" s="2"/>
      <c r="D124" s="2"/>
      <c r="E124" s="2"/>
      <c r="F124" s="2"/>
      <c r="G124" s="2"/>
      <c r="H124" s="3"/>
      <c r="I124" s="2"/>
      <c r="J124" s="3"/>
      <c r="K124" s="4"/>
    </row>
    <row r="125" spans="1:23" s="36" customFormat="1" ht="25.2" thickBot="1" x14ac:dyDescent="0.35">
      <c r="A125" s="6" t="s">
        <v>1</v>
      </c>
      <c r="B125" s="119" t="s">
        <v>2</v>
      </c>
      <c r="C125" s="120"/>
      <c r="D125" s="120"/>
      <c r="E125" s="120"/>
      <c r="F125" s="120"/>
      <c r="G125" s="120"/>
      <c r="H125" s="120"/>
      <c r="I125" s="120"/>
      <c r="J125" s="121"/>
      <c r="K125" s="7"/>
    </row>
    <row r="126" spans="1:23" s="36" customFormat="1" ht="16.2" thickBot="1" x14ac:dyDescent="0.35">
      <c r="A126" s="6"/>
      <c r="B126" s="216">
        <v>44958</v>
      </c>
      <c r="C126" s="169"/>
      <c r="D126" s="169"/>
      <c r="E126" s="169"/>
      <c r="F126" s="169"/>
      <c r="G126" s="169"/>
      <c r="H126" s="169"/>
      <c r="I126" s="169"/>
      <c r="J126" s="170"/>
      <c r="K126" s="7"/>
      <c r="L126" s="22"/>
    </row>
    <row r="127" spans="1:23" s="36" customFormat="1" ht="16.2" thickBot="1" x14ac:dyDescent="0.35">
      <c r="A127" s="6"/>
      <c r="B127" s="106" t="s">
        <v>699</v>
      </c>
      <c r="C127" s="107"/>
      <c r="D127" s="107"/>
      <c r="E127" s="107"/>
      <c r="F127" s="107"/>
      <c r="G127" s="107"/>
      <c r="H127" s="107"/>
      <c r="I127" s="107"/>
      <c r="J127" s="108"/>
      <c r="K127" s="7"/>
    </row>
    <row r="128" spans="1:23" s="22" customFormat="1" ht="15" thickBot="1" x14ac:dyDescent="0.35">
      <c r="A128" s="69"/>
      <c r="B128" s="70" t="s">
        <v>9</v>
      </c>
      <c r="C128" s="71" t="s">
        <v>10</v>
      </c>
      <c r="D128" s="72" t="s">
        <v>11</v>
      </c>
      <c r="E128" s="72" t="s">
        <v>12</v>
      </c>
      <c r="F128" s="73" t="s">
        <v>65</v>
      </c>
      <c r="G128" s="73" t="s">
        <v>66</v>
      </c>
      <c r="H128" s="74" t="s">
        <v>67</v>
      </c>
      <c r="I128" s="73" t="s">
        <v>68</v>
      </c>
      <c r="J128" s="75" t="s">
        <v>17</v>
      </c>
      <c r="K128" s="76"/>
      <c r="L128" s="36"/>
      <c r="M128" s="36"/>
      <c r="N128" s="36"/>
      <c r="O128" s="36" t="s">
        <v>21</v>
      </c>
      <c r="P128" s="36"/>
      <c r="Q128" s="36"/>
      <c r="R128" s="36"/>
      <c r="V128" s="5" t="s">
        <v>5</v>
      </c>
      <c r="W128" s="5" t="s">
        <v>6</v>
      </c>
    </row>
    <row r="129" spans="1:23" s="36" customFormat="1" x14ac:dyDescent="0.3">
      <c r="A129" s="6"/>
      <c r="B129" s="14">
        <v>1</v>
      </c>
      <c r="C129" s="93">
        <v>44958</v>
      </c>
      <c r="D129" s="94" t="s">
        <v>18</v>
      </c>
      <c r="E129" s="94" t="s">
        <v>483</v>
      </c>
      <c r="F129" s="60">
        <v>140</v>
      </c>
      <c r="G129" s="60">
        <v>120</v>
      </c>
      <c r="H129" s="60">
        <v>-20</v>
      </c>
      <c r="I129" s="15">
        <v>300</v>
      </c>
      <c r="J129" s="16">
        <f t="shared" ref="J129:J174" si="9">I129*H129</f>
        <v>-6000</v>
      </c>
      <c r="K129" s="7"/>
      <c r="V129" s="5">
        <f t="shared" ref="V129:V174" si="10">IF($J129&gt;0,1,0)</f>
        <v>0</v>
      </c>
      <c r="W129" s="5">
        <f t="shared" ref="W129:W174" si="11">IF($J129&lt;0,1,0)</f>
        <v>1</v>
      </c>
    </row>
    <row r="130" spans="1:23" s="36" customFormat="1" x14ac:dyDescent="0.3">
      <c r="A130" s="6"/>
      <c r="B130" s="17">
        <f>B129+1</f>
        <v>2</v>
      </c>
      <c r="C130" s="18">
        <v>44958</v>
      </c>
      <c r="D130" s="19" t="s">
        <v>18</v>
      </c>
      <c r="E130" s="19" t="s">
        <v>567</v>
      </c>
      <c r="F130" s="35">
        <v>130</v>
      </c>
      <c r="G130" s="35">
        <v>136</v>
      </c>
      <c r="H130" s="35">
        <v>6</v>
      </c>
      <c r="I130" s="20">
        <v>300</v>
      </c>
      <c r="J130" s="21">
        <f t="shared" si="9"/>
        <v>1800</v>
      </c>
      <c r="K130" s="7"/>
      <c r="L130" s="36" t="s">
        <v>21</v>
      </c>
      <c r="V130" s="5">
        <f t="shared" si="10"/>
        <v>1</v>
      </c>
      <c r="W130" s="5">
        <f t="shared" si="11"/>
        <v>0</v>
      </c>
    </row>
    <row r="131" spans="1:23" s="36" customFormat="1" x14ac:dyDescent="0.3">
      <c r="A131" s="6"/>
      <c r="B131" s="17">
        <f t="shared" ref="B131:B151" si="12">B130+1</f>
        <v>3</v>
      </c>
      <c r="C131" s="18">
        <v>44959</v>
      </c>
      <c r="D131" s="19" t="s">
        <v>18</v>
      </c>
      <c r="E131" s="19" t="s">
        <v>476</v>
      </c>
      <c r="F131" s="35">
        <v>120</v>
      </c>
      <c r="G131" s="35">
        <v>155</v>
      </c>
      <c r="H131" s="35">
        <f>155-120</f>
        <v>35</v>
      </c>
      <c r="I131" s="20">
        <v>300</v>
      </c>
      <c r="J131" s="21">
        <f t="shared" si="9"/>
        <v>10500</v>
      </c>
      <c r="K131" s="7"/>
      <c r="V131" s="5">
        <f t="shared" si="10"/>
        <v>1</v>
      </c>
      <c r="W131" s="5">
        <f t="shared" si="11"/>
        <v>0</v>
      </c>
    </row>
    <row r="132" spans="1:23" s="36" customFormat="1" x14ac:dyDescent="0.3">
      <c r="A132" s="6"/>
      <c r="B132" s="17">
        <f t="shared" si="12"/>
        <v>4</v>
      </c>
      <c r="C132" s="18">
        <v>44959</v>
      </c>
      <c r="D132" s="19" t="s">
        <v>18</v>
      </c>
      <c r="E132" s="19" t="s">
        <v>486</v>
      </c>
      <c r="F132" s="35">
        <v>95</v>
      </c>
      <c r="G132" s="35">
        <v>130</v>
      </c>
      <c r="H132" s="35">
        <f>130-95</f>
        <v>35</v>
      </c>
      <c r="I132" s="20">
        <v>300</v>
      </c>
      <c r="J132" s="21">
        <f t="shared" ref="J132:J137" si="13">I131*H131</f>
        <v>10500</v>
      </c>
      <c r="K132" s="7"/>
      <c r="V132" s="5">
        <f t="shared" si="10"/>
        <v>1</v>
      </c>
      <c r="W132" s="5">
        <f t="shared" si="11"/>
        <v>0</v>
      </c>
    </row>
    <row r="133" spans="1:23" s="36" customFormat="1" x14ac:dyDescent="0.3">
      <c r="A133" s="6"/>
      <c r="B133" s="17">
        <f t="shared" si="12"/>
        <v>5</v>
      </c>
      <c r="C133" s="18">
        <v>44960</v>
      </c>
      <c r="D133" s="19" t="s">
        <v>18</v>
      </c>
      <c r="E133" s="19" t="s">
        <v>478</v>
      </c>
      <c r="F133" s="20">
        <v>105</v>
      </c>
      <c r="G133" s="35">
        <v>140</v>
      </c>
      <c r="H133" s="35">
        <f>140-105</f>
        <v>35</v>
      </c>
      <c r="I133" s="20">
        <v>300</v>
      </c>
      <c r="J133" s="21">
        <f t="shared" si="13"/>
        <v>10500</v>
      </c>
      <c r="K133" s="7"/>
      <c r="V133" s="5">
        <f t="shared" si="10"/>
        <v>1</v>
      </c>
      <c r="W133" s="5">
        <f t="shared" si="11"/>
        <v>0</v>
      </c>
    </row>
    <row r="134" spans="1:23" s="36" customFormat="1" x14ac:dyDescent="0.3">
      <c r="A134" s="6"/>
      <c r="B134" s="17">
        <f t="shared" si="12"/>
        <v>6</v>
      </c>
      <c r="C134" s="18">
        <v>44960</v>
      </c>
      <c r="D134" s="19" t="s">
        <v>18</v>
      </c>
      <c r="E134" s="19" t="s">
        <v>478</v>
      </c>
      <c r="F134" s="35">
        <v>125</v>
      </c>
      <c r="G134" s="35">
        <v>135</v>
      </c>
      <c r="H134" s="35">
        <v>10</v>
      </c>
      <c r="I134" s="20">
        <v>100</v>
      </c>
      <c r="J134" s="21">
        <f t="shared" si="13"/>
        <v>10500</v>
      </c>
      <c r="K134" s="7"/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si="12"/>
        <v>7</v>
      </c>
      <c r="C135" s="18">
        <v>44963</v>
      </c>
      <c r="D135" s="19" t="s">
        <v>18</v>
      </c>
      <c r="E135" s="19" t="s">
        <v>477</v>
      </c>
      <c r="F135" s="35">
        <v>95</v>
      </c>
      <c r="G135" s="35">
        <v>75</v>
      </c>
      <c r="H135" s="35">
        <v>-20</v>
      </c>
      <c r="I135" s="20">
        <v>100</v>
      </c>
      <c r="J135" s="21">
        <f t="shared" si="13"/>
        <v>1000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8</v>
      </c>
      <c r="C136" s="18">
        <v>44963</v>
      </c>
      <c r="D136" s="19" t="s">
        <v>18</v>
      </c>
      <c r="E136" s="19" t="s">
        <v>524</v>
      </c>
      <c r="F136" s="35">
        <v>115</v>
      </c>
      <c r="G136" s="35">
        <v>125</v>
      </c>
      <c r="H136" s="35">
        <v>10</v>
      </c>
      <c r="I136" s="99">
        <v>100</v>
      </c>
      <c r="J136" s="21">
        <f t="shared" si="13"/>
        <v>-2000</v>
      </c>
      <c r="K136" s="7"/>
      <c r="V136" s="5">
        <f t="shared" si="10"/>
        <v>0</v>
      </c>
      <c r="W136" s="5">
        <f t="shared" si="11"/>
        <v>1</v>
      </c>
    </row>
    <row r="137" spans="1:23" s="36" customFormat="1" x14ac:dyDescent="0.3">
      <c r="A137" s="6"/>
      <c r="B137" s="17">
        <f t="shared" si="12"/>
        <v>9</v>
      </c>
      <c r="C137" s="18">
        <v>44964</v>
      </c>
      <c r="D137" s="19" t="s">
        <v>18</v>
      </c>
      <c r="E137" s="19" t="s">
        <v>485</v>
      </c>
      <c r="F137" s="35">
        <v>110</v>
      </c>
      <c r="G137" s="35">
        <v>145</v>
      </c>
      <c r="H137" s="35">
        <f>145-110</f>
        <v>35</v>
      </c>
      <c r="I137" s="100">
        <v>100</v>
      </c>
      <c r="J137" s="21">
        <f t="shared" si="13"/>
        <v>1000</v>
      </c>
      <c r="K137" s="7"/>
      <c r="V137" s="5">
        <f t="shared" si="10"/>
        <v>1</v>
      </c>
      <c r="W137" s="5">
        <f t="shared" si="11"/>
        <v>0</v>
      </c>
    </row>
    <row r="138" spans="1:23" s="36" customFormat="1" x14ac:dyDescent="0.3">
      <c r="A138" s="6"/>
      <c r="B138" s="17">
        <f t="shared" si="12"/>
        <v>10</v>
      </c>
      <c r="C138" s="18">
        <v>44964</v>
      </c>
      <c r="D138" s="19" t="s">
        <v>18</v>
      </c>
      <c r="E138" s="19" t="s">
        <v>669</v>
      </c>
      <c r="F138" s="35">
        <v>135</v>
      </c>
      <c r="G138" s="35">
        <v>170</v>
      </c>
      <c r="H138" s="35">
        <f>170-135</f>
        <v>35</v>
      </c>
      <c r="I138" s="20">
        <v>100</v>
      </c>
      <c r="J138" s="21">
        <f t="shared" si="9"/>
        <v>3500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11</v>
      </c>
      <c r="C139" s="18">
        <v>44965</v>
      </c>
      <c r="D139" s="19" t="s">
        <v>18</v>
      </c>
      <c r="E139" s="19" t="s">
        <v>569</v>
      </c>
      <c r="F139" s="19">
        <v>110</v>
      </c>
      <c r="G139" s="35">
        <v>90</v>
      </c>
      <c r="H139" s="35">
        <v>-10</v>
      </c>
      <c r="I139" s="20">
        <v>100</v>
      </c>
      <c r="J139" s="21">
        <f t="shared" si="9"/>
        <v>-1000</v>
      </c>
      <c r="K139" s="7"/>
      <c r="V139" s="5">
        <f t="shared" si="10"/>
        <v>0</v>
      </c>
      <c r="W139" s="5">
        <f t="shared" si="11"/>
        <v>1</v>
      </c>
    </row>
    <row r="140" spans="1:23" s="36" customFormat="1" x14ac:dyDescent="0.3">
      <c r="A140" s="6"/>
      <c r="B140" s="17">
        <f t="shared" si="12"/>
        <v>12</v>
      </c>
      <c r="C140" s="18">
        <v>44965</v>
      </c>
      <c r="D140" s="19" t="s">
        <v>18</v>
      </c>
      <c r="E140" s="19" t="s">
        <v>569</v>
      </c>
      <c r="F140" s="35">
        <v>100</v>
      </c>
      <c r="G140" s="35">
        <v>80</v>
      </c>
      <c r="H140" s="35">
        <v>-20</v>
      </c>
      <c r="I140" s="20">
        <v>100</v>
      </c>
      <c r="J140" s="21">
        <f t="shared" si="9"/>
        <v>-2000</v>
      </c>
      <c r="K140" s="7"/>
      <c r="V140" s="5">
        <f t="shared" si="10"/>
        <v>0</v>
      </c>
      <c r="W140" s="5">
        <f t="shared" si="11"/>
        <v>1</v>
      </c>
    </row>
    <row r="141" spans="1:23" s="36" customFormat="1" x14ac:dyDescent="0.3">
      <c r="A141" s="6"/>
      <c r="B141" s="17">
        <f t="shared" si="12"/>
        <v>13</v>
      </c>
      <c r="C141" s="18">
        <v>44965</v>
      </c>
      <c r="D141" s="19" t="s">
        <v>18</v>
      </c>
      <c r="E141" s="19" t="s">
        <v>568</v>
      </c>
      <c r="F141" s="35">
        <v>120</v>
      </c>
      <c r="G141" s="35">
        <v>105</v>
      </c>
      <c r="H141" s="35">
        <f>120-105</f>
        <v>15</v>
      </c>
      <c r="I141" s="20">
        <v>100</v>
      </c>
      <c r="J141" s="21">
        <f t="shared" si="9"/>
        <v>1500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14</v>
      </c>
      <c r="C142" s="18">
        <v>44966</v>
      </c>
      <c r="D142" s="19" t="s">
        <v>18</v>
      </c>
      <c r="E142" s="19" t="s">
        <v>569</v>
      </c>
      <c r="F142" s="77">
        <v>100</v>
      </c>
      <c r="G142" s="35">
        <v>129</v>
      </c>
      <c r="H142" s="78">
        <v>29</v>
      </c>
      <c r="I142" s="20">
        <v>100</v>
      </c>
      <c r="J142" s="21">
        <f t="shared" si="9"/>
        <v>2900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15</v>
      </c>
      <c r="C143" s="18">
        <v>44966</v>
      </c>
      <c r="D143" s="19" t="s">
        <v>18</v>
      </c>
      <c r="E143" s="19" t="s">
        <v>568</v>
      </c>
      <c r="F143" s="35">
        <v>90</v>
      </c>
      <c r="G143" s="35">
        <v>125</v>
      </c>
      <c r="H143" s="78">
        <f>125-90</f>
        <v>35</v>
      </c>
      <c r="I143" s="20">
        <v>100</v>
      </c>
      <c r="J143" s="21">
        <f t="shared" si="9"/>
        <v>3500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16</v>
      </c>
      <c r="C144" s="18">
        <v>44967</v>
      </c>
      <c r="D144" s="19" t="s">
        <v>18</v>
      </c>
      <c r="E144" s="19" t="s">
        <v>669</v>
      </c>
      <c r="F144" s="35">
        <v>110</v>
      </c>
      <c r="G144" s="35">
        <v>125</v>
      </c>
      <c r="H144" s="78">
        <f>125-110</f>
        <v>15</v>
      </c>
      <c r="I144" s="20">
        <v>100</v>
      </c>
      <c r="J144" s="21">
        <f t="shared" si="9"/>
        <v>1500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17</v>
      </c>
      <c r="C145" s="18">
        <v>44967</v>
      </c>
      <c r="D145" s="19" t="s">
        <v>18</v>
      </c>
      <c r="E145" s="19" t="s">
        <v>669</v>
      </c>
      <c r="F145" s="35">
        <v>110</v>
      </c>
      <c r="G145" s="35">
        <v>90</v>
      </c>
      <c r="H145" s="78">
        <v>-25</v>
      </c>
      <c r="I145" s="20">
        <v>100</v>
      </c>
      <c r="J145" s="21">
        <f t="shared" si="9"/>
        <v>-2500</v>
      </c>
      <c r="K145" s="7"/>
      <c r="V145" s="5">
        <f t="shared" si="10"/>
        <v>0</v>
      </c>
      <c r="W145" s="5">
        <f t="shared" si="11"/>
        <v>1</v>
      </c>
    </row>
    <row r="146" spans="1:23" s="36" customFormat="1" x14ac:dyDescent="0.3">
      <c r="A146" s="6"/>
      <c r="B146" s="17">
        <f t="shared" si="12"/>
        <v>18</v>
      </c>
      <c r="C146" s="18">
        <v>44970</v>
      </c>
      <c r="D146" s="19" t="s">
        <v>18</v>
      </c>
      <c r="E146" s="19" t="s">
        <v>485</v>
      </c>
      <c r="F146" s="35">
        <v>95</v>
      </c>
      <c r="G146" s="35">
        <v>75</v>
      </c>
      <c r="H146" s="78">
        <v>-20</v>
      </c>
      <c r="I146" s="20">
        <v>100</v>
      </c>
      <c r="J146" s="21">
        <f t="shared" si="9"/>
        <v>-2000</v>
      </c>
      <c r="K146" s="7"/>
      <c r="V146" s="5">
        <f t="shared" si="10"/>
        <v>0</v>
      </c>
      <c r="W146" s="5">
        <f t="shared" si="11"/>
        <v>1</v>
      </c>
    </row>
    <row r="147" spans="1:23" s="36" customFormat="1" x14ac:dyDescent="0.3">
      <c r="A147" s="6"/>
      <c r="B147" s="17">
        <f t="shared" si="12"/>
        <v>19</v>
      </c>
      <c r="C147" s="18">
        <v>44970</v>
      </c>
      <c r="D147" s="19" t="s">
        <v>18</v>
      </c>
      <c r="E147" s="19" t="s">
        <v>669</v>
      </c>
      <c r="F147" s="35">
        <v>100</v>
      </c>
      <c r="G147" s="35">
        <v>135</v>
      </c>
      <c r="H147" s="78">
        <v>35</v>
      </c>
      <c r="I147" s="20">
        <v>100</v>
      </c>
      <c r="J147" s="21">
        <f t="shared" si="9"/>
        <v>3500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20</v>
      </c>
      <c r="C148" s="18">
        <v>44970</v>
      </c>
      <c r="D148" s="19" t="s">
        <v>18</v>
      </c>
      <c r="E148" s="19" t="s">
        <v>485</v>
      </c>
      <c r="F148" s="35">
        <v>95</v>
      </c>
      <c r="G148" s="35">
        <v>101</v>
      </c>
      <c r="H148" s="35">
        <v>6</v>
      </c>
      <c r="I148" s="20">
        <v>100</v>
      </c>
      <c r="J148" s="21">
        <f t="shared" si="9"/>
        <v>600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21</v>
      </c>
      <c r="C149" s="18">
        <v>44971</v>
      </c>
      <c r="D149" s="19" t="s">
        <v>18</v>
      </c>
      <c r="E149" s="19" t="s">
        <v>569</v>
      </c>
      <c r="F149" s="35">
        <v>120</v>
      </c>
      <c r="G149" s="35">
        <v>131</v>
      </c>
      <c r="H149" s="35">
        <f>131-120</f>
        <v>11</v>
      </c>
      <c r="I149" s="20">
        <v>100</v>
      </c>
      <c r="J149" s="21">
        <f t="shared" si="9"/>
        <v>1100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22</v>
      </c>
      <c r="C150" s="18">
        <v>44971</v>
      </c>
      <c r="D150" s="19" t="s">
        <v>18</v>
      </c>
      <c r="E150" s="19" t="s">
        <v>525</v>
      </c>
      <c r="F150" s="35">
        <v>105</v>
      </c>
      <c r="G150" s="35">
        <v>136</v>
      </c>
      <c r="H150" s="35">
        <f>136-105</f>
        <v>31</v>
      </c>
      <c r="I150" s="20">
        <v>100</v>
      </c>
      <c r="J150" s="21">
        <f t="shared" si="9"/>
        <v>3100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23</v>
      </c>
      <c r="C151" s="18">
        <v>44972</v>
      </c>
      <c r="D151" s="19" t="s">
        <v>18</v>
      </c>
      <c r="E151" s="19" t="s">
        <v>568</v>
      </c>
      <c r="F151" s="35">
        <v>105</v>
      </c>
      <c r="G151" s="35">
        <v>114</v>
      </c>
      <c r="H151" s="35">
        <f>114-105</f>
        <v>9</v>
      </c>
      <c r="I151" s="20">
        <v>100</v>
      </c>
      <c r="J151" s="21">
        <f t="shared" si="9"/>
        <v>900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>B151+1</f>
        <v>24</v>
      </c>
      <c r="C152" s="18">
        <v>44972</v>
      </c>
      <c r="D152" s="19" t="s">
        <v>18</v>
      </c>
      <c r="E152" s="19" t="s">
        <v>525</v>
      </c>
      <c r="F152" s="35">
        <v>115</v>
      </c>
      <c r="G152" s="35">
        <v>130</v>
      </c>
      <c r="H152" s="35">
        <v>15</v>
      </c>
      <c r="I152" s="20">
        <v>100</v>
      </c>
      <c r="J152" s="21">
        <f t="shared" si="9"/>
        <v>1500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ref="B153:B174" si="14">B152+1</f>
        <v>25</v>
      </c>
      <c r="C153" s="18">
        <v>44972</v>
      </c>
      <c r="D153" s="19" t="s">
        <v>18</v>
      </c>
      <c r="E153" s="19" t="s">
        <v>525</v>
      </c>
      <c r="F153" s="35">
        <v>110</v>
      </c>
      <c r="G153" s="35">
        <v>145</v>
      </c>
      <c r="H153" s="35">
        <f>145-110</f>
        <v>35</v>
      </c>
      <c r="I153" s="20">
        <v>100</v>
      </c>
      <c r="J153" s="21">
        <f t="shared" si="9"/>
        <v>3500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4"/>
        <v>26</v>
      </c>
      <c r="C154" s="18">
        <v>44973</v>
      </c>
      <c r="D154" s="19" t="s">
        <v>18</v>
      </c>
      <c r="E154" s="19" t="s">
        <v>536</v>
      </c>
      <c r="F154" s="35">
        <v>95</v>
      </c>
      <c r="G154" s="35">
        <v>130</v>
      </c>
      <c r="H154" s="35">
        <f>130-95</f>
        <v>35</v>
      </c>
      <c r="I154" s="20">
        <v>100</v>
      </c>
      <c r="J154" s="21">
        <f t="shared" si="9"/>
        <v>3500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4"/>
        <v>27</v>
      </c>
      <c r="C155" s="18">
        <v>44973</v>
      </c>
      <c r="D155" s="19" t="s">
        <v>18</v>
      </c>
      <c r="E155" s="19" t="s">
        <v>536</v>
      </c>
      <c r="F155" s="35">
        <v>105</v>
      </c>
      <c r="G155" s="35">
        <v>140</v>
      </c>
      <c r="H155" s="35">
        <f>140-105</f>
        <v>35</v>
      </c>
      <c r="I155" s="20">
        <v>100</v>
      </c>
      <c r="J155" s="21">
        <f t="shared" si="9"/>
        <v>3500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4"/>
        <v>28</v>
      </c>
      <c r="C156" s="18">
        <v>44974</v>
      </c>
      <c r="D156" s="19" t="s">
        <v>18</v>
      </c>
      <c r="E156" s="19" t="s">
        <v>537</v>
      </c>
      <c r="F156" s="35">
        <v>110</v>
      </c>
      <c r="G156" s="35">
        <v>95</v>
      </c>
      <c r="H156" s="35">
        <v>-15</v>
      </c>
      <c r="I156" s="20">
        <v>100</v>
      </c>
      <c r="J156" s="21">
        <f t="shared" si="9"/>
        <v>-1500</v>
      </c>
      <c r="K156" s="7"/>
      <c r="V156" s="5">
        <f t="shared" si="10"/>
        <v>0</v>
      </c>
      <c r="W156" s="5">
        <f t="shared" si="11"/>
        <v>1</v>
      </c>
    </row>
    <row r="157" spans="1:23" s="36" customFormat="1" x14ac:dyDescent="0.3">
      <c r="A157" s="6"/>
      <c r="B157" s="17">
        <f t="shared" si="14"/>
        <v>29</v>
      </c>
      <c r="C157" s="18">
        <v>44974</v>
      </c>
      <c r="D157" s="19" t="s">
        <v>18</v>
      </c>
      <c r="E157" s="19" t="s">
        <v>537</v>
      </c>
      <c r="F157" s="35">
        <v>100</v>
      </c>
      <c r="G157" s="35">
        <v>135</v>
      </c>
      <c r="H157" s="35">
        <v>35</v>
      </c>
      <c r="I157" s="20">
        <v>100</v>
      </c>
      <c r="J157" s="21">
        <f t="shared" si="9"/>
        <v>3500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4"/>
        <v>30</v>
      </c>
      <c r="C158" s="18">
        <v>44977</v>
      </c>
      <c r="D158" s="19" t="s">
        <v>18</v>
      </c>
      <c r="E158" s="19" t="s">
        <v>567</v>
      </c>
      <c r="F158" s="35">
        <v>120</v>
      </c>
      <c r="G158" s="35">
        <v>130</v>
      </c>
      <c r="H158" s="35">
        <v>10</v>
      </c>
      <c r="I158" s="20">
        <v>100</v>
      </c>
      <c r="J158" s="21">
        <f t="shared" si="9"/>
        <v>1000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4"/>
        <v>31</v>
      </c>
      <c r="C159" s="18">
        <v>44977</v>
      </c>
      <c r="D159" s="19" t="s">
        <v>18</v>
      </c>
      <c r="E159" s="19" t="s">
        <v>568</v>
      </c>
      <c r="F159" s="35">
        <v>100</v>
      </c>
      <c r="G159" s="35">
        <v>135</v>
      </c>
      <c r="H159" s="35">
        <v>35</v>
      </c>
      <c r="I159" s="20">
        <v>100</v>
      </c>
      <c r="J159" s="21">
        <f t="shared" si="9"/>
        <v>3500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 t="shared" si="14"/>
        <v>32</v>
      </c>
      <c r="C160" s="18">
        <v>44978</v>
      </c>
      <c r="D160" s="19" t="s">
        <v>18</v>
      </c>
      <c r="E160" s="19" t="s">
        <v>569</v>
      </c>
      <c r="F160" s="35">
        <v>100</v>
      </c>
      <c r="G160" s="35">
        <v>107</v>
      </c>
      <c r="H160" s="35">
        <v>7</v>
      </c>
      <c r="I160" s="20">
        <v>100</v>
      </c>
      <c r="J160" s="21">
        <f t="shared" si="9"/>
        <v>700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si="14"/>
        <v>33</v>
      </c>
      <c r="C161" s="18">
        <v>44978</v>
      </c>
      <c r="D161" s="19" t="s">
        <v>18</v>
      </c>
      <c r="E161" s="19" t="s">
        <v>568</v>
      </c>
      <c r="F161" s="35">
        <v>100</v>
      </c>
      <c r="G161" s="35">
        <v>135</v>
      </c>
      <c r="H161" s="35">
        <v>35</v>
      </c>
      <c r="I161" s="20">
        <v>100</v>
      </c>
      <c r="J161" s="21">
        <f t="shared" si="9"/>
        <v>3500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4"/>
        <v>34</v>
      </c>
      <c r="C162" s="18">
        <v>44979</v>
      </c>
      <c r="D162" s="19" t="s">
        <v>18</v>
      </c>
      <c r="E162" s="19" t="s">
        <v>483</v>
      </c>
      <c r="F162" s="35">
        <v>90</v>
      </c>
      <c r="G162" s="35">
        <v>125</v>
      </c>
      <c r="H162" s="35">
        <f>125-90</f>
        <v>35</v>
      </c>
      <c r="I162" s="20">
        <v>100</v>
      </c>
      <c r="J162" s="21">
        <f t="shared" si="9"/>
        <v>3500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4"/>
        <v>35</v>
      </c>
      <c r="C163" s="18">
        <v>44979</v>
      </c>
      <c r="D163" s="19" t="s">
        <v>18</v>
      </c>
      <c r="E163" s="19" t="s">
        <v>485</v>
      </c>
      <c r="F163" s="35">
        <v>110</v>
      </c>
      <c r="G163" s="35">
        <v>145</v>
      </c>
      <c r="H163" s="35">
        <f>145-110</f>
        <v>35</v>
      </c>
      <c r="I163" s="20">
        <v>100</v>
      </c>
      <c r="J163" s="21">
        <f t="shared" si="9"/>
        <v>3500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4"/>
        <v>36</v>
      </c>
      <c r="C164" s="18">
        <v>44980</v>
      </c>
      <c r="D164" s="19" t="s">
        <v>18</v>
      </c>
      <c r="E164" s="19" t="s">
        <v>573</v>
      </c>
      <c r="F164" s="35">
        <v>75</v>
      </c>
      <c r="G164" s="35">
        <v>104</v>
      </c>
      <c r="H164" s="35">
        <f>104-75</f>
        <v>29</v>
      </c>
      <c r="I164" s="20">
        <v>100</v>
      </c>
      <c r="J164" s="21">
        <f t="shared" si="9"/>
        <v>2900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4"/>
        <v>37</v>
      </c>
      <c r="C165" s="18">
        <v>44980</v>
      </c>
      <c r="D165" s="19" t="s">
        <v>18</v>
      </c>
      <c r="E165" s="19" t="s">
        <v>486</v>
      </c>
      <c r="F165" s="35">
        <v>105</v>
      </c>
      <c r="G165" s="35">
        <v>85</v>
      </c>
      <c r="H165" s="35">
        <v>-15</v>
      </c>
      <c r="I165" s="20">
        <v>100</v>
      </c>
      <c r="J165" s="21">
        <f t="shared" si="9"/>
        <v>-1500</v>
      </c>
      <c r="K165" s="7"/>
      <c r="V165" s="5">
        <f t="shared" si="10"/>
        <v>0</v>
      </c>
      <c r="W165" s="5">
        <f t="shared" si="11"/>
        <v>1</v>
      </c>
    </row>
    <row r="166" spans="1:23" s="36" customFormat="1" x14ac:dyDescent="0.3">
      <c r="A166" s="6"/>
      <c r="B166" s="17">
        <f t="shared" si="14"/>
        <v>38</v>
      </c>
      <c r="C166" s="18">
        <v>44981</v>
      </c>
      <c r="D166" s="19" t="s">
        <v>18</v>
      </c>
      <c r="E166" s="19" t="s">
        <v>478</v>
      </c>
      <c r="F166" s="35">
        <v>130</v>
      </c>
      <c r="G166" s="35">
        <v>165</v>
      </c>
      <c r="H166" s="35">
        <f>165-130</f>
        <v>35</v>
      </c>
      <c r="I166" s="20">
        <v>100</v>
      </c>
      <c r="J166" s="21">
        <f t="shared" si="9"/>
        <v>3500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4"/>
        <v>39</v>
      </c>
      <c r="C167" s="18">
        <v>44981</v>
      </c>
      <c r="D167" s="19" t="s">
        <v>18</v>
      </c>
      <c r="E167" s="19" t="s">
        <v>573</v>
      </c>
      <c r="F167" s="35">
        <v>120</v>
      </c>
      <c r="G167" s="35">
        <v>155</v>
      </c>
      <c r="H167" s="35">
        <f>155-120</f>
        <v>35</v>
      </c>
      <c r="I167" s="20">
        <v>100</v>
      </c>
      <c r="J167" s="21">
        <f t="shared" si="9"/>
        <v>3500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4"/>
        <v>40</v>
      </c>
      <c r="C168" s="18">
        <v>44984</v>
      </c>
      <c r="D168" s="19" t="s">
        <v>18</v>
      </c>
      <c r="E168" s="19" t="s">
        <v>474</v>
      </c>
      <c r="F168" s="35">
        <v>120</v>
      </c>
      <c r="G168" s="35">
        <v>132</v>
      </c>
      <c r="H168" s="35">
        <v>12</v>
      </c>
      <c r="I168" s="20">
        <v>100</v>
      </c>
      <c r="J168" s="21">
        <f t="shared" si="9"/>
        <v>1200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4"/>
        <v>41</v>
      </c>
      <c r="C169" s="18">
        <v>44984</v>
      </c>
      <c r="D169" s="19" t="s">
        <v>18</v>
      </c>
      <c r="E169" s="19" t="s">
        <v>471</v>
      </c>
      <c r="F169" s="35">
        <v>105</v>
      </c>
      <c r="G169" s="35">
        <v>114</v>
      </c>
      <c r="H169" s="35">
        <f>114-105</f>
        <v>9</v>
      </c>
      <c r="I169" s="20">
        <v>100</v>
      </c>
      <c r="J169" s="21">
        <f t="shared" si="9"/>
        <v>900</v>
      </c>
      <c r="K169" s="7"/>
      <c r="V169" s="5">
        <f t="shared" si="10"/>
        <v>1</v>
      </c>
      <c r="W169" s="5">
        <f t="shared" si="11"/>
        <v>0</v>
      </c>
    </row>
    <row r="170" spans="1:23" s="36" customFormat="1" x14ac:dyDescent="0.3">
      <c r="A170" s="6"/>
      <c r="B170" s="17">
        <f t="shared" si="14"/>
        <v>42</v>
      </c>
      <c r="C170" s="18">
        <v>44984</v>
      </c>
      <c r="D170" s="19" t="s">
        <v>18</v>
      </c>
      <c r="E170" s="19" t="s">
        <v>475</v>
      </c>
      <c r="F170" s="35">
        <v>120</v>
      </c>
      <c r="G170" s="35">
        <v>141</v>
      </c>
      <c r="H170" s="35">
        <f>141-120</f>
        <v>21</v>
      </c>
      <c r="I170" s="20">
        <v>100</v>
      </c>
      <c r="J170" s="21">
        <f t="shared" si="9"/>
        <v>2100</v>
      </c>
      <c r="K170" s="7"/>
      <c r="V170" s="5">
        <f t="shared" si="10"/>
        <v>1</v>
      </c>
      <c r="W170" s="5">
        <f t="shared" si="11"/>
        <v>0</v>
      </c>
    </row>
    <row r="171" spans="1:23" s="36" customFormat="1" x14ac:dyDescent="0.3">
      <c r="A171" s="6"/>
      <c r="B171" s="17">
        <f t="shared" si="14"/>
        <v>43</v>
      </c>
      <c r="C171" s="18">
        <v>44985</v>
      </c>
      <c r="D171" s="19" t="s">
        <v>18</v>
      </c>
      <c r="E171" s="19" t="s">
        <v>474</v>
      </c>
      <c r="F171" s="35">
        <v>90</v>
      </c>
      <c r="G171" s="35">
        <v>111</v>
      </c>
      <c r="H171" s="35">
        <f>111-90</f>
        <v>21</v>
      </c>
      <c r="I171" s="20">
        <v>100</v>
      </c>
      <c r="J171" s="21">
        <f t="shared" si="9"/>
        <v>2100</v>
      </c>
      <c r="K171" s="7"/>
      <c r="V171" s="5">
        <f t="shared" si="10"/>
        <v>1</v>
      </c>
      <c r="W171" s="5">
        <f t="shared" si="11"/>
        <v>0</v>
      </c>
    </row>
    <row r="172" spans="1:23" s="36" customFormat="1" x14ac:dyDescent="0.3">
      <c r="A172" s="6"/>
      <c r="B172" s="17">
        <f t="shared" si="14"/>
        <v>44</v>
      </c>
      <c r="C172" s="18">
        <v>44985</v>
      </c>
      <c r="D172" s="19" t="s">
        <v>18</v>
      </c>
      <c r="E172" s="19" t="s">
        <v>588</v>
      </c>
      <c r="F172" s="35">
        <v>130</v>
      </c>
      <c r="G172" s="35">
        <v>136</v>
      </c>
      <c r="H172" s="35">
        <v>6</v>
      </c>
      <c r="I172" s="20">
        <v>100</v>
      </c>
      <c r="J172" s="21">
        <f t="shared" si="9"/>
        <v>600</v>
      </c>
      <c r="K172" s="7"/>
      <c r="V172" s="5">
        <f t="shared" si="10"/>
        <v>1</v>
      </c>
      <c r="W172" s="5">
        <f t="shared" si="11"/>
        <v>0</v>
      </c>
    </row>
    <row r="173" spans="1:23" s="36" customFormat="1" x14ac:dyDescent="0.3">
      <c r="A173" s="6"/>
      <c r="B173" s="17">
        <f t="shared" si="14"/>
        <v>45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ht="15" thickBot="1" x14ac:dyDescent="0.35">
      <c r="A174" s="6"/>
      <c r="B174" s="95">
        <f t="shared" si="14"/>
        <v>46</v>
      </c>
      <c r="C174" s="79"/>
      <c r="D174" s="80"/>
      <c r="E174" s="80"/>
      <c r="F174" s="96"/>
      <c r="G174" s="96"/>
      <c r="H174" s="96"/>
      <c r="I174" s="81"/>
      <c r="J174" s="82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ht="24" thickBot="1" x14ac:dyDescent="0.5">
      <c r="A175" s="6"/>
      <c r="B175" s="165" t="s">
        <v>22</v>
      </c>
      <c r="C175" s="166"/>
      <c r="D175" s="166"/>
      <c r="E175" s="166"/>
      <c r="F175" s="166"/>
      <c r="G175" s="166"/>
      <c r="H175" s="167"/>
      <c r="I175" s="83" t="s">
        <v>23</v>
      </c>
      <c r="J175" s="84">
        <f>SUM(J129:J174)</f>
        <v>97400</v>
      </c>
      <c r="K175" s="7"/>
      <c r="L175" s="5"/>
      <c r="M175" s="5"/>
      <c r="N175" s="5"/>
      <c r="O175" s="5"/>
      <c r="P175" s="5"/>
      <c r="Q175" s="5"/>
      <c r="R175" s="5"/>
      <c r="V175" s="36">
        <f>SUM(V129:V174)</f>
        <v>36</v>
      </c>
      <c r="W175" s="36">
        <f>SUM(W129:W174)</f>
        <v>8</v>
      </c>
    </row>
    <row r="176" spans="1:23" s="36" customFormat="1" ht="30" customHeight="1" thickBot="1" x14ac:dyDescent="0.35">
      <c r="A176" s="30"/>
      <c r="B176" s="31"/>
      <c r="C176" s="31"/>
      <c r="D176" s="31"/>
      <c r="E176" s="31"/>
      <c r="F176" s="31"/>
      <c r="G176" s="31"/>
      <c r="H176" s="32"/>
      <c r="I176" s="31"/>
      <c r="J176" s="32"/>
      <c r="K176" s="33"/>
      <c r="L176" s="5"/>
      <c r="M176" s="5"/>
      <c r="N176" s="5"/>
      <c r="O176" s="5"/>
      <c r="P176" s="5"/>
      <c r="Q176" s="5"/>
      <c r="R176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B121:H121"/>
    <mergeCell ref="B125:J125"/>
    <mergeCell ref="B126:J126"/>
    <mergeCell ref="B127:J127"/>
    <mergeCell ref="B175:H175"/>
  </mergeCells>
  <hyperlinks>
    <hyperlink ref="B59" r:id="rId1" xr:uid="{00000000-0004-0000-1F00-000000000000}"/>
    <hyperlink ref="B121" r:id="rId2" xr:uid="{00000000-0004-0000-1F00-000001000000}"/>
    <hyperlink ref="B175" r:id="rId3" xr:uid="{00000000-0004-0000-1F00-000002000000}"/>
    <hyperlink ref="M1" location="MASTER!A1" display="Back" xr:uid="{00000000-0004-0000-1F00-000003000000}"/>
    <hyperlink ref="M6:M7" location="'NOV 2022'!A70" display="EXTRA STOCK FUTURE" xr:uid="{00000000-0004-0000-1F00-000004000000}"/>
    <hyperlink ref="M8:M9" location="'NOV 2022'!A140" display="EXTRA NIFTY OPTION" xr:uid="{00000000-0004-0000-1F00-000005000000}"/>
    <hyperlink ref="M4:M5" location="'NOV 2022'!A1" display="EXTRA BANKNIFTY OPTION" xr:uid="{00000000-0004-0000-1F00-000006000000}"/>
  </hyperlinks>
  <pageMargins left="0" right="0" top="0" bottom="0" header="0" footer="0"/>
  <pageSetup paperSize="9" orientation="portrait" r:id="rId4"/>
  <drawing r:id="rId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176"/>
  <sheetViews>
    <sheetView topLeftCell="A148" zoomScaleNormal="100" workbookViewId="0">
      <selection activeCell="N167" sqref="M167:N168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9.109375" style="5" customWidth="1"/>
    <col min="22" max="23" width="9.109375" style="5" hidden="1" customWidth="1"/>
    <col min="24" max="24" width="9.109375" style="5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225" t="s">
        <v>3</v>
      </c>
      <c r="N2" s="226" t="s">
        <v>4</v>
      </c>
      <c r="O2" s="227" t="s">
        <v>5</v>
      </c>
      <c r="P2" s="227" t="s">
        <v>6</v>
      </c>
      <c r="Q2" s="227" t="s">
        <v>7</v>
      </c>
      <c r="R2" s="224" t="s">
        <v>8</v>
      </c>
    </row>
    <row r="3" spans="1:23" ht="16.2" thickBot="1" x14ac:dyDescent="0.35">
      <c r="A3" s="6"/>
      <c r="B3" s="103">
        <v>44986</v>
      </c>
      <c r="C3" s="104"/>
      <c r="D3" s="104"/>
      <c r="E3" s="104"/>
      <c r="F3" s="104"/>
      <c r="G3" s="104"/>
      <c r="H3" s="104"/>
      <c r="I3" s="104"/>
      <c r="J3" s="105"/>
      <c r="K3" s="7"/>
      <c r="M3" s="225"/>
      <c r="N3" s="226"/>
      <c r="O3" s="227"/>
      <c r="P3" s="227"/>
      <c r="Q3" s="227"/>
      <c r="R3" s="224"/>
    </row>
    <row r="4" spans="1:23" ht="16.5" customHeight="1" thickBot="1" x14ac:dyDescent="0.35">
      <c r="A4" s="6"/>
      <c r="B4" s="106" t="s">
        <v>785</v>
      </c>
      <c r="C4" s="107"/>
      <c r="D4" s="107"/>
      <c r="E4" s="107"/>
      <c r="F4" s="107"/>
      <c r="G4" s="107"/>
      <c r="H4" s="107"/>
      <c r="I4" s="107"/>
      <c r="J4" s="108"/>
      <c r="K4" s="7"/>
      <c r="M4" s="221" t="s">
        <v>107</v>
      </c>
      <c r="N4" s="222">
        <f>COUNT(C6:C58)</f>
        <v>36</v>
      </c>
      <c r="O4" s="222">
        <f>V59</f>
        <v>29</v>
      </c>
      <c r="P4" s="222">
        <f>W59</f>
        <v>7</v>
      </c>
      <c r="Q4" s="222">
        <f>N4-O4-P4</f>
        <v>0</v>
      </c>
      <c r="R4" s="220">
        <f>O4/N4</f>
        <v>0.80555555555555558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221"/>
      <c r="N5" s="222"/>
      <c r="O5" s="222"/>
      <c r="P5" s="222"/>
      <c r="Q5" s="222"/>
      <c r="R5" s="220"/>
      <c r="V5" s="5" t="s">
        <v>5</v>
      </c>
      <c r="W5" s="5" t="s">
        <v>6</v>
      </c>
    </row>
    <row r="6" spans="1:23" ht="15" customHeight="1" thickBot="1" x14ac:dyDescent="0.35">
      <c r="A6" s="6"/>
      <c r="B6" s="88">
        <v>1</v>
      </c>
      <c r="C6" s="89">
        <v>44986</v>
      </c>
      <c r="D6" s="90" t="s">
        <v>18</v>
      </c>
      <c r="E6" s="90" t="s">
        <v>739</v>
      </c>
      <c r="F6" s="90">
        <v>140</v>
      </c>
      <c r="G6" s="90">
        <v>200</v>
      </c>
      <c r="H6" s="91">
        <f>200-140</f>
        <v>60</v>
      </c>
      <c r="I6" s="90">
        <v>100</v>
      </c>
      <c r="J6" s="92">
        <f t="shared" ref="J6:J58" si="0">H6*I6</f>
        <v>6000</v>
      </c>
      <c r="K6" s="7"/>
      <c r="M6" s="221" t="s">
        <v>108</v>
      </c>
      <c r="N6" s="222">
        <f>COUNT(C67:C120)</f>
        <v>15</v>
      </c>
      <c r="O6" s="222">
        <f>V121</f>
        <v>14</v>
      </c>
      <c r="P6" s="222">
        <f>W121</f>
        <v>1</v>
      </c>
      <c r="Q6" s="222">
        <f>N6-O6-P6</f>
        <v>0</v>
      </c>
      <c r="R6" s="220">
        <f t="shared" ref="R6" si="1">O6/N6</f>
        <v>0.93333333333333335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ht="15" thickBot="1" x14ac:dyDescent="0.35">
      <c r="A7" s="6"/>
      <c r="B7" s="17">
        <v>2</v>
      </c>
      <c r="C7" s="85">
        <v>44986</v>
      </c>
      <c r="D7" s="86" t="s">
        <v>18</v>
      </c>
      <c r="E7" s="86" t="s">
        <v>740</v>
      </c>
      <c r="F7" s="86">
        <v>140</v>
      </c>
      <c r="G7" s="86">
        <v>135</v>
      </c>
      <c r="H7" s="87">
        <v>-5</v>
      </c>
      <c r="I7" s="86">
        <v>100</v>
      </c>
      <c r="J7" s="21">
        <f t="shared" si="0"/>
        <v>-500</v>
      </c>
      <c r="K7" s="7"/>
      <c r="M7" s="221"/>
      <c r="N7" s="222"/>
      <c r="O7" s="222"/>
      <c r="P7" s="222"/>
      <c r="Q7" s="222"/>
      <c r="R7" s="220"/>
      <c r="V7" s="5">
        <f t="shared" si="2"/>
        <v>0</v>
      </c>
      <c r="W7" s="5">
        <f t="shared" si="3"/>
        <v>1</v>
      </c>
    </row>
    <row r="8" spans="1:23" ht="15" thickBot="1" x14ac:dyDescent="0.35">
      <c r="A8" s="6"/>
      <c r="B8" s="88">
        <v>3</v>
      </c>
      <c r="C8" s="85">
        <v>44987</v>
      </c>
      <c r="D8" s="86" t="s">
        <v>18</v>
      </c>
      <c r="E8" s="86" t="s">
        <v>729</v>
      </c>
      <c r="F8" s="86">
        <v>140</v>
      </c>
      <c r="G8" s="86">
        <v>90</v>
      </c>
      <c r="H8" s="87">
        <v>-50</v>
      </c>
      <c r="I8" s="86">
        <v>100</v>
      </c>
      <c r="J8" s="21">
        <f t="shared" si="0"/>
        <v>-5000</v>
      </c>
      <c r="K8" s="7"/>
      <c r="M8" s="223" t="s">
        <v>194</v>
      </c>
      <c r="N8" s="222">
        <f>COUNT(C129:C174)</f>
        <v>45</v>
      </c>
      <c r="O8" s="222">
        <f>V175</f>
        <v>38</v>
      </c>
      <c r="P8" s="222">
        <f>W175</f>
        <v>7</v>
      </c>
      <c r="Q8" s="222">
        <v>0</v>
      </c>
      <c r="R8" s="220">
        <f t="shared" ref="R8:R10" si="4">O8/N8</f>
        <v>0.84444444444444444</v>
      </c>
      <c r="V8" s="5">
        <f t="shared" si="2"/>
        <v>0</v>
      </c>
      <c r="W8" s="5">
        <f t="shared" si="3"/>
        <v>1</v>
      </c>
    </row>
    <row r="9" spans="1:23" ht="15" thickBot="1" x14ac:dyDescent="0.35">
      <c r="A9" s="6"/>
      <c r="B9" s="17">
        <v>4</v>
      </c>
      <c r="C9" s="85">
        <v>44987</v>
      </c>
      <c r="D9" s="86" t="s">
        <v>18</v>
      </c>
      <c r="E9" s="86" t="s">
        <v>729</v>
      </c>
      <c r="F9" s="86">
        <v>150</v>
      </c>
      <c r="G9" s="86">
        <v>250</v>
      </c>
      <c r="H9" s="87">
        <v>50</v>
      </c>
      <c r="I9" s="86">
        <v>100</v>
      </c>
      <c r="J9" s="21">
        <f t="shared" si="0"/>
        <v>5000</v>
      </c>
      <c r="K9" s="7"/>
      <c r="M9" s="223"/>
      <c r="N9" s="222"/>
      <c r="O9" s="222"/>
      <c r="P9" s="222"/>
      <c r="Q9" s="222"/>
      <c r="R9" s="220"/>
      <c r="V9" s="5">
        <f t="shared" si="2"/>
        <v>1</v>
      </c>
      <c r="W9" s="5">
        <f t="shared" si="3"/>
        <v>0</v>
      </c>
    </row>
    <row r="10" spans="1:23" ht="16.5" customHeight="1" thickBot="1" x14ac:dyDescent="0.35">
      <c r="A10" s="6"/>
      <c r="B10" s="88">
        <v>5</v>
      </c>
      <c r="C10" s="85">
        <v>44988</v>
      </c>
      <c r="D10" s="86" t="s">
        <v>18</v>
      </c>
      <c r="E10" s="86" t="s">
        <v>721</v>
      </c>
      <c r="F10" s="86">
        <v>150</v>
      </c>
      <c r="G10" s="86">
        <v>250</v>
      </c>
      <c r="H10" s="87">
        <v>100</v>
      </c>
      <c r="I10" s="86">
        <v>100</v>
      </c>
      <c r="J10" s="21">
        <f t="shared" si="0"/>
        <v>10000</v>
      </c>
      <c r="K10" s="7"/>
      <c r="M10" s="218" t="s">
        <v>19</v>
      </c>
      <c r="N10" s="219">
        <f>SUM(N4:N9)</f>
        <v>96</v>
      </c>
      <c r="O10" s="219">
        <f>SUM(O4:O9)</f>
        <v>81</v>
      </c>
      <c r="P10" s="219">
        <f>SUM(P4:P9)</f>
        <v>15</v>
      </c>
      <c r="Q10" s="219">
        <f>SUM(Q4:Q9)</f>
        <v>0</v>
      </c>
      <c r="R10" s="220">
        <f t="shared" si="4"/>
        <v>0.84375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44988</v>
      </c>
      <c r="D11" s="86" t="s">
        <v>18</v>
      </c>
      <c r="E11" s="86" t="s">
        <v>518</v>
      </c>
      <c r="F11" s="86">
        <v>140</v>
      </c>
      <c r="G11" s="86">
        <v>164</v>
      </c>
      <c r="H11" s="87">
        <f>164-140</f>
        <v>24</v>
      </c>
      <c r="I11" s="86">
        <v>102</v>
      </c>
      <c r="J11" s="21">
        <f t="shared" si="0"/>
        <v>2448</v>
      </c>
      <c r="K11" s="7"/>
      <c r="M11" s="218"/>
      <c r="N11" s="219"/>
      <c r="O11" s="219"/>
      <c r="P11" s="219"/>
      <c r="Q11" s="219"/>
      <c r="R11" s="220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44991</v>
      </c>
      <c r="D12" s="86" t="s">
        <v>18</v>
      </c>
      <c r="E12" s="86" t="s">
        <v>726</v>
      </c>
      <c r="F12" s="86">
        <v>140</v>
      </c>
      <c r="G12" s="86">
        <v>90</v>
      </c>
      <c r="H12" s="87">
        <v>-50</v>
      </c>
      <c r="I12" s="86">
        <v>100</v>
      </c>
      <c r="J12" s="21">
        <f t="shared" si="0"/>
        <v>-5000</v>
      </c>
      <c r="K12" s="7"/>
      <c r="M12" s="129" t="s">
        <v>20</v>
      </c>
      <c r="N12" s="130"/>
      <c r="O12" s="131"/>
      <c r="P12" s="138">
        <f>R10</f>
        <v>0.84375</v>
      </c>
      <c r="Q12" s="139"/>
      <c r="R12" s="140"/>
      <c r="V12" s="5">
        <f t="shared" si="2"/>
        <v>0</v>
      </c>
      <c r="W12" s="5">
        <f t="shared" si="3"/>
        <v>1</v>
      </c>
    </row>
    <row r="13" spans="1:23" ht="15" customHeight="1" x14ac:dyDescent="0.3">
      <c r="A13" s="6"/>
      <c r="B13" s="17">
        <v>8</v>
      </c>
      <c r="C13" s="85">
        <v>44993</v>
      </c>
      <c r="D13" s="86" t="s">
        <v>18</v>
      </c>
      <c r="E13" s="86" t="s">
        <v>826</v>
      </c>
      <c r="F13" s="86">
        <v>120</v>
      </c>
      <c r="G13" s="86">
        <v>194</v>
      </c>
      <c r="H13" s="87">
        <f>194-120</f>
        <v>74</v>
      </c>
      <c r="I13" s="86">
        <v>100</v>
      </c>
      <c r="J13" s="21">
        <f t="shared" si="0"/>
        <v>7400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44994</v>
      </c>
      <c r="D14" s="86" t="s">
        <v>18</v>
      </c>
      <c r="E14" s="86" t="s">
        <v>752</v>
      </c>
      <c r="F14" s="86">
        <v>100</v>
      </c>
      <c r="G14" s="86">
        <v>200</v>
      </c>
      <c r="H14" s="87">
        <v>100</v>
      </c>
      <c r="I14" s="86">
        <v>100</v>
      </c>
      <c r="J14" s="21">
        <f t="shared" si="0"/>
        <v>10000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44994</v>
      </c>
      <c r="D15" s="86" t="s">
        <v>18</v>
      </c>
      <c r="E15" s="86" t="s">
        <v>749</v>
      </c>
      <c r="F15" s="86">
        <v>100</v>
      </c>
      <c r="G15" s="86">
        <v>200</v>
      </c>
      <c r="H15" s="87">
        <v>100</v>
      </c>
      <c r="I15" s="86">
        <v>100</v>
      </c>
      <c r="J15" s="21">
        <f t="shared" si="0"/>
        <v>10000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85">
        <v>44995</v>
      </c>
      <c r="D16" s="86" t="s">
        <v>18</v>
      </c>
      <c r="E16" s="86" t="s">
        <v>724</v>
      </c>
      <c r="F16" s="86">
        <v>140</v>
      </c>
      <c r="G16" s="86">
        <v>174</v>
      </c>
      <c r="H16" s="87">
        <v>34</v>
      </c>
      <c r="I16" s="86">
        <v>100</v>
      </c>
      <c r="J16" s="21">
        <f t="shared" si="0"/>
        <v>3400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85">
        <v>44998</v>
      </c>
      <c r="D17" s="86" t="s">
        <v>18</v>
      </c>
      <c r="E17" s="86" t="s">
        <v>829</v>
      </c>
      <c r="F17" s="86">
        <v>150</v>
      </c>
      <c r="G17" s="86">
        <v>250</v>
      </c>
      <c r="H17" s="87">
        <v>100</v>
      </c>
      <c r="I17" s="86">
        <v>100</v>
      </c>
      <c r="J17" s="21">
        <f t="shared" si="0"/>
        <v>10000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85">
        <v>44998</v>
      </c>
      <c r="D18" s="86" t="s">
        <v>18</v>
      </c>
      <c r="E18" s="86" t="s">
        <v>822</v>
      </c>
      <c r="F18" s="86">
        <v>150</v>
      </c>
      <c r="G18" s="86">
        <v>250</v>
      </c>
      <c r="H18" s="87">
        <v>100</v>
      </c>
      <c r="I18" s="86">
        <v>100</v>
      </c>
      <c r="J18" s="21">
        <f t="shared" si="0"/>
        <v>10000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85">
        <v>44999</v>
      </c>
      <c r="D19" s="86" t="s">
        <v>18</v>
      </c>
      <c r="E19" s="86" t="s">
        <v>731</v>
      </c>
      <c r="F19" s="86">
        <v>150</v>
      </c>
      <c r="G19" s="86">
        <v>173</v>
      </c>
      <c r="H19" s="87">
        <v>23</v>
      </c>
      <c r="I19" s="86">
        <v>100</v>
      </c>
      <c r="J19" s="21">
        <f t="shared" si="0"/>
        <v>2300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85">
        <v>44999</v>
      </c>
      <c r="D20" s="86" t="s">
        <v>18</v>
      </c>
      <c r="E20" s="86" t="s">
        <v>732</v>
      </c>
      <c r="F20" s="86">
        <v>140</v>
      </c>
      <c r="G20" s="86">
        <v>90</v>
      </c>
      <c r="H20" s="87">
        <v>-50</v>
      </c>
      <c r="I20" s="86">
        <v>100</v>
      </c>
      <c r="J20" s="21">
        <f t="shared" si="0"/>
        <v>-5000</v>
      </c>
      <c r="K20" s="7"/>
      <c r="V20" s="5">
        <f t="shared" si="2"/>
        <v>0</v>
      </c>
      <c r="W20" s="5">
        <f t="shared" si="3"/>
        <v>1</v>
      </c>
    </row>
    <row r="21" spans="1:23" x14ac:dyDescent="0.3">
      <c r="A21" s="6"/>
      <c r="B21" s="17">
        <v>16</v>
      </c>
      <c r="C21" s="85">
        <v>45000</v>
      </c>
      <c r="D21" s="86" t="s">
        <v>18</v>
      </c>
      <c r="E21" s="86" t="s">
        <v>516</v>
      </c>
      <c r="F21" s="86">
        <v>130</v>
      </c>
      <c r="G21" s="86">
        <v>230</v>
      </c>
      <c r="H21" s="87">
        <v>100</v>
      </c>
      <c r="I21" s="86">
        <v>100</v>
      </c>
      <c r="J21" s="21">
        <f t="shared" si="0"/>
        <v>10000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45001</v>
      </c>
      <c r="D22" s="19" t="s">
        <v>18</v>
      </c>
      <c r="E22" s="19" t="s">
        <v>552</v>
      </c>
      <c r="F22" s="35">
        <v>140</v>
      </c>
      <c r="G22" s="35">
        <v>240</v>
      </c>
      <c r="H22" s="35">
        <v>100</v>
      </c>
      <c r="I22" s="86">
        <v>100</v>
      </c>
      <c r="J22" s="21">
        <f t="shared" si="0"/>
        <v>10000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45001</v>
      </c>
      <c r="D23" s="19" t="s">
        <v>18</v>
      </c>
      <c r="E23" s="19" t="s">
        <v>731</v>
      </c>
      <c r="F23" s="35">
        <v>100</v>
      </c>
      <c r="G23" s="35">
        <v>200</v>
      </c>
      <c r="H23" s="35">
        <v>100</v>
      </c>
      <c r="I23" s="86">
        <v>100</v>
      </c>
      <c r="J23" s="21">
        <f t="shared" si="0"/>
        <v>10000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45002</v>
      </c>
      <c r="D24" s="19" t="s">
        <v>18</v>
      </c>
      <c r="E24" s="19" t="s">
        <v>638</v>
      </c>
      <c r="F24" s="35">
        <v>140</v>
      </c>
      <c r="G24" s="35">
        <v>190</v>
      </c>
      <c r="H24" s="35">
        <v>50</v>
      </c>
      <c r="I24" s="20">
        <v>100</v>
      </c>
      <c r="J24" s="21">
        <f t="shared" si="0"/>
        <v>5000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45002</v>
      </c>
      <c r="D25" s="19" t="s">
        <v>18</v>
      </c>
      <c r="E25" s="19" t="s">
        <v>523</v>
      </c>
      <c r="F25" s="35">
        <v>150</v>
      </c>
      <c r="G25" s="35">
        <v>240</v>
      </c>
      <c r="H25" s="35">
        <f>240-150</f>
        <v>90</v>
      </c>
      <c r="I25" s="20">
        <v>100</v>
      </c>
      <c r="J25" s="21">
        <f t="shared" si="0"/>
        <v>9000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45005</v>
      </c>
      <c r="D26" s="19" t="s">
        <v>18</v>
      </c>
      <c r="E26" s="19" t="s">
        <v>713</v>
      </c>
      <c r="F26" s="35">
        <v>140</v>
      </c>
      <c r="G26" s="35">
        <v>410</v>
      </c>
      <c r="H26" s="35">
        <v>100</v>
      </c>
      <c r="I26" s="20">
        <v>100</v>
      </c>
      <c r="J26" s="21">
        <f t="shared" si="0"/>
        <v>10000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45005</v>
      </c>
      <c r="D27" s="19" t="s">
        <v>18</v>
      </c>
      <c r="E27" s="19" t="s">
        <v>713</v>
      </c>
      <c r="F27" s="35">
        <v>140</v>
      </c>
      <c r="G27" s="35">
        <v>200</v>
      </c>
      <c r="H27" s="19">
        <f>200-140</f>
        <v>60</v>
      </c>
      <c r="I27" s="20">
        <v>100</v>
      </c>
      <c r="J27" s="21">
        <f t="shared" si="0"/>
        <v>6000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45006</v>
      </c>
      <c r="D28" s="19" t="s">
        <v>18</v>
      </c>
      <c r="E28" s="19" t="s">
        <v>710</v>
      </c>
      <c r="F28" s="35">
        <v>140</v>
      </c>
      <c r="G28" s="35">
        <v>159</v>
      </c>
      <c r="H28" s="19">
        <v>19</v>
      </c>
      <c r="I28" s="20">
        <v>100</v>
      </c>
      <c r="J28" s="21">
        <f t="shared" si="0"/>
        <v>1900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45007</v>
      </c>
      <c r="D29" s="19" t="s">
        <v>18</v>
      </c>
      <c r="E29" s="19" t="s">
        <v>830</v>
      </c>
      <c r="F29" s="20">
        <v>140</v>
      </c>
      <c r="G29" s="20">
        <v>178</v>
      </c>
      <c r="H29" s="19">
        <f>178-140</f>
        <v>38</v>
      </c>
      <c r="I29" s="20">
        <v>100</v>
      </c>
      <c r="J29" s="21">
        <f t="shared" si="0"/>
        <v>3800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45007</v>
      </c>
      <c r="D30" s="25" t="s">
        <v>18</v>
      </c>
      <c r="E30" s="25" t="s">
        <v>830</v>
      </c>
      <c r="F30" s="26">
        <v>140</v>
      </c>
      <c r="G30" s="61">
        <v>90</v>
      </c>
      <c r="H30" s="61">
        <v>-50</v>
      </c>
      <c r="I30" s="26">
        <v>100</v>
      </c>
      <c r="J30" s="21">
        <f t="shared" si="0"/>
        <v>-5000</v>
      </c>
      <c r="K30" s="7"/>
      <c r="V30" s="5">
        <f t="shared" si="2"/>
        <v>0</v>
      </c>
      <c r="W30" s="5">
        <f t="shared" si="3"/>
        <v>1</v>
      </c>
    </row>
    <row r="31" spans="1:23" x14ac:dyDescent="0.3">
      <c r="A31" s="6"/>
      <c r="B31" s="17">
        <v>26</v>
      </c>
      <c r="C31" s="24">
        <v>45008</v>
      </c>
      <c r="D31" s="25" t="s">
        <v>18</v>
      </c>
      <c r="E31" s="25" t="s">
        <v>510</v>
      </c>
      <c r="F31" s="26">
        <v>130</v>
      </c>
      <c r="G31" s="61">
        <v>200</v>
      </c>
      <c r="H31" s="61">
        <v>70</v>
      </c>
      <c r="I31" s="26">
        <v>100</v>
      </c>
      <c r="J31" s="21">
        <f t="shared" si="0"/>
        <v>7000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45008</v>
      </c>
      <c r="D32" s="25" t="s">
        <v>18</v>
      </c>
      <c r="E32" s="25" t="s">
        <v>510</v>
      </c>
      <c r="F32" s="26">
        <v>140</v>
      </c>
      <c r="G32" s="61">
        <v>230</v>
      </c>
      <c r="H32" s="61">
        <v>90</v>
      </c>
      <c r="I32" s="26">
        <v>100</v>
      </c>
      <c r="J32" s="21">
        <f t="shared" si="0"/>
        <v>9000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45009</v>
      </c>
      <c r="D33" s="25" t="s">
        <v>18</v>
      </c>
      <c r="E33" s="25" t="s">
        <v>731</v>
      </c>
      <c r="F33" s="26">
        <v>140</v>
      </c>
      <c r="G33" s="61">
        <v>212</v>
      </c>
      <c r="H33" s="61">
        <f>212-140</f>
        <v>72</v>
      </c>
      <c r="I33" s="26">
        <v>100</v>
      </c>
      <c r="J33" s="21">
        <f t="shared" si="0"/>
        <v>7200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45012</v>
      </c>
      <c r="D34" s="25" t="s">
        <v>18</v>
      </c>
      <c r="E34" s="25" t="s">
        <v>510</v>
      </c>
      <c r="F34" s="26">
        <v>140</v>
      </c>
      <c r="G34" s="61">
        <v>100</v>
      </c>
      <c r="H34" s="61">
        <v>-40</v>
      </c>
      <c r="I34" s="26">
        <v>100</v>
      </c>
      <c r="J34" s="21">
        <f t="shared" si="0"/>
        <v>-4000</v>
      </c>
      <c r="K34" s="7"/>
      <c r="V34" s="5">
        <f t="shared" si="2"/>
        <v>0</v>
      </c>
      <c r="W34" s="5">
        <f t="shared" si="3"/>
        <v>1</v>
      </c>
    </row>
    <row r="35" spans="1:23" x14ac:dyDescent="0.3">
      <c r="A35" s="6"/>
      <c r="B35" s="17">
        <v>30</v>
      </c>
      <c r="C35" s="24">
        <v>45012</v>
      </c>
      <c r="D35" s="25" t="s">
        <v>18</v>
      </c>
      <c r="E35" s="25" t="s">
        <v>731</v>
      </c>
      <c r="F35" s="26">
        <v>130</v>
      </c>
      <c r="G35" s="61">
        <v>172</v>
      </c>
      <c r="H35" s="61">
        <f>172-130</f>
        <v>42</v>
      </c>
      <c r="I35" s="26">
        <v>100</v>
      </c>
      <c r="J35" s="21">
        <f t="shared" si="0"/>
        <v>4200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45012</v>
      </c>
      <c r="D36" s="25" t="s">
        <v>18</v>
      </c>
      <c r="E36" s="25" t="s">
        <v>634</v>
      </c>
      <c r="F36" s="26">
        <v>150</v>
      </c>
      <c r="G36" s="61">
        <v>250</v>
      </c>
      <c r="H36" s="61">
        <v>100</v>
      </c>
      <c r="I36" s="26">
        <v>100</v>
      </c>
      <c r="J36" s="21">
        <f t="shared" si="0"/>
        <v>10000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45013</v>
      </c>
      <c r="D37" s="25" t="s">
        <v>18</v>
      </c>
      <c r="E37" s="25" t="s">
        <v>511</v>
      </c>
      <c r="F37" s="26">
        <v>140</v>
      </c>
      <c r="G37" s="61">
        <v>190</v>
      </c>
      <c r="H37" s="61">
        <v>50</v>
      </c>
      <c r="I37" s="26">
        <v>100</v>
      </c>
      <c r="J37" s="21">
        <f t="shared" si="0"/>
        <v>5000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45014</v>
      </c>
      <c r="D38" s="25" t="s">
        <v>18</v>
      </c>
      <c r="E38" s="25" t="s">
        <v>719</v>
      </c>
      <c r="F38" s="26">
        <v>150</v>
      </c>
      <c r="G38" s="61">
        <v>182</v>
      </c>
      <c r="H38" s="61">
        <f>182-150</f>
        <v>32</v>
      </c>
      <c r="I38" s="26">
        <v>100</v>
      </c>
      <c r="J38" s="21">
        <f t="shared" si="0"/>
        <v>3200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45014</v>
      </c>
      <c r="D39" s="25" t="s">
        <v>18</v>
      </c>
      <c r="E39" s="25" t="s">
        <v>830</v>
      </c>
      <c r="F39" s="26">
        <v>100</v>
      </c>
      <c r="G39" s="61">
        <v>50</v>
      </c>
      <c r="H39" s="61">
        <v>-50</v>
      </c>
      <c r="I39" s="26">
        <v>100</v>
      </c>
      <c r="J39" s="21">
        <f t="shared" si="0"/>
        <v>-5000</v>
      </c>
      <c r="K39" s="7"/>
      <c r="V39" s="5">
        <f t="shared" si="2"/>
        <v>0</v>
      </c>
      <c r="W39" s="5">
        <f t="shared" si="3"/>
        <v>1</v>
      </c>
    </row>
    <row r="40" spans="1:23" x14ac:dyDescent="0.3">
      <c r="A40" s="6"/>
      <c r="B40" s="88">
        <v>35</v>
      </c>
      <c r="C40" s="24">
        <v>45016</v>
      </c>
      <c r="D40" s="25" t="s">
        <v>18</v>
      </c>
      <c r="E40" s="25" t="s">
        <v>724</v>
      </c>
      <c r="F40" s="26">
        <v>160</v>
      </c>
      <c r="G40" s="61">
        <v>125</v>
      </c>
      <c r="H40" s="61">
        <f>160-125</f>
        <v>35</v>
      </c>
      <c r="I40" s="26">
        <v>100</v>
      </c>
      <c r="J40" s="21">
        <f t="shared" si="0"/>
        <v>3500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18">
        <v>45016</v>
      </c>
      <c r="D41" s="19" t="s">
        <v>18</v>
      </c>
      <c r="E41" s="19" t="s">
        <v>515</v>
      </c>
      <c r="F41" s="35">
        <v>140</v>
      </c>
      <c r="G41" s="35">
        <v>158</v>
      </c>
      <c r="H41" s="35">
        <v>18</v>
      </c>
      <c r="I41" s="26">
        <v>100</v>
      </c>
      <c r="J41" s="21">
        <f t="shared" si="0"/>
        <v>1800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18"/>
      <c r="D42" s="19"/>
      <c r="E42" s="19"/>
      <c r="F42" s="35"/>
      <c r="G42" s="35"/>
      <c r="H42" s="35"/>
      <c r="I42" s="26"/>
      <c r="J42" s="21">
        <f t="shared" si="0"/>
        <v>0</v>
      </c>
      <c r="K42" s="7"/>
      <c r="V42" s="5">
        <f t="shared" si="2"/>
        <v>0</v>
      </c>
      <c r="W42" s="5">
        <f t="shared" si="3"/>
        <v>0</v>
      </c>
    </row>
    <row r="43" spans="1:23" x14ac:dyDescent="0.3">
      <c r="A43" s="6"/>
      <c r="B43" s="17">
        <v>38</v>
      </c>
      <c r="C43" s="24"/>
      <c r="D43" s="25"/>
      <c r="E43" s="25"/>
      <c r="F43" s="26"/>
      <c r="G43" s="61"/>
      <c r="H43" s="61"/>
      <c r="I43" s="26"/>
      <c r="J43" s="21">
        <f t="shared" si="0"/>
        <v>0</v>
      </c>
      <c r="K43" s="7"/>
      <c r="V43" s="5">
        <f t="shared" si="2"/>
        <v>0</v>
      </c>
      <c r="W43" s="5">
        <f t="shared" si="3"/>
        <v>0</v>
      </c>
    </row>
    <row r="44" spans="1:23" x14ac:dyDescent="0.3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x14ac:dyDescent="0.3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x14ac:dyDescent="0.3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x14ac:dyDescent="0.3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x14ac:dyDescent="0.3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163648</v>
      </c>
      <c r="K59" s="7"/>
      <c r="V59" s="5">
        <f>SUM(V6:V58)</f>
        <v>29</v>
      </c>
      <c r="W59" s="5">
        <f>SUM(W6:W58)</f>
        <v>7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825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44986</v>
      </c>
      <c r="D67" s="67" t="s">
        <v>69</v>
      </c>
      <c r="E67" s="67" t="s">
        <v>71</v>
      </c>
      <c r="F67" s="68">
        <v>2340</v>
      </c>
      <c r="G67" s="68">
        <v>2335</v>
      </c>
      <c r="H67" s="97">
        <v>5</v>
      </c>
      <c r="I67" s="68">
        <v>250</v>
      </c>
      <c r="J67" s="92">
        <f>H67*I67</f>
        <v>1250</v>
      </c>
      <c r="K67" s="7"/>
      <c r="V67" s="5">
        <f t="shared" ref="V67:V120" si="5">IF($J67&gt;0,1,0)</f>
        <v>1</v>
      </c>
      <c r="W67" s="5">
        <f t="shared" ref="W67:W120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44986</v>
      </c>
      <c r="D68" s="67" t="s">
        <v>69</v>
      </c>
      <c r="E68" s="67" t="s">
        <v>75</v>
      </c>
      <c r="F68" s="97">
        <v>858</v>
      </c>
      <c r="G68" s="97">
        <v>855.6</v>
      </c>
      <c r="H68" s="97">
        <f>858-855.6</f>
        <v>2.3999999999999773</v>
      </c>
      <c r="I68" s="20">
        <v>1375</v>
      </c>
      <c r="J68" s="21">
        <f>H68*I68</f>
        <v>3299.9999999999686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0" si="7">B68+1</f>
        <v>3</v>
      </c>
      <c r="C69" s="18">
        <v>44988</v>
      </c>
      <c r="D69" s="19" t="s">
        <v>69</v>
      </c>
      <c r="E69" s="19" t="s">
        <v>827</v>
      </c>
      <c r="F69" s="35">
        <v>198</v>
      </c>
      <c r="G69" s="97">
        <v>201</v>
      </c>
      <c r="H69" s="35">
        <v>-3</v>
      </c>
      <c r="I69" s="20">
        <v>3000</v>
      </c>
      <c r="J69" s="21">
        <f>H69*I69</f>
        <v>-9000</v>
      </c>
      <c r="K69" s="7"/>
      <c r="V69" s="5">
        <f t="shared" si="5"/>
        <v>0</v>
      </c>
      <c r="W69" s="5">
        <f t="shared" si="6"/>
        <v>1</v>
      </c>
    </row>
    <row r="70" spans="1:23" s="36" customFormat="1" x14ac:dyDescent="0.3">
      <c r="A70" s="6"/>
      <c r="B70" s="17">
        <f t="shared" si="7"/>
        <v>4</v>
      </c>
      <c r="C70" s="18">
        <v>44994</v>
      </c>
      <c r="D70" s="19" t="s">
        <v>18</v>
      </c>
      <c r="E70" s="19" t="s">
        <v>828</v>
      </c>
      <c r="F70" s="35">
        <v>760</v>
      </c>
      <c r="G70" s="97">
        <v>766</v>
      </c>
      <c r="H70" s="35">
        <v>6</v>
      </c>
      <c r="I70" s="20">
        <v>800</v>
      </c>
      <c r="J70" s="21">
        <f>H70*I70</f>
        <v>4800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44995</v>
      </c>
      <c r="D71" s="19" t="s">
        <v>69</v>
      </c>
      <c r="E71" s="19" t="s">
        <v>71</v>
      </c>
      <c r="F71" s="35">
        <v>2340</v>
      </c>
      <c r="G71" s="97">
        <v>2325</v>
      </c>
      <c r="H71" s="35">
        <f>2340-2325</f>
        <v>15</v>
      </c>
      <c r="I71" s="20">
        <v>250</v>
      </c>
      <c r="J71" s="21">
        <f>H71*I71</f>
        <v>3750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44998</v>
      </c>
      <c r="D72" s="19" t="s">
        <v>18</v>
      </c>
      <c r="E72" s="19" t="s">
        <v>596</v>
      </c>
      <c r="F72" s="20">
        <v>2895</v>
      </c>
      <c r="G72" s="97">
        <v>2925</v>
      </c>
      <c r="H72" s="35">
        <v>30</v>
      </c>
      <c r="I72" s="20">
        <v>125</v>
      </c>
      <c r="J72" s="21">
        <f t="shared" ref="J72:J120" si="8">I72*H72</f>
        <v>3750</v>
      </c>
      <c r="K72" s="7"/>
      <c r="V72" s="5">
        <f t="shared" si="5"/>
        <v>1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>
        <v>44999</v>
      </c>
      <c r="D73" s="19" t="s">
        <v>18</v>
      </c>
      <c r="E73" s="19" t="s">
        <v>80</v>
      </c>
      <c r="F73" s="35">
        <v>2165</v>
      </c>
      <c r="G73" s="97">
        <v>2171</v>
      </c>
      <c r="H73" s="35">
        <f>2171-2165</f>
        <v>6</v>
      </c>
      <c r="I73" s="20">
        <v>300</v>
      </c>
      <c r="J73" s="21">
        <f t="shared" si="8"/>
        <v>1800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45000</v>
      </c>
      <c r="D74" s="19" t="s">
        <v>69</v>
      </c>
      <c r="E74" s="19" t="s">
        <v>605</v>
      </c>
      <c r="F74" s="35">
        <v>656</v>
      </c>
      <c r="G74" s="97">
        <v>650</v>
      </c>
      <c r="H74" s="35">
        <v>6</v>
      </c>
      <c r="I74" s="20">
        <v>650</v>
      </c>
      <c r="J74" s="21">
        <f t="shared" si="8"/>
        <v>3900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45002</v>
      </c>
      <c r="D75" s="19" t="s">
        <v>69</v>
      </c>
      <c r="E75" s="19" t="s">
        <v>92</v>
      </c>
      <c r="F75" s="35">
        <v>744</v>
      </c>
      <c r="G75" s="97">
        <v>750</v>
      </c>
      <c r="H75" s="35">
        <v>6</v>
      </c>
      <c r="I75" s="20">
        <v>950</v>
      </c>
      <c r="J75" s="21">
        <f t="shared" si="8"/>
        <v>5700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>
        <v>45005</v>
      </c>
      <c r="D76" s="19" t="s">
        <v>69</v>
      </c>
      <c r="E76" s="19" t="s">
        <v>75</v>
      </c>
      <c r="F76" s="35">
        <v>833</v>
      </c>
      <c r="G76" s="97">
        <v>828.5</v>
      </c>
      <c r="H76" s="35">
        <f>833-828.5</f>
        <v>4.5</v>
      </c>
      <c r="I76" s="20">
        <v>700</v>
      </c>
      <c r="J76" s="21">
        <f t="shared" si="8"/>
        <v>3150</v>
      </c>
      <c r="K76" s="7"/>
      <c r="V76" s="5">
        <f t="shared" si="5"/>
        <v>1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>
        <v>45006</v>
      </c>
      <c r="D77" s="19" t="s">
        <v>69</v>
      </c>
      <c r="E77" s="19" t="s">
        <v>254</v>
      </c>
      <c r="F77" s="19">
        <v>370</v>
      </c>
      <c r="G77" s="97">
        <v>367.5</v>
      </c>
      <c r="H77" s="35">
        <f>370-367.5</f>
        <v>2.5</v>
      </c>
      <c r="I77" s="20">
        <v>1650</v>
      </c>
      <c r="J77" s="21">
        <f t="shared" si="8"/>
        <v>4125</v>
      </c>
      <c r="K77" s="7"/>
      <c r="V77" s="5">
        <f t="shared" si="5"/>
        <v>1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>
        <v>45008</v>
      </c>
      <c r="D78" s="19" t="s">
        <v>69</v>
      </c>
      <c r="E78" s="19" t="s">
        <v>71</v>
      </c>
      <c r="F78" s="35">
        <v>2250</v>
      </c>
      <c r="G78" s="97">
        <v>2245</v>
      </c>
      <c r="H78" s="35">
        <v>5</v>
      </c>
      <c r="I78" s="20">
        <v>250</v>
      </c>
      <c r="J78" s="21">
        <f t="shared" si="8"/>
        <v>1250</v>
      </c>
      <c r="K78" s="7"/>
      <c r="V78" s="5">
        <f t="shared" si="5"/>
        <v>1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>
        <v>45009</v>
      </c>
      <c r="D79" s="19" t="s">
        <v>69</v>
      </c>
      <c r="E79" s="19" t="s">
        <v>254</v>
      </c>
      <c r="F79" s="77">
        <v>363</v>
      </c>
      <c r="G79" s="97">
        <v>356</v>
      </c>
      <c r="H79" s="78">
        <f>363-356</f>
        <v>7</v>
      </c>
      <c r="I79" s="20">
        <v>1650</v>
      </c>
      <c r="J79" s="21">
        <f t="shared" si="8"/>
        <v>11550</v>
      </c>
      <c r="K79" s="7"/>
      <c r="V79" s="5">
        <f t="shared" si="5"/>
        <v>1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>
        <v>45012</v>
      </c>
      <c r="D80" s="19" t="s">
        <v>69</v>
      </c>
      <c r="E80" s="19" t="s">
        <v>75</v>
      </c>
      <c r="F80" s="35">
        <v>852</v>
      </c>
      <c r="G80" s="97">
        <v>846.35</v>
      </c>
      <c r="H80" s="78">
        <f>852-846.35</f>
        <v>5.6499999999999773</v>
      </c>
      <c r="I80" s="20">
        <v>700</v>
      </c>
      <c r="J80" s="21">
        <f t="shared" si="8"/>
        <v>3954.9999999999841</v>
      </c>
      <c r="K80" s="7"/>
      <c r="V80" s="5">
        <f t="shared" si="5"/>
        <v>1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>
        <v>45012</v>
      </c>
      <c r="D81" s="19" t="s">
        <v>18</v>
      </c>
      <c r="E81" s="19" t="s">
        <v>390</v>
      </c>
      <c r="F81" s="35">
        <v>4350</v>
      </c>
      <c r="G81" s="97">
        <v>4362</v>
      </c>
      <c r="H81" s="78">
        <v>12</v>
      </c>
      <c r="I81" s="20">
        <v>125</v>
      </c>
      <c r="J81" s="21">
        <f t="shared" si="8"/>
        <v>1500</v>
      </c>
      <c r="K81" s="7"/>
      <c r="V81" s="5">
        <f t="shared" si="5"/>
        <v>1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/>
      <c r="D82" s="19"/>
      <c r="E82" s="19"/>
      <c r="F82" s="35"/>
      <c r="G82" s="97"/>
      <c r="H82" s="35"/>
      <c r="I82" s="20"/>
      <c r="J82" s="21">
        <f t="shared" si="8"/>
        <v>0</v>
      </c>
      <c r="K82" s="7"/>
      <c r="V82" s="5">
        <f t="shared" si="5"/>
        <v>0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/>
      <c r="D83" s="19"/>
      <c r="E83" s="19"/>
      <c r="F83" s="35"/>
      <c r="G83" s="97"/>
      <c r="H83" s="35"/>
      <c r="I83" s="20"/>
      <c r="J83" s="21">
        <f t="shared" si="8"/>
        <v>0</v>
      </c>
      <c r="K83" s="7"/>
      <c r="V83" s="5">
        <f t="shared" si="5"/>
        <v>0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/>
      <c r="D84" s="19"/>
      <c r="E84" s="19"/>
      <c r="F84" s="35"/>
      <c r="G84" s="97"/>
      <c r="H84" s="35"/>
      <c r="I84" s="20"/>
      <c r="J84" s="21">
        <f t="shared" si="8"/>
        <v>0</v>
      </c>
      <c r="K84" s="7"/>
      <c r="V84" s="5">
        <f t="shared" si="5"/>
        <v>0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/>
      <c r="D85" s="19"/>
      <c r="E85" s="19"/>
      <c r="F85" s="35"/>
      <c r="G85" s="97"/>
      <c r="H85" s="35"/>
      <c r="I85" s="20"/>
      <c r="J85" s="21">
        <f t="shared" si="8"/>
        <v>0</v>
      </c>
      <c r="K85" s="7"/>
      <c r="V85" s="5">
        <f t="shared" si="5"/>
        <v>0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/>
      <c r="D86" s="19"/>
      <c r="E86" s="19"/>
      <c r="F86" s="35"/>
      <c r="G86" s="97"/>
      <c r="H86" s="35"/>
      <c r="I86" s="20"/>
      <c r="J86" s="21">
        <f t="shared" si="8"/>
        <v>0</v>
      </c>
      <c r="K86" s="7"/>
      <c r="V86" s="5">
        <f t="shared" si="5"/>
        <v>0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/>
      <c r="D87" s="19"/>
      <c r="E87" s="19"/>
      <c r="F87" s="35"/>
      <c r="G87" s="97"/>
      <c r="H87" s="35"/>
      <c r="I87" s="20"/>
      <c r="J87" s="21">
        <f t="shared" si="8"/>
        <v>0</v>
      </c>
      <c r="K87" s="7"/>
      <c r="V87" s="5">
        <f t="shared" si="5"/>
        <v>0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/>
      <c r="D88" s="19"/>
      <c r="E88" s="19"/>
      <c r="F88" s="77"/>
      <c r="G88" s="97"/>
      <c r="H88" s="78"/>
      <c r="I88" s="20"/>
      <c r="J88" s="21">
        <f t="shared" si="8"/>
        <v>0</v>
      </c>
      <c r="K88" s="7"/>
      <c r="V88" s="5">
        <f t="shared" si="5"/>
        <v>0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/>
      <c r="D89" s="19"/>
      <c r="E89" s="19"/>
      <c r="F89" s="35"/>
      <c r="G89" s="97"/>
      <c r="H89" s="78"/>
      <c r="I89" s="20"/>
      <c r="J89" s="21">
        <f t="shared" si="8"/>
        <v>0</v>
      </c>
      <c r="K89" s="7"/>
      <c r="V89" s="5">
        <f t="shared" si="5"/>
        <v>0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/>
      <c r="D90" s="19"/>
      <c r="E90" s="19"/>
      <c r="F90" s="35"/>
      <c r="G90" s="97"/>
      <c r="H90" s="78"/>
      <c r="I90" s="20"/>
      <c r="J90" s="21">
        <f t="shared" si="8"/>
        <v>0</v>
      </c>
      <c r="K90" s="7"/>
      <c r="V90" s="5">
        <f t="shared" si="5"/>
        <v>0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/>
      <c r="D91" s="19"/>
      <c r="E91" s="19"/>
      <c r="F91" s="35"/>
      <c r="G91" s="97"/>
      <c r="H91" s="35"/>
      <c r="I91" s="20"/>
      <c r="J91" s="21">
        <f t="shared" si="8"/>
        <v>0</v>
      </c>
      <c r="K91" s="7"/>
      <c r="V91" s="5">
        <f t="shared" si="5"/>
        <v>0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/>
      <c r="D92" s="19"/>
      <c r="E92" s="19"/>
      <c r="F92" s="35"/>
      <c r="G92" s="97"/>
      <c r="H92" s="35"/>
      <c r="I92" s="20"/>
      <c r="J92" s="21">
        <f t="shared" si="8"/>
        <v>0</v>
      </c>
      <c r="K92" s="7"/>
      <c r="V92" s="5">
        <f t="shared" si="5"/>
        <v>0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/>
      <c r="D93" s="19"/>
      <c r="E93" s="19"/>
      <c r="F93" s="35"/>
      <c r="G93" s="97"/>
      <c r="H93" s="35"/>
      <c r="I93" s="20"/>
      <c r="J93" s="21">
        <f t="shared" si="8"/>
        <v>0</v>
      </c>
      <c r="K93" s="7"/>
      <c r="V93" s="5">
        <f t="shared" si="5"/>
        <v>0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/>
      <c r="D94" s="19"/>
      <c r="E94" s="19"/>
      <c r="F94" s="35"/>
      <c r="G94" s="97"/>
      <c r="H94" s="35"/>
      <c r="I94" s="20"/>
      <c r="J94" s="21">
        <f t="shared" si="8"/>
        <v>0</v>
      </c>
      <c r="K94" s="7"/>
      <c r="V94" s="5">
        <f t="shared" si="5"/>
        <v>0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/>
      <c r="D95" s="19"/>
      <c r="E95" s="19"/>
      <c r="F95" s="35"/>
      <c r="G95" s="97"/>
      <c r="H95" s="35"/>
      <c r="I95" s="20"/>
      <c r="J95" s="21">
        <f t="shared" si="8"/>
        <v>0</v>
      </c>
      <c r="K95" s="7"/>
      <c r="V95" s="5">
        <f t="shared" si="5"/>
        <v>0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/>
      <c r="D96" s="19"/>
      <c r="E96" s="19"/>
      <c r="F96" s="35"/>
      <c r="G96" s="97"/>
      <c r="H96" s="35"/>
      <c r="I96" s="20"/>
      <c r="J96" s="21">
        <f t="shared" si="8"/>
        <v>0</v>
      </c>
      <c r="K96" s="7"/>
      <c r="V96" s="5">
        <f t="shared" si="5"/>
        <v>0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/>
      <c r="D97" s="19"/>
      <c r="E97" s="19"/>
      <c r="F97" s="35"/>
      <c r="G97" s="97"/>
      <c r="H97" s="35"/>
      <c r="I97" s="20"/>
      <c r="J97" s="21">
        <f t="shared" si="8"/>
        <v>0</v>
      </c>
      <c r="K97" s="7"/>
      <c r="V97" s="5">
        <f t="shared" si="5"/>
        <v>0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/>
      <c r="D98" s="19"/>
      <c r="E98" s="19"/>
      <c r="F98" s="35"/>
      <c r="G98" s="97"/>
      <c r="H98" s="35"/>
      <c r="I98" s="20"/>
      <c r="J98" s="21">
        <f t="shared" si="8"/>
        <v>0</v>
      </c>
      <c r="K98" s="7"/>
      <c r="V98" s="5">
        <f t="shared" si="5"/>
        <v>0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/>
      <c r="D99" s="19"/>
      <c r="E99" s="19"/>
      <c r="F99" s="35"/>
      <c r="G99" s="97"/>
      <c r="H99" s="35"/>
      <c r="I99" s="20"/>
      <c r="J99" s="21">
        <f t="shared" si="8"/>
        <v>0</v>
      </c>
      <c r="K99" s="7"/>
      <c r="V99" s="5">
        <f t="shared" si="5"/>
        <v>0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x14ac:dyDescent="0.3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x14ac:dyDescent="0.3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x14ac:dyDescent="0.3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x14ac:dyDescent="0.3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x14ac:dyDescent="0.3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x14ac:dyDescent="0.3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x14ac:dyDescent="0.3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x14ac:dyDescent="0.3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x14ac:dyDescent="0.3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x14ac:dyDescent="0.3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x14ac:dyDescent="0.3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24" thickBot="1" x14ac:dyDescent="0.5">
      <c r="A121" s="6"/>
      <c r="B121" s="144" t="s">
        <v>22</v>
      </c>
      <c r="C121" s="145"/>
      <c r="D121" s="145"/>
      <c r="E121" s="145"/>
      <c r="F121" s="145"/>
      <c r="G121" s="145"/>
      <c r="H121" s="146"/>
      <c r="I121" s="83" t="s">
        <v>23</v>
      </c>
      <c r="J121" s="84">
        <f>SUM(J67:J120)</f>
        <v>44779.999999999956</v>
      </c>
      <c r="K121" s="7"/>
      <c r="L121" s="5"/>
      <c r="M121" s="5"/>
      <c r="N121" s="5"/>
      <c r="O121" s="5"/>
      <c r="P121" s="5"/>
      <c r="Q121" s="5"/>
      <c r="R121" s="5"/>
      <c r="V121" s="36">
        <f>SUM(V67:V120)</f>
        <v>14</v>
      </c>
      <c r="W121" s="36">
        <f>SUM(W67:W120)</f>
        <v>1</v>
      </c>
    </row>
    <row r="122" spans="1:23" s="36" customFormat="1" ht="30" customHeight="1" thickBot="1" x14ac:dyDescent="0.35">
      <c r="A122" s="30"/>
      <c r="B122" s="31"/>
      <c r="C122" s="31"/>
      <c r="D122" s="31"/>
      <c r="E122" s="31"/>
      <c r="F122" s="31"/>
      <c r="G122" s="31"/>
      <c r="H122" s="32"/>
      <c r="I122" s="31"/>
      <c r="J122" s="32"/>
      <c r="K122" s="33"/>
      <c r="L122" s="5"/>
      <c r="M122" s="5"/>
      <c r="N122" s="5"/>
      <c r="O122" s="5"/>
      <c r="P122" s="5"/>
      <c r="Q122" s="5"/>
      <c r="R122" s="5"/>
    </row>
    <row r="123" spans="1:23" ht="15" thickBot="1" x14ac:dyDescent="0.35"/>
    <row r="124" spans="1:23" s="36" customFormat="1" ht="30" customHeight="1" thickBot="1" x14ac:dyDescent="0.35">
      <c r="A124" s="1"/>
      <c r="B124" s="2"/>
      <c r="C124" s="2"/>
      <c r="D124" s="2"/>
      <c r="E124" s="2"/>
      <c r="F124" s="2"/>
      <c r="G124" s="2"/>
      <c r="H124" s="3"/>
      <c r="I124" s="2"/>
      <c r="J124" s="3"/>
      <c r="K124" s="4"/>
    </row>
    <row r="125" spans="1:23" s="36" customFormat="1" ht="25.2" thickBot="1" x14ac:dyDescent="0.35">
      <c r="A125" s="6" t="s">
        <v>1</v>
      </c>
      <c r="B125" s="119" t="s">
        <v>2</v>
      </c>
      <c r="C125" s="120"/>
      <c r="D125" s="120"/>
      <c r="E125" s="120"/>
      <c r="F125" s="120"/>
      <c r="G125" s="120"/>
      <c r="H125" s="120"/>
      <c r="I125" s="120"/>
      <c r="J125" s="121"/>
      <c r="K125" s="7"/>
    </row>
    <row r="126" spans="1:23" s="36" customFormat="1" ht="16.2" thickBot="1" x14ac:dyDescent="0.35">
      <c r="A126" s="6"/>
      <c r="B126" s="216">
        <v>44986</v>
      </c>
      <c r="C126" s="169"/>
      <c r="D126" s="169"/>
      <c r="E126" s="169"/>
      <c r="F126" s="169"/>
      <c r="G126" s="169"/>
      <c r="H126" s="169"/>
      <c r="I126" s="169"/>
      <c r="J126" s="170"/>
      <c r="K126" s="7"/>
      <c r="L126" s="22"/>
    </row>
    <row r="127" spans="1:23" s="36" customFormat="1" ht="16.2" thickBot="1" x14ac:dyDescent="0.35">
      <c r="A127" s="6"/>
      <c r="B127" s="106" t="s">
        <v>699</v>
      </c>
      <c r="C127" s="107"/>
      <c r="D127" s="107"/>
      <c r="E127" s="107"/>
      <c r="F127" s="107"/>
      <c r="G127" s="107"/>
      <c r="H127" s="107"/>
      <c r="I127" s="107"/>
      <c r="J127" s="108"/>
      <c r="K127" s="7"/>
    </row>
    <row r="128" spans="1:23" s="22" customFormat="1" ht="15" thickBot="1" x14ac:dyDescent="0.35">
      <c r="A128" s="69"/>
      <c r="B128" s="70" t="s">
        <v>9</v>
      </c>
      <c r="C128" s="71" t="s">
        <v>10</v>
      </c>
      <c r="D128" s="72" t="s">
        <v>11</v>
      </c>
      <c r="E128" s="72" t="s">
        <v>12</v>
      </c>
      <c r="F128" s="73" t="s">
        <v>65</v>
      </c>
      <c r="G128" s="73" t="s">
        <v>66</v>
      </c>
      <c r="H128" s="74" t="s">
        <v>67</v>
      </c>
      <c r="I128" s="73" t="s">
        <v>68</v>
      </c>
      <c r="J128" s="75" t="s">
        <v>17</v>
      </c>
      <c r="K128" s="76"/>
      <c r="L128" s="36"/>
      <c r="M128" s="36"/>
      <c r="N128" s="36"/>
      <c r="O128" s="36" t="s">
        <v>21</v>
      </c>
      <c r="P128" s="36"/>
      <c r="Q128" s="36"/>
      <c r="R128" s="36"/>
      <c r="V128" s="5" t="s">
        <v>5</v>
      </c>
      <c r="W128" s="5" t="s">
        <v>6</v>
      </c>
    </row>
    <row r="129" spans="1:23" s="36" customFormat="1" x14ac:dyDescent="0.3">
      <c r="A129" s="6"/>
      <c r="B129" s="14">
        <v>1</v>
      </c>
      <c r="C129" s="93">
        <v>44986</v>
      </c>
      <c r="D129" s="94" t="s">
        <v>18</v>
      </c>
      <c r="E129" s="94" t="s">
        <v>469</v>
      </c>
      <c r="F129" s="60">
        <v>90</v>
      </c>
      <c r="G129" s="60">
        <v>112</v>
      </c>
      <c r="H129" s="60">
        <f>112-90</f>
        <v>22</v>
      </c>
      <c r="I129" s="15">
        <v>300</v>
      </c>
      <c r="J129" s="16">
        <f t="shared" ref="J129:J174" si="9">I129*H129</f>
        <v>6600</v>
      </c>
      <c r="K129" s="7"/>
      <c r="V129" s="5">
        <f t="shared" ref="V129:V174" si="10">IF($J129&gt;0,1,0)</f>
        <v>1</v>
      </c>
      <c r="W129" s="5">
        <f t="shared" ref="W129:W174" si="11">IF($J129&lt;0,1,0)</f>
        <v>0</v>
      </c>
    </row>
    <row r="130" spans="1:23" s="36" customFormat="1" x14ac:dyDescent="0.3">
      <c r="A130" s="6"/>
      <c r="B130" s="17">
        <f>B129+1</f>
        <v>2</v>
      </c>
      <c r="C130" s="18">
        <v>44986</v>
      </c>
      <c r="D130" s="19" t="s">
        <v>18</v>
      </c>
      <c r="E130" s="19" t="s">
        <v>469</v>
      </c>
      <c r="F130" s="35">
        <v>110</v>
      </c>
      <c r="G130" s="35">
        <v>90</v>
      </c>
      <c r="H130" s="35">
        <v>-20</v>
      </c>
      <c r="I130" s="20">
        <v>300</v>
      </c>
      <c r="J130" s="21">
        <f t="shared" si="9"/>
        <v>-6000</v>
      </c>
      <c r="K130" s="7"/>
      <c r="L130" s="36" t="s">
        <v>21</v>
      </c>
      <c r="V130" s="5">
        <f t="shared" si="10"/>
        <v>0</v>
      </c>
      <c r="W130" s="5">
        <f t="shared" si="11"/>
        <v>1</v>
      </c>
    </row>
    <row r="131" spans="1:23" s="36" customFormat="1" x14ac:dyDescent="0.3">
      <c r="A131" s="6"/>
      <c r="B131" s="17">
        <f t="shared" ref="B131:B151" si="12">B130+1</f>
        <v>3</v>
      </c>
      <c r="C131" s="18">
        <v>44987</v>
      </c>
      <c r="D131" s="19" t="s">
        <v>18</v>
      </c>
      <c r="E131" s="19" t="s">
        <v>575</v>
      </c>
      <c r="F131" s="35">
        <v>100</v>
      </c>
      <c r="G131" s="35">
        <v>135</v>
      </c>
      <c r="H131" s="35">
        <f>135-100</f>
        <v>35</v>
      </c>
      <c r="I131" s="20">
        <v>300</v>
      </c>
      <c r="J131" s="21">
        <f t="shared" si="9"/>
        <v>10500</v>
      </c>
      <c r="K131" s="7"/>
      <c r="V131" s="5">
        <f t="shared" si="10"/>
        <v>1</v>
      </c>
      <c r="W131" s="5">
        <f t="shared" si="11"/>
        <v>0</v>
      </c>
    </row>
    <row r="132" spans="1:23" s="36" customFormat="1" x14ac:dyDescent="0.3">
      <c r="A132" s="6"/>
      <c r="B132" s="17">
        <f t="shared" si="12"/>
        <v>4</v>
      </c>
      <c r="C132" s="18">
        <v>44987</v>
      </c>
      <c r="D132" s="19" t="s">
        <v>18</v>
      </c>
      <c r="E132" s="19" t="s">
        <v>588</v>
      </c>
      <c r="F132" s="35">
        <v>80</v>
      </c>
      <c r="G132" s="35">
        <v>91</v>
      </c>
      <c r="H132" s="35">
        <v>11</v>
      </c>
      <c r="I132" s="20">
        <v>300</v>
      </c>
      <c r="J132" s="21">
        <f t="shared" ref="J132:J137" si="13">I131*H131</f>
        <v>10500</v>
      </c>
      <c r="K132" s="7"/>
      <c r="V132" s="5">
        <f t="shared" si="10"/>
        <v>1</v>
      </c>
      <c r="W132" s="5">
        <f t="shared" si="11"/>
        <v>0</v>
      </c>
    </row>
    <row r="133" spans="1:23" s="36" customFormat="1" x14ac:dyDescent="0.3">
      <c r="A133" s="6"/>
      <c r="B133" s="17">
        <f t="shared" si="12"/>
        <v>5</v>
      </c>
      <c r="C133" s="18">
        <v>44988</v>
      </c>
      <c r="D133" s="19" t="s">
        <v>18</v>
      </c>
      <c r="E133" s="19" t="s">
        <v>470</v>
      </c>
      <c r="F133" s="20">
        <v>105</v>
      </c>
      <c r="G133" s="35">
        <v>140</v>
      </c>
      <c r="H133" s="35">
        <f>140-105</f>
        <v>35</v>
      </c>
      <c r="I133" s="20">
        <v>300</v>
      </c>
      <c r="J133" s="21">
        <f t="shared" si="13"/>
        <v>3300</v>
      </c>
      <c r="K133" s="7"/>
      <c r="V133" s="5">
        <f t="shared" si="10"/>
        <v>1</v>
      </c>
      <c r="W133" s="5">
        <f t="shared" si="11"/>
        <v>0</v>
      </c>
    </row>
    <row r="134" spans="1:23" s="36" customFormat="1" x14ac:dyDescent="0.3">
      <c r="A134" s="6"/>
      <c r="B134" s="17">
        <f t="shared" si="12"/>
        <v>6</v>
      </c>
      <c r="C134" s="18">
        <v>44988</v>
      </c>
      <c r="D134" s="19" t="s">
        <v>18</v>
      </c>
      <c r="E134" s="19" t="s">
        <v>479</v>
      </c>
      <c r="F134" s="35">
        <v>100</v>
      </c>
      <c r="G134" s="35">
        <v>135</v>
      </c>
      <c r="H134" s="35">
        <v>35</v>
      </c>
      <c r="I134" s="20">
        <v>300</v>
      </c>
      <c r="J134" s="21">
        <f t="shared" si="13"/>
        <v>10500</v>
      </c>
      <c r="K134" s="7"/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si="12"/>
        <v>7</v>
      </c>
      <c r="C135" s="18">
        <v>44991</v>
      </c>
      <c r="D135" s="19" t="s">
        <v>18</v>
      </c>
      <c r="E135" s="19" t="s">
        <v>482</v>
      </c>
      <c r="F135" s="35">
        <v>100</v>
      </c>
      <c r="G135" s="35">
        <v>133</v>
      </c>
      <c r="H135" s="35">
        <v>33</v>
      </c>
      <c r="I135" s="20">
        <v>300</v>
      </c>
      <c r="J135" s="21">
        <f t="shared" si="9"/>
        <v>9900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8</v>
      </c>
      <c r="C136" s="18">
        <v>44991</v>
      </c>
      <c r="D136" s="19" t="s">
        <v>18</v>
      </c>
      <c r="E136" s="19" t="s">
        <v>482</v>
      </c>
      <c r="F136" s="35">
        <v>120</v>
      </c>
      <c r="G136" s="35">
        <v>100</v>
      </c>
      <c r="H136" s="35">
        <v>-20</v>
      </c>
      <c r="I136" s="20">
        <v>300</v>
      </c>
      <c r="J136" s="21">
        <f t="shared" si="13"/>
        <v>9900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9</v>
      </c>
      <c r="C137" s="18">
        <v>44991</v>
      </c>
      <c r="D137" s="19" t="s">
        <v>18</v>
      </c>
      <c r="E137" s="19" t="s">
        <v>482</v>
      </c>
      <c r="F137" s="35">
        <v>80</v>
      </c>
      <c r="G137" s="35">
        <v>90</v>
      </c>
      <c r="H137" s="35">
        <v>10</v>
      </c>
      <c r="I137" s="20">
        <v>300</v>
      </c>
      <c r="J137" s="21">
        <f t="shared" si="13"/>
        <v>-6000</v>
      </c>
      <c r="K137" s="7"/>
      <c r="V137" s="5">
        <f t="shared" si="10"/>
        <v>0</v>
      </c>
      <c r="W137" s="5">
        <f t="shared" si="11"/>
        <v>1</v>
      </c>
    </row>
    <row r="138" spans="1:23" s="36" customFormat="1" x14ac:dyDescent="0.3">
      <c r="A138" s="6"/>
      <c r="B138" s="17">
        <f t="shared" si="12"/>
        <v>10</v>
      </c>
      <c r="C138" s="18">
        <v>44993</v>
      </c>
      <c r="D138" s="19" t="s">
        <v>18</v>
      </c>
      <c r="E138" s="19" t="s">
        <v>480</v>
      </c>
      <c r="F138" s="35">
        <v>100</v>
      </c>
      <c r="G138" s="35">
        <v>123</v>
      </c>
      <c r="H138" s="35">
        <v>23</v>
      </c>
      <c r="I138" s="20">
        <v>300</v>
      </c>
      <c r="J138" s="21">
        <f t="shared" si="9"/>
        <v>6900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11</v>
      </c>
      <c r="C139" s="18">
        <v>44993</v>
      </c>
      <c r="D139" s="19" t="s">
        <v>18</v>
      </c>
      <c r="E139" s="19" t="s">
        <v>480</v>
      </c>
      <c r="F139" s="19">
        <v>115</v>
      </c>
      <c r="G139" s="35">
        <v>130</v>
      </c>
      <c r="H139" s="35">
        <v>15</v>
      </c>
      <c r="I139" s="20">
        <v>300</v>
      </c>
      <c r="J139" s="21">
        <f t="shared" si="9"/>
        <v>4500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12</v>
      </c>
      <c r="C140" s="18">
        <v>44994</v>
      </c>
      <c r="D140" s="19" t="s">
        <v>18</v>
      </c>
      <c r="E140" s="19" t="s">
        <v>483</v>
      </c>
      <c r="F140" s="35">
        <v>85</v>
      </c>
      <c r="G140" s="35">
        <v>120</v>
      </c>
      <c r="H140" s="35">
        <f>120-85</f>
        <v>35</v>
      </c>
      <c r="I140" s="20">
        <v>300</v>
      </c>
      <c r="J140" s="21">
        <f t="shared" si="9"/>
        <v>10500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13</v>
      </c>
      <c r="C141" s="18">
        <v>44994</v>
      </c>
      <c r="D141" s="19" t="s">
        <v>18</v>
      </c>
      <c r="E141" s="19" t="s">
        <v>483</v>
      </c>
      <c r="F141" s="35">
        <v>110</v>
      </c>
      <c r="G141" s="35">
        <v>123</v>
      </c>
      <c r="H141" s="35">
        <v>13</v>
      </c>
      <c r="I141" s="20">
        <v>300</v>
      </c>
      <c r="J141" s="21">
        <f t="shared" si="9"/>
        <v>3900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14</v>
      </c>
      <c r="C142" s="18">
        <v>44995</v>
      </c>
      <c r="D142" s="19" t="s">
        <v>18</v>
      </c>
      <c r="E142" s="19" t="s">
        <v>475</v>
      </c>
      <c r="F142" s="77">
        <v>115</v>
      </c>
      <c r="G142" s="35">
        <v>146</v>
      </c>
      <c r="H142" s="78">
        <f>146-115</f>
        <v>31</v>
      </c>
      <c r="I142" s="20">
        <v>300</v>
      </c>
      <c r="J142" s="21">
        <f t="shared" si="9"/>
        <v>9300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15</v>
      </c>
      <c r="C143" s="18">
        <v>44995</v>
      </c>
      <c r="D143" s="19" t="s">
        <v>18</v>
      </c>
      <c r="E143" s="19" t="s">
        <v>475</v>
      </c>
      <c r="F143" s="35">
        <v>100</v>
      </c>
      <c r="G143" s="35">
        <v>115</v>
      </c>
      <c r="H143" s="78">
        <v>15</v>
      </c>
      <c r="I143" s="20">
        <v>300</v>
      </c>
      <c r="J143" s="21">
        <f t="shared" si="9"/>
        <v>4500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16</v>
      </c>
      <c r="C144" s="18">
        <v>44998</v>
      </c>
      <c r="D144" s="19" t="s">
        <v>18</v>
      </c>
      <c r="E144" s="19" t="s">
        <v>470</v>
      </c>
      <c r="F144" s="35">
        <v>100</v>
      </c>
      <c r="G144" s="35">
        <v>80</v>
      </c>
      <c r="H144" s="78">
        <v>-20</v>
      </c>
      <c r="I144" s="20">
        <v>300</v>
      </c>
      <c r="J144" s="21">
        <f t="shared" si="9"/>
        <v>-6000</v>
      </c>
      <c r="K144" s="7"/>
      <c r="V144" s="5">
        <f t="shared" si="10"/>
        <v>0</v>
      </c>
      <c r="W144" s="5">
        <f t="shared" si="11"/>
        <v>1</v>
      </c>
    </row>
    <row r="145" spans="1:23" s="36" customFormat="1" x14ac:dyDescent="0.3">
      <c r="A145" s="6"/>
      <c r="B145" s="17">
        <f t="shared" si="12"/>
        <v>17</v>
      </c>
      <c r="C145" s="18">
        <v>44998</v>
      </c>
      <c r="D145" s="19" t="s">
        <v>18</v>
      </c>
      <c r="E145" s="19" t="s">
        <v>588</v>
      </c>
      <c r="F145" s="35">
        <v>110</v>
      </c>
      <c r="G145" s="35">
        <v>145</v>
      </c>
      <c r="H145" s="78">
        <f>145-110</f>
        <v>35</v>
      </c>
      <c r="I145" s="20">
        <v>300</v>
      </c>
      <c r="J145" s="21">
        <f t="shared" si="9"/>
        <v>10500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18</v>
      </c>
      <c r="C146" s="18">
        <v>44998</v>
      </c>
      <c r="D146" s="19" t="s">
        <v>18</v>
      </c>
      <c r="E146" s="19" t="s">
        <v>475</v>
      </c>
      <c r="F146" s="35">
        <v>115</v>
      </c>
      <c r="G146" s="35">
        <v>130</v>
      </c>
      <c r="H146" s="78">
        <v>15</v>
      </c>
      <c r="I146" s="20">
        <v>300</v>
      </c>
      <c r="J146" s="21">
        <f t="shared" si="9"/>
        <v>4500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19</v>
      </c>
      <c r="C147" s="18">
        <v>44999</v>
      </c>
      <c r="D147" s="19" t="s">
        <v>18</v>
      </c>
      <c r="E147" s="19" t="s">
        <v>586</v>
      </c>
      <c r="F147" s="35">
        <v>115</v>
      </c>
      <c r="G147" s="35">
        <v>125</v>
      </c>
      <c r="H147" s="78">
        <v>10</v>
      </c>
      <c r="I147" s="20">
        <v>300</v>
      </c>
      <c r="J147" s="21">
        <f t="shared" si="9"/>
        <v>3000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20</v>
      </c>
      <c r="C148" s="18">
        <v>44999</v>
      </c>
      <c r="D148" s="19" t="s">
        <v>18</v>
      </c>
      <c r="E148" s="19" t="s">
        <v>642</v>
      </c>
      <c r="F148" s="35">
        <v>105</v>
      </c>
      <c r="G148" s="35">
        <v>120</v>
      </c>
      <c r="H148" s="35">
        <v>15</v>
      </c>
      <c r="I148" s="20">
        <v>300</v>
      </c>
      <c r="J148" s="21">
        <f t="shared" si="9"/>
        <v>4500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21</v>
      </c>
      <c r="C149" s="18">
        <v>44999</v>
      </c>
      <c r="D149" s="19" t="s">
        <v>18</v>
      </c>
      <c r="E149" s="19" t="s">
        <v>466</v>
      </c>
      <c r="F149" s="35">
        <v>120</v>
      </c>
      <c r="G149" s="35">
        <v>155</v>
      </c>
      <c r="H149" s="35">
        <f>155-120</f>
        <v>35</v>
      </c>
      <c r="I149" s="20">
        <v>300</v>
      </c>
      <c r="J149" s="21">
        <f t="shared" si="9"/>
        <v>10500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22</v>
      </c>
      <c r="C150" s="18">
        <v>45000</v>
      </c>
      <c r="D150" s="19" t="s">
        <v>18</v>
      </c>
      <c r="E150" s="19" t="s">
        <v>589</v>
      </c>
      <c r="F150" s="35">
        <v>115</v>
      </c>
      <c r="G150" s="35">
        <v>150</v>
      </c>
      <c r="H150" s="35">
        <f>150-115</f>
        <v>35</v>
      </c>
      <c r="I150" s="20">
        <v>300</v>
      </c>
      <c r="J150" s="21">
        <f t="shared" si="9"/>
        <v>10500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23</v>
      </c>
      <c r="C151" s="18">
        <v>45001</v>
      </c>
      <c r="D151" s="19" t="s">
        <v>18</v>
      </c>
      <c r="E151" s="19" t="s">
        <v>576</v>
      </c>
      <c r="F151" s="35">
        <v>125</v>
      </c>
      <c r="G151" s="35">
        <v>153</v>
      </c>
      <c r="H151" s="35">
        <f>153-125</f>
        <v>28</v>
      </c>
      <c r="I151" s="20">
        <v>300</v>
      </c>
      <c r="J151" s="21">
        <f t="shared" si="9"/>
        <v>8400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>B151+1</f>
        <v>24</v>
      </c>
      <c r="C152" s="18">
        <v>45001</v>
      </c>
      <c r="D152" s="19" t="s">
        <v>18</v>
      </c>
      <c r="E152" s="19" t="s">
        <v>642</v>
      </c>
      <c r="F152" s="35">
        <v>85</v>
      </c>
      <c r="G152" s="35">
        <v>120</v>
      </c>
      <c r="H152" s="35">
        <f>120-85</f>
        <v>35</v>
      </c>
      <c r="I152" s="20">
        <v>300</v>
      </c>
      <c r="J152" s="21">
        <f t="shared" si="9"/>
        <v>10500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ref="B153:B174" si="14">B152+1</f>
        <v>25</v>
      </c>
      <c r="C153" s="18">
        <v>45002</v>
      </c>
      <c r="D153" s="19" t="s">
        <v>18</v>
      </c>
      <c r="E153" s="19" t="s">
        <v>642</v>
      </c>
      <c r="F153" s="35">
        <v>130</v>
      </c>
      <c r="G153" s="35">
        <v>165</v>
      </c>
      <c r="H153" s="35">
        <f>165-130</f>
        <v>35</v>
      </c>
      <c r="I153" s="20">
        <v>300</v>
      </c>
      <c r="J153" s="21">
        <f t="shared" si="9"/>
        <v>10500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4"/>
        <v>26</v>
      </c>
      <c r="C154" s="18">
        <v>45002</v>
      </c>
      <c r="D154" s="19" t="s">
        <v>18</v>
      </c>
      <c r="E154" s="19" t="s">
        <v>576</v>
      </c>
      <c r="F154" s="35">
        <v>120</v>
      </c>
      <c r="G154" s="35">
        <v>146</v>
      </c>
      <c r="H154" s="35">
        <f>146-120</f>
        <v>26</v>
      </c>
      <c r="I154" s="20">
        <v>300</v>
      </c>
      <c r="J154" s="21">
        <f t="shared" si="9"/>
        <v>7800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4"/>
        <v>27</v>
      </c>
      <c r="C155" s="18">
        <v>45005</v>
      </c>
      <c r="D155" s="19" t="s">
        <v>18</v>
      </c>
      <c r="E155" s="19" t="s">
        <v>443</v>
      </c>
      <c r="F155" s="35">
        <v>125</v>
      </c>
      <c r="G155" s="35">
        <v>105</v>
      </c>
      <c r="H155" s="35">
        <v>-20</v>
      </c>
      <c r="I155" s="20">
        <v>300</v>
      </c>
      <c r="J155" s="21">
        <f t="shared" si="9"/>
        <v>-6000</v>
      </c>
      <c r="K155" s="7"/>
      <c r="V155" s="5">
        <f t="shared" si="10"/>
        <v>0</v>
      </c>
      <c r="W155" s="5">
        <f t="shared" si="11"/>
        <v>1</v>
      </c>
    </row>
    <row r="156" spans="1:23" s="36" customFormat="1" x14ac:dyDescent="0.3">
      <c r="A156" s="6"/>
      <c r="B156" s="17">
        <f t="shared" si="14"/>
        <v>28</v>
      </c>
      <c r="C156" s="18">
        <v>45005</v>
      </c>
      <c r="D156" s="19" t="s">
        <v>18</v>
      </c>
      <c r="E156" s="19" t="s">
        <v>591</v>
      </c>
      <c r="F156" s="35">
        <v>115</v>
      </c>
      <c r="G156" s="35">
        <v>95</v>
      </c>
      <c r="H156" s="35">
        <v>-20</v>
      </c>
      <c r="I156" s="20">
        <v>300</v>
      </c>
      <c r="J156" s="21">
        <f t="shared" si="9"/>
        <v>-6000</v>
      </c>
      <c r="K156" s="7"/>
      <c r="V156" s="5">
        <f t="shared" si="10"/>
        <v>0</v>
      </c>
      <c r="W156" s="5">
        <f t="shared" si="11"/>
        <v>1</v>
      </c>
    </row>
    <row r="157" spans="1:23" s="36" customFormat="1" x14ac:dyDescent="0.3">
      <c r="A157" s="6"/>
      <c r="B157" s="17">
        <f t="shared" si="14"/>
        <v>29</v>
      </c>
      <c r="C157" s="18">
        <v>45005</v>
      </c>
      <c r="D157" s="19" t="s">
        <v>18</v>
      </c>
      <c r="E157" s="19" t="s">
        <v>591</v>
      </c>
      <c r="F157" s="35">
        <v>120</v>
      </c>
      <c r="G157" s="35">
        <v>155</v>
      </c>
      <c r="H157" s="35">
        <f>155-120</f>
        <v>35</v>
      </c>
      <c r="I157" s="20">
        <v>300</v>
      </c>
      <c r="J157" s="21">
        <f t="shared" si="9"/>
        <v>10500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4"/>
        <v>30</v>
      </c>
      <c r="C158" s="18">
        <v>45006</v>
      </c>
      <c r="D158" s="19" t="s">
        <v>18</v>
      </c>
      <c r="E158" s="19" t="s">
        <v>593</v>
      </c>
      <c r="F158" s="35">
        <v>115</v>
      </c>
      <c r="G158" s="35">
        <v>90</v>
      </c>
      <c r="H158" s="35">
        <v>-20</v>
      </c>
      <c r="I158" s="20">
        <v>300</v>
      </c>
      <c r="J158" s="21">
        <f t="shared" si="9"/>
        <v>-6000</v>
      </c>
      <c r="K158" s="7"/>
      <c r="V158" s="5">
        <f t="shared" si="10"/>
        <v>0</v>
      </c>
      <c r="W158" s="5">
        <f t="shared" si="11"/>
        <v>1</v>
      </c>
    </row>
    <row r="159" spans="1:23" s="36" customFormat="1" x14ac:dyDescent="0.3">
      <c r="A159" s="6"/>
      <c r="B159" s="17">
        <f t="shared" si="14"/>
        <v>31</v>
      </c>
      <c r="C159" s="18">
        <v>45006</v>
      </c>
      <c r="D159" s="19" t="s">
        <v>18</v>
      </c>
      <c r="E159" s="19" t="s">
        <v>642</v>
      </c>
      <c r="F159" s="35">
        <v>110</v>
      </c>
      <c r="G159" s="35">
        <v>131</v>
      </c>
      <c r="H159" s="35">
        <f>131-110</f>
        <v>21</v>
      </c>
      <c r="I159" s="20">
        <v>300</v>
      </c>
      <c r="J159" s="21">
        <f t="shared" si="9"/>
        <v>6300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 t="shared" si="14"/>
        <v>32</v>
      </c>
      <c r="C160" s="18">
        <v>45007</v>
      </c>
      <c r="D160" s="19" t="s">
        <v>18</v>
      </c>
      <c r="E160" s="19" t="s">
        <v>589</v>
      </c>
      <c r="F160" s="35">
        <v>105</v>
      </c>
      <c r="G160" s="35">
        <v>120</v>
      </c>
      <c r="H160" s="35">
        <f>120-105</f>
        <v>15</v>
      </c>
      <c r="I160" s="20">
        <v>300</v>
      </c>
      <c r="J160" s="21">
        <f t="shared" si="9"/>
        <v>4500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si="14"/>
        <v>33</v>
      </c>
      <c r="C161" s="18">
        <v>45007</v>
      </c>
      <c r="D161" s="19" t="s">
        <v>18</v>
      </c>
      <c r="E161" s="19" t="s">
        <v>473</v>
      </c>
      <c r="F161" s="35">
        <v>130</v>
      </c>
      <c r="G161" s="35">
        <v>145</v>
      </c>
      <c r="H161" s="35">
        <v>15</v>
      </c>
      <c r="I161" s="20">
        <v>300</v>
      </c>
      <c r="J161" s="21">
        <f t="shared" si="9"/>
        <v>4500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4"/>
        <v>34</v>
      </c>
      <c r="C162" s="18">
        <v>45008</v>
      </c>
      <c r="D162" s="19" t="s">
        <v>18</v>
      </c>
      <c r="E162" s="19" t="s">
        <v>466</v>
      </c>
      <c r="F162" s="35">
        <v>105</v>
      </c>
      <c r="G162" s="35">
        <v>116</v>
      </c>
      <c r="H162" s="35">
        <f>116-105</f>
        <v>11</v>
      </c>
      <c r="I162" s="20">
        <v>300</v>
      </c>
      <c r="J162" s="21">
        <f t="shared" si="9"/>
        <v>3300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4"/>
        <v>35</v>
      </c>
      <c r="C163" s="18">
        <v>45008</v>
      </c>
      <c r="D163" s="19" t="s">
        <v>18</v>
      </c>
      <c r="E163" s="19" t="s">
        <v>593</v>
      </c>
      <c r="F163" s="35">
        <v>120</v>
      </c>
      <c r="G163" s="35">
        <v>155</v>
      </c>
      <c r="H163" s="35">
        <f>155-120</f>
        <v>35</v>
      </c>
      <c r="I163" s="20">
        <v>300</v>
      </c>
      <c r="J163" s="21">
        <f t="shared" si="9"/>
        <v>10500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4"/>
        <v>36</v>
      </c>
      <c r="C164" s="18">
        <v>45009</v>
      </c>
      <c r="D164" s="19" t="s">
        <v>18</v>
      </c>
      <c r="E164" s="19" t="s">
        <v>595</v>
      </c>
      <c r="F164" s="35">
        <v>145</v>
      </c>
      <c r="G164" s="35">
        <v>160</v>
      </c>
      <c r="H164" s="35">
        <v>15</v>
      </c>
      <c r="I164" s="20">
        <v>300</v>
      </c>
      <c r="J164" s="21">
        <f t="shared" si="9"/>
        <v>4500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4"/>
        <v>37</v>
      </c>
      <c r="C165" s="18">
        <v>45009</v>
      </c>
      <c r="D165" s="19" t="s">
        <v>18</v>
      </c>
      <c r="E165" s="19" t="s">
        <v>590</v>
      </c>
      <c r="F165" s="35">
        <v>120</v>
      </c>
      <c r="G165" s="35">
        <v>135</v>
      </c>
      <c r="H165" s="35">
        <v>15</v>
      </c>
      <c r="I165" s="20">
        <v>300</v>
      </c>
      <c r="J165" s="21">
        <f t="shared" si="9"/>
        <v>4500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4"/>
        <v>38</v>
      </c>
      <c r="C166" s="18">
        <v>45012</v>
      </c>
      <c r="D166" s="19" t="s">
        <v>18</v>
      </c>
      <c r="E166" s="19" t="s">
        <v>595</v>
      </c>
      <c r="F166" s="35">
        <v>110</v>
      </c>
      <c r="G166" s="35">
        <v>134</v>
      </c>
      <c r="H166" s="35">
        <f>134-110</f>
        <v>24</v>
      </c>
      <c r="I166" s="20">
        <v>300</v>
      </c>
      <c r="J166" s="21">
        <f t="shared" si="9"/>
        <v>7200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4"/>
        <v>39</v>
      </c>
      <c r="C167" s="18">
        <v>45012</v>
      </c>
      <c r="D167" s="19" t="s">
        <v>18</v>
      </c>
      <c r="E167" s="19" t="s">
        <v>590</v>
      </c>
      <c r="F167" s="35">
        <v>110</v>
      </c>
      <c r="G167" s="35">
        <v>145</v>
      </c>
      <c r="H167" s="35">
        <f>145-110</f>
        <v>35</v>
      </c>
      <c r="I167" s="20">
        <v>300</v>
      </c>
      <c r="J167" s="21">
        <f t="shared" si="9"/>
        <v>10500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4"/>
        <v>40</v>
      </c>
      <c r="C168" s="18">
        <v>45013</v>
      </c>
      <c r="D168" s="19" t="s">
        <v>18</v>
      </c>
      <c r="E168" s="19" t="s">
        <v>642</v>
      </c>
      <c r="F168" s="35">
        <v>100</v>
      </c>
      <c r="G168" s="35">
        <v>135</v>
      </c>
      <c r="H168" s="35">
        <v>35</v>
      </c>
      <c r="I168" s="20">
        <v>300</v>
      </c>
      <c r="J168" s="21">
        <f t="shared" si="9"/>
        <v>10500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4"/>
        <v>41</v>
      </c>
      <c r="C169" s="18">
        <v>45013</v>
      </c>
      <c r="D169" s="19" t="s">
        <v>18</v>
      </c>
      <c r="E169" s="19" t="s">
        <v>642</v>
      </c>
      <c r="F169" s="35">
        <v>130</v>
      </c>
      <c r="G169" s="35">
        <v>160</v>
      </c>
      <c r="H169" s="35">
        <v>30</v>
      </c>
      <c r="I169" s="20">
        <v>300</v>
      </c>
      <c r="J169" s="21">
        <f t="shared" si="9"/>
        <v>9000</v>
      </c>
      <c r="K169" s="7"/>
      <c r="V169" s="5">
        <f t="shared" si="10"/>
        <v>1</v>
      </c>
      <c r="W169" s="5">
        <f t="shared" si="11"/>
        <v>0</v>
      </c>
    </row>
    <row r="170" spans="1:23" s="36" customFormat="1" x14ac:dyDescent="0.3">
      <c r="A170" s="6"/>
      <c r="B170" s="17">
        <f t="shared" si="14"/>
        <v>42</v>
      </c>
      <c r="C170" s="18">
        <v>45014</v>
      </c>
      <c r="D170" s="19" t="s">
        <v>18</v>
      </c>
      <c r="E170" s="19" t="s">
        <v>592</v>
      </c>
      <c r="F170" s="35">
        <v>125</v>
      </c>
      <c r="G170" s="35">
        <v>144.80000000000001</v>
      </c>
      <c r="H170" s="35">
        <f>144.8-125</f>
        <v>19.800000000000011</v>
      </c>
      <c r="I170" s="20">
        <v>300</v>
      </c>
      <c r="J170" s="21">
        <f t="shared" si="9"/>
        <v>5940.0000000000036</v>
      </c>
      <c r="K170" s="7"/>
      <c r="V170" s="5">
        <f t="shared" si="10"/>
        <v>1</v>
      </c>
      <c r="W170" s="5">
        <f t="shared" si="11"/>
        <v>0</v>
      </c>
    </row>
    <row r="171" spans="1:23" s="36" customFormat="1" x14ac:dyDescent="0.3">
      <c r="A171" s="6"/>
      <c r="B171" s="17">
        <f t="shared" si="14"/>
        <v>43</v>
      </c>
      <c r="C171" s="18">
        <v>45014</v>
      </c>
      <c r="D171" s="19" t="s">
        <v>18</v>
      </c>
      <c r="E171" s="19" t="s">
        <v>590</v>
      </c>
      <c r="F171" s="35">
        <v>105</v>
      </c>
      <c r="G171" s="35">
        <v>85</v>
      </c>
      <c r="H171" s="35">
        <v>-15</v>
      </c>
      <c r="I171" s="20">
        <v>300</v>
      </c>
      <c r="J171" s="21">
        <f t="shared" si="9"/>
        <v>-4500</v>
      </c>
      <c r="K171" s="7"/>
      <c r="V171" s="5">
        <f t="shared" si="10"/>
        <v>0</v>
      </c>
      <c r="W171" s="5">
        <f t="shared" si="11"/>
        <v>1</v>
      </c>
    </row>
    <row r="172" spans="1:23" s="36" customFormat="1" x14ac:dyDescent="0.3">
      <c r="A172" s="6"/>
      <c r="B172" s="17">
        <f t="shared" si="14"/>
        <v>44</v>
      </c>
      <c r="C172" s="18">
        <v>45016</v>
      </c>
      <c r="D172" s="19" t="s">
        <v>18</v>
      </c>
      <c r="E172" s="19" t="s">
        <v>577</v>
      </c>
      <c r="F172" s="35">
        <v>110</v>
      </c>
      <c r="G172" s="35">
        <v>130</v>
      </c>
      <c r="H172" s="35">
        <v>20</v>
      </c>
      <c r="I172" s="20">
        <v>300</v>
      </c>
      <c r="J172" s="21">
        <f t="shared" si="9"/>
        <v>6000</v>
      </c>
      <c r="K172" s="7"/>
      <c r="V172" s="5">
        <f t="shared" si="10"/>
        <v>1</v>
      </c>
      <c r="W172" s="5">
        <f t="shared" si="11"/>
        <v>0</v>
      </c>
    </row>
    <row r="173" spans="1:23" s="36" customFormat="1" x14ac:dyDescent="0.3">
      <c r="A173" s="6"/>
      <c r="B173" s="17">
        <f t="shared" si="14"/>
        <v>45</v>
      </c>
      <c r="C173" s="18">
        <v>45016</v>
      </c>
      <c r="D173" s="19" t="s">
        <v>18</v>
      </c>
      <c r="E173" s="19" t="s">
        <v>577</v>
      </c>
      <c r="F173" s="35">
        <v>145</v>
      </c>
      <c r="G173" s="35">
        <v>167</v>
      </c>
      <c r="H173" s="35">
        <f>167-145</f>
        <v>22</v>
      </c>
      <c r="I173" s="20">
        <v>300</v>
      </c>
      <c r="J173" s="21">
        <f t="shared" si="9"/>
        <v>6600</v>
      </c>
      <c r="K173" s="7"/>
      <c r="V173" s="5">
        <f t="shared" si="10"/>
        <v>1</v>
      </c>
      <c r="W173" s="5">
        <f t="shared" si="11"/>
        <v>0</v>
      </c>
    </row>
    <row r="174" spans="1:23" s="36" customFormat="1" ht="15" thickBot="1" x14ac:dyDescent="0.35">
      <c r="A174" s="6"/>
      <c r="B174" s="95">
        <f t="shared" si="14"/>
        <v>46</v>
      </c>
      <c r="C174" s="79"/>
      <c r="D174" s="80"/>
      <c r="E174" s="80"/>
      <c r="F174" s="96"/>
      <c r="G174" s="96"/>
      <c r="H174" s="96"/>
      <c r="I174" s="81"/>
      <c r="J174" s="82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ht="24" thickBot="1" x14ac:dyDescent="0.5">
      <c r="A175" s="6"/>
      <c r="B175" s="165" t="s">
        <v>22</v>
      </c>
      <c r="C175" s="166"/>
      <c r="D175" s="166"/>
      <c r="E175" s="166"/>
      <c r="F175" s="166"/>
      <c r="G175" s="166"/>
      <c r="H175" s="167"/>
      <c r="I175" s="83" t="s">
        <v>23</v>
      </c>
      <c r="J175" s="84">
        <f>SUM(J129:J174)</f>
        <v>245340</v>
      </c>
      <c r="K175" s="7"/>
      <c r="L175" s="5"/>
      <c r="M175" s="5"/>
      <c r="N175" s="5"/>
      <c r="O175" s="5"/>
      <c r="P175" s="5"/>
      <c r="Q175" s="5"/>
      <c r="R175" s="5"/>
      <c r="V175" s="36">
        <f>SUM(V129:V174)</f>
        <v>38</v>
      </c>
      <c r="W175" s="36">
        <f>SUM(W129:W174)</f>
        <v>7</v>
      </c>
    </row>
    <row r="176" spans="1:23" s="36" customFormat="1" ht="30" customHeight="1" thickBot="1" x14ac:dyDescent="0.35">
      <c r="A176" s="30"/>
      <c r="B176" s="31"/>
      <c r="C176" s="31"/>
      <c r="D176" s="31"/>
      <c r="E176" s="31"/>
      <c r="F176" s="31"/>
      <c r="G176" s="31"/>
      <c r="H176" s="32"/>
      <c r="I176" s="31"/>
      <c r="J176" s="32"/>
      <c r="K176" s="33"/>
      <c r="L176" s="5"/>
      <c r="M176" s="5"/>
      <c r="N176" s="5"/>
      <c r="O176" s="5"/>
      <c r="P176" s="5"/>
      <c r="Q176" s="5"/>
      <c r="R176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B121:H121"/>
    <mergeCell ref="B125:J125"/>
    <mergeCell ref="B126:J126"/>
    <mergeCell ref="B127:J127"/>
    <mergeCell ref="B175:H175"/>
  </mergeCells>
  <hyperlinks>
    <hyperlink ref="B59" r:id="rId1" xr:uid="{00000000-0004-0000-2000-000000000000}"/>
    <hyperlink ref="B121" r:id="rId2" xr:uid="{00000000-0004-0000-2000-000001000000}"/>
    <hyperlink ref="B175" r:id="rId3" xr:uid="{00000000-0004-0000-2000-000002000000}"/>
    <hyperlink ref="M1" location="MASTER!A1" display="Back" xr:uid="{00000000-0004-0000-2000-000003000000}"/>
    <hyperlink ref="M6:M7" location="'NOV 2022'!A70" display="EXTRA STOCK FUTURE" xr:uid="{00000000-0004-0000-2000-000004000000}"/>
    <hyperlink ref="M8:M9" location="'NOV 2022'!A140" display="EXTRA NIFTY OPTION" xr:uid="{00000000-0004-0000-2000-000005000000}"/>
    <hyperlink ref="M4:M5" location="'NOV 2022'!A1" display="EXTRA BANKNIFTY OPTION" xr:uid="{00000000-0004-0000-2000-000006000000}"/>
  </hyperlinks>
  <pageMargins left="0" right="0" top="0" bottom="0" header="0" footer="0"/>
  <pageSetup paperSize="9" orientation="portrait" r:id="rId4"/>
  <drawing r:id="rId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176"/>
  <sheetViews>
    <sheetView zoomScaleNormal="100" workbookViewId="0"/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9.109375" style="5" customWidth="1"/>
    <col min="22" max="23" width="9.109375" style="5" hidden="1" customWidth="1"/>
    <col min="24" max="24" width="9.109375" style="5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225" t="s">
        <v>3</v>
      </c>
      <c r="N2" s="226" t="s">
        <v>4</v>
      </c>
      <c r="O2" s="227" t="s">
        <v>5</v>
      </c>
      <c r="P2" s="227" t="s">
        <v>6</v>
      </c>
      <c r="Q2" s="227" t="s">
        <v>7</v>
      </c>
      <c r="R2" s="224" t="s">
        <v>8</v>
      </c>
    </row>
    <row r="3" spans="1:23" ht="16.2" thickBot="1" x14ac:dyDescent="0.35">
      <c r="A3" s="6"/>
      <c r="B3" s="103">
        <v>45017</v>
      </c>
      <c r="C3" s="104"/>
      <c r="D3" s="104"/>
      <c r="E3" s="104"/>
      <c r="F3" s="104"/>
      <c r="G3" s="104"/>
      <c r="H3" s="104"/>
      <c r="I3" s="104"/>
      <c r="J3" s="105"/>
      <c r="K3" s="7"/>
      <c r="M3" s="225"/>
      <c r="N3" s="226"/>
      <c r="O3" s="227"/>
      <c r="P3" s="227"/>
      <c r="Q3" s="227"/>
      <c r="R3" s="224"/>
    </row>
    <row r="4" spans="1:23" ht="16.5" customHeight="1" thickBot="1" x14ac:dyDescent="0.35">
      <c r="A4" s="6"/>
      <c r="B4" s="106" t="s">
        <v>785</v>
      </c>
      <c r="C4" s="107"/>
      <c r="D4" s="107"/>
      <c r="E4" s="107"/>
      <c r="F4" s="107"/>
      <c r="G4" s="107"/>
      <c r="H4" s="107"/>
      <c r="I4" s="107"/>
      <c r="J4" s="108"/>
      <c r="K4" s="7"/>
      <c r="M4" s="221" t="s">
        <v>107</v>
      </c>
      <c r="N4" s="222">
        <f>COUNT(C6:C58)</f>
        <v>33</v>
      </c>
      <c r="O4" s="222">
        <f>V59</f>
        <v>31</v>
      </c>
      <c r="P4" s="222">
        <f>W59</f>
        <v>1</v>
      </c>
      <c r="Q4" s="222">
        <f>N4-O4-P4</f>
        <v>1</v>
      </c>
      <c r="R4" s="220">
        <f>O4/N4</f>
        <v>0.93939393939393945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221"/>
      <c r="N5" s="222"/>
      <c r="O5" s="222"/>
      <c r="P5" s="222"/>
      <c r="Q5" s="222"/>
      <c r="R5" s="220"/>
      <c r="V5" s="5" t="s">
        <v>5</v>
      </c>
      <c r="W5" s="5" t="s">
        <v>6</v>
      </c>
    </row>
    <row r="6" spans="1:23" ht="15" customHeight="1" thickBot="1" x14ac:dyDescent="0.35">
      <c r="A6" s="6"/>
      <c r="B6" s="88">
        <v>1</v>
      </c>
      <c r="C6" s="89">
        <v>45019</v>
      </c>
      <c r="D6" s="90" t="s">
        <v>18</v>
      </c>
      <c r="E6" s="90" t="s">
        <v>522</v>
      </c>
      <c r="F6" s="90">
        <v>150</v>
      </c>
      <c r="G6" s="90">
        <v>168</v>
      </c>
      <c r="H6" s="91">
        <v>18</v>
      </c>
      <c r="I6" s="90">
        <v>100</v>
      </c>
      <c r="J6" s="92">
        <f t="shared" ref="J6:J58" si="0">H6*I6</f>
        <v>1800</v>
      </c>
      <c r="K6" s="7"/>
      <c r="M6" s="221" t="s">
        <v>108</v>
      </c>
      <c r="N6" s="222">
        <f>COUNT(C67:C120)</f>
        <v>9</v>
      </c>
      <c r="O6" s="222">
        <f>V121</f>
        <v>9</v>
      </c>
      <c r="P6" s="222">
        <f>W121</f>
        <v>0</v>
      </c>
      <c r="Q6" s="222">
        <f>N6-O6-P6</f>
        <v>0</v>
      </c>
      <c r="R6" s="220">
        <f t="shared" ref="R6" si="1">O6/N6</f>
        <v>1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ht="15" thickBot="1" x14ac:dyDescent="0.35">
      <c r="A7" s="6"/>
      <c r="B7" s="17">
        <v>2</v>
      </c>
      <c r="C7" s="85">
        <v>45021</v>
      </c>
      <c r="D7" s="86" t="s">
        <v>18</v>
      </c>
      <c r="E7" s="86" t="s">
        <v>820</v>
      </c>
      <c r="F7" s="86">
        <v>130</v>
      </c>
      <c r="G7" s="86">
        <v>162</v>
      </c>
      <c r="H7" s="87">
        <v>32</v>
      </c>
      <c r="I7" s="86">
        <v>100</v>
      </c>
      <c r="J7" s="21">
        <f t="shared" si="0"/>
        <v>3200</v>
      </c>
      <c r="K7" s="7"/>
      <c r="M7" s="221"/>
      <c r="N7" s="222"/>
      <c r="O7" s="222"/>
      <c r="P7" s="222"/>
      <c r="Q7" s="222"/>
      <c r="R7" s="220"/>
      <c r="V7" s="5">
        <f t="shared" si="2"/>
        <v>1</v>
      </c>
      <c r="W7" s="5">
        <f t="shared" si="3"/>
        <v>0</v>
      </c>
    </row>
    <row r="8" spans="1:23" ht="15" thickBot="1" x14ac:dyDescent="0.35">
      <c r="A8" s="6"/>
      <c r="B8" s="88">
        <v>3</v>
      </c>
      <c r="C8" s="85">
        <v>45021</v>
      </c>
      <c r="D8" s="86" t="s">
        <v>18</v>
      </c>
      <c r="E8" s="86" t="s">
        <v>821</v>
      </c>
      <c r="F8" s="86">
        <v>150</v>
      </c>
      <c r="G8" s="86">
        <v>168</v>
      </c>
      <c r="H8" s="87">
        <v>18</v>
      </c>
      <c r="I8" s="86">
        <v>100</v>
      </c>
      <c r="J8" s="21">
        <f t="shared" si="0"/>
        <v>1800</v>
      </c>
      <c r="K8" s="7"/>
      <c r="M8" s="223" t="s">
        <v>194</v>
      </c>
      <c r="N8" s="222">
        <f>COUNT(C129:C174)</f>
        <v>35</v>
      </c>
      <c r="O8" s="222">
        <f>V175</f>
        <v>29</v>
      </c>
      <c r="P8" s="222">
        <f>W175</f>
        <v>6</v>
      </c>
      <c r="Q8" s="222">
        <v>0</v>
      </c>
      <c r="R8" s="220">
        <f t="shared" ref="R8:R10" si="4">O8/N8</f>
        <v>0.82857142857142863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45022</v>
      </c>
      <c r="D9" s="86" t="s">
        <v>18</v>
      </c>
      <c r="E9" s="86" t="s">
        <v>721</v>
      </c>
      <c r="F9" s="86">
        <v>110</v>
      </c>
      <c r="G9" s="86">
        <v>210</v>
      </c>
      <c r="H9" s="87">
        <v>100</v>
      </c>
      <c r="I9" s="86">
        <v>100</v>
      </c>
      <c r="J9" s="21">
        <f t="shared" si="0"/>
        <v>10000</v>
      </c>
      <c r="K9" s="7"/>
      <c r="M9" s="223"/>
      <c r="N9" s="222"/>
      <c r="O9" s="222"/>
      <c r="P9" s="222"/>
      <c r="Q9" s="222"/>
      <c r="R9" s="220"/>
      <c r="V9" s="5">
        <f t="shared" si="2"/>
        <v>1</v>
      </c>
      <c r="W9" s="5">
        <f t="shared" si="3"/>
        <v>0</v>
      </c>
    </row>
    <row r="10" spans="1:23" ht="16.5" customHeight="1" thickBot="1" x14ac:dyDescent="0.35">
      <c r="A10" s="6"/>
      <c r="B10" s="88">
        <v>5</v>
      </c>
      <c r="C10" s="85">
        <v>45022</v>
      </c>
      <c r="D10" s="86" t="s">
        <v>18</v>
      </c>
      <c r="E10" s="86" t="s">
        <v>515</v>
      </c>
      <c r="F10" s="86">
        <v>150</v>
      </c>
      <c r="G10" s="86">
        <v>200</v>
      </c>
      <c r="H10" s="87">
        <v>50</v>
      </c>
      <c r="I10" s="86">
        <v>100</v>
      </c>
      <c r="J10" s="21">
        <f t="shared" si="0"/>
        <v>5000</v>
      </c>
      <c r="K10" s="7"/>
      <c r="M10" s="218" t="s">
        <v>19</v>
      </c>
      <c r="N10" s="219">
        <f>SUM(N4:N9)</f>
        <v>77</v>
      </c>
      <c r="O10" s="219">
        <f>SUM(O4:O9)</f>
        <v>69</v>
      </c>
      <c r="P10" s="219">
        <f>SUM(P4:P9)</f>
        <v>7</v>
      </c>
      <c r="Q10" s="219">
        <f>SUM(Q4:Q9)</f>
        <v>1</v>
      </c>
      <c r="R10" s="220">
        <f t="shared" si="4"/>
        <v>0.89610389610389607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45026</v>
      </c>
      <c r="D11" s="86" t="s">
        <v>18</v>
      </c>
      <c r="E11" s="86" t="s">
        <v>821</v>
      </c>
      <c r="F11" s="86">
        <v>140</v>
      </c>
      <c r="G11" s="86">
        <v>190</v>
      </c>
      <c r="H11" s="87">
        <v>50</v>
      </c>
      <c r="I11" s="86">
        <v>100</v>
      </c>
      <c r="J11" s="21">
        <f t="shared" si="0"/>
        <v>5000</v>
      </c>
      <c r="K11" s="7"/>
      <c r="M11" s="218"/>
      <c r="N11" s="219"/>
      <c r="O11" s="219"/>
      <c r="P11" s="219"/>
      <c r="Q11" s="219"/>
      <c r="R11" s="220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45026</v>
      </c>
      <c r="D12" s="86" t="s">
        <v>18</v>
      </c>
      <c r="E12" s="86" t="s">
        <v>729</v>
      </c>
      <c r="F12" s="86">
        <v>140</v>
      </c>
      <c r="G12" s="86">
        <v>150</v>
      </c>
      <c r="H12" s="87">
        <v>10</v>
      </c>
      <c r="I12" s="86">
        <v>100</v>
      </c>
      <c r="J12" s="21">
        <f t="shared" si="0"/>
        <v>1000</v>
      </c>
      <c r="K12" s="7"/>
      <c r="M12" s="129" t="s">
        <v>20</v>
      </c>
      <c r="N12" s="130"/>
      <c r="O12" s="131"/>
      <c r="P12" s="138">
        <f>R10</f>
        <v>0.89610389610389607</v>
      </c>
      <c r="Q12" s="139"/>
      <c r="R12" s="140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45026</v>
      </c>
      <c r="D13" s="86" t="s">
        <v>18</v>
      </c>
      <c r="E13" s="86" t="s">
        <v>821</v>
      </c>
      <c r="F13" s="86">
        <v>115</v>
      </c>
      <c r="G13" s="86">
        <v>150</v>
      </c>
      <c r="H13" s="87">
        <f>150-115</f>
        <v>35</v>
      </c>
      <c r="I13" s="86">
        <v>100</v>
      </c>
      <c r="J13" s="21">
        <f t="shared" si="0"/>
        <v>3500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45027</v>
      </c>
      <c r="D14" s="86" t="s">
        <v>18</v>
      </c>
      <c r="E14" s="86" t="s">
        <v>744</v>
      </c>
      <c r="F14" s="86">
        <v>140</v>
      </c>
      <c r="G14" s="86">
        <v>221</v>
      </c>
      <c r="H14" s="87">
        <f>221-140</f>
        <v>81</v>
      </c>
      <c r="I14" s="86">
        <v>100</v>
      </c>
      <c r="J14" s="21">
        <f t="shared" si="0"/>
        <v>8100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45028</v>
      </c>
      <c r="D15" s="86" t="s">
        <v>18</v>
      </c>
      <c r="E15" s="86" t="s">
        <v>520</v>
      </c>
      <c r="F15" s="86">
        <v>130</v>
      </c>
      <c r="G15" s="86">
        <v>180</v>
      </c>
      <c r="H15" s="87">
        <v>50</v>
      </c>
      <c r="I15" s="86">
        <v>100</v>
      </c>
      <c r="J15" s="21">
        <f t="shared" si="0"/>
        <v>5000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85">
        <v>45028</v>
      </c>
      <c r="D16" s="86" t="s">
        <v>18</v>
      </c>
      <c r="E16" s="86" t="s">
        <v>520</v>
      </c>
      <c r="F16" s="86">
        <v>130</v>
      </c>
      <c r="G16" s="86">
        <v>177</v>
      </c>
      <c r="H16" s="87">
        <f>177-130</f>
        <v>47</v>
      </c>
      <c r="I16" s="86">
        <v>100</v>
      </c>
      <c r="J16" s="21">
        <f t="shared" si="0"/>
        <v>4700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85">
        <v>45029</v>
      </c>
      <c r="D17" s="86" t="s">
        <v>18</v>
      </c>
      <c r="E17" s="86" t="s">
        <v>727</v>
      </c>
      <c r="F17" s="86">
        <v>110</v>
      </c>
      <c r="G17" s="86">
        <v>210</v>
      </c>
      <c r="H17" s="87">
        <v>100</v>
      </c>
      <c r="I17" s="86">
        <v>100</v>
      </c>
      <c r="J17" s="21">
        <f t="shared" si="0"/>
        <v>10000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85">
        <v>45029</v>
      </c>
      <c r="D18" s="86" t="s">
        <v>18</v>
      </c>
      <c r="E18" s="86" t="s">
        <v>727</v>
      </c>
      <c r="F18" s="86">
        <v>110</v>
      </c>
      <c r="G18" s="86">
        <v>160</v>
      </c>
      <c r="H18" s="87">
        <v>50</v>
      </c>
      <c r="I18" s="86">
        <v>100</v>
      </c>
      <c r="J18" s="21">
        <f t="shared" si="0"/>
        <v>5000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85">
        <v>45033</v>
      </c>
      <c r="D19" s="86" t="s">
        <v>18</v>
      </c>
      <c r="E19" s="86" t="s">
        <v>752</v>
      </c>
      <c r="F19" s="86">
        <v>120</v>
      </c>
      <c r="G19" s="86">
        <v>220</v>
      </c>
      <c r="H19" s="87">
        <v>100</v>
      </c>
      <c r="I19" s="86">
        <v>100</v>
      </c>
      <c r="J19" s="21">
        <f t="shared" si="0"/>
        <v>10000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85">
        <v>45033</v>
      </c>
      <c r="D20" s="86" t="s">
        <v>18</v>
      </c>
      <c r="E20" s="86" t="s">
        <v>758</v>
      </c>
      <c r="F20" s="86">
        <v>130</v>
      </c>
      <c r="G20" s="86">
        <v>150</v>
      </c>
      <c r="H20" s="87">
        <v>20</v>
      </c>
      <c r="I20" s="86">
        <v>100</v>
      </c>
      <c r="J20" s="21">
        <f t="shared" si="0"/>
        <v>2000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85">
        <v>45034</v>
      </c>
      <c r="D21" s="86" t="s">
        <v>18</v>
      </c>
      <c r="E21" s="86" t="s">
        <v>807</v>
      </c>
      <c r="F21" s="86">
        <v>150</v>
      </c>
      <c r="G21" s="86">
        <v>165</v>
      </c>
      <c r="H21" s="87">
        <v>15</v>
      </c>
      <c r="I21" s="86">
        <v>100</v>
      </c>
      <c r="J21" s="21">
        <f t="shared" si="0"/>
        <v>1500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45034</v>
      </c>
      <c r="D22" s="19" t="s">
        <v>18</v>
      </c>
      <c r="E22" s="19" t="s">
        <v>757</v>
      </c>
      <c r="F22" s="35">
        <v>120</v>
      </c>
      <c r="G22" s="35">
        <v>132</v>
      </c>
      <c r="H22" s="35">
        <v>12</v>
      </c>
      <c r="I22" s="86">
        <v>100</v>
      </c>
      <c r="J22" s="21">
        <f t="shared" si="0"/>
        <v>1200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45035</v>
      </c>
      <c r="D23" s="19" t="s">
        <v>18</v>
      </c>
      <c r="E23" s="19" t="s">
        <v>756</v>
      </c>
      <c r="F23" s="35">
        <v>120</v>
      </c>
      <c r="G23" s="35">
        <v>170</v>
      </c>
      <c r="H23" s="35">
        <v>50</v>
      </c>
      <c r="I23" s="86">
        <v>100</v>
      </c>
      <c r="J23" s="21">
        <f t="shared" si="0"/>
        <v>5000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45035</v>
      </c>
      <c r="D24" s="19" t="s">
        <v>18</v>
      </c>
      <c r="E24" s="19" t="s">
        <v>756</v>
      </c>
      <c r="F24" s="35">
        <v>120</v>
      </c>
      <c r="G24" s="35">
        <v>183</v>
      </c>
      <c r="H24" s="35">
        <f>183-120</f>
        <v>63</v>
      </c>
      <c r="I24" s="20">
        <v>100</v>
      </c>
      <c r="J24" s="21">
        <f t="shared" si="0"/>
        <v>6300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45036</v>
      </c>
      <c r="D25" s="19" t="s">
        <v>18</v>
      </c>
      <c r="E25" s="19" t="s">
        <v>759</v>
      </c>
      <c r="F25" s="35">
        <v>120</v>
      </c>
      <c r="G25" s="35">
        <v>150</v>
      </c>
      <c r="H25" s="35">
        <v>30</v>
      </c>
      <c r="I25" s="20">
        <v>100</v>
      </c>
      <c r="J25" s="21">
        <f t="shared" si="0"/>
        <v>3000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45036</v>
      </c>
      <c r="D26" s="19" t="s">
        <v>18</v>
      </c>
      <c r="E26" s="19" t="s">
        <v>765</v>
      </c>
      <c r="F26" s="35">
        <v>100</v>
      </c>
      <c r="G26" s="35">
        <v>200</v>
      </c>
      <c r="H26" s="35">
        <v>100</v>
      </c>
      <c r="I26" s="20">
        <v>100</v>
      </c>
      <c r="J26" s="21">
        <f t="shared" si="0"/>
        <v>10000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45037</v>
      </c>
      <c r="D27" s="19" t="s">
        <v>18</v>
      </c>
      <c r="E27" s="19" t="s">
        <v>760</v>
      </c>
      <c r="F27" s="35">
        <v>150</v>
      </c>
      <c r="G27" s="35">
        <v>250</v>
      </c>
      <c r="H27" s="19">
        <v>100</v>
      </c>
      <c r="I27" s="20">
        <v>100</v>
      </c>
      <c r="J27" s="21">
        <f t="shared" si="0"/>
        <v>10000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45037</v>
      </c>
      <c r="D28" s="19" t="s">
        <v>18</v>
      </c>
      <c r="E28" s="19" t="s">
        <v>812</v>
      </c>
      <c r="F28" s="35">
        <v>150</v>
      </c>
      <c r="G28" s="35">
        <v>150</v>
      </c>
      <c r="H28" s="19">
        <v>0</v>
      </c>
      <c r="I28" s="20">
        <v>100</v>
      </c>
      <c r="J28" s="21">
        <f t="shared" si="0"/>
        <v>0</v>
      </c>
      <c r="K28" s="7"/>
      <c r="V28" s="5">
        <f t="shared" si="2"/>
        <v>0</v>
      </c>
      <c r="W28" s="5">
        <f t="shared" si="3"/>
        <v>0</v>
      </c>
    </row>
    <row r="29" spans="1:23" x14ac:dyDescent="0.3">
      <c r="A29" s="6"/>
      <c r="B29" s="17">
        <v>24</v>
      </c>
      <c r="C29" s="18">
        <v>45040</v>
      </c>
      <c r="D29" s="19" t="s">
        <v>18</v>
      </c>
      <c r="E29" s="19" t="s">
        <v>807</v>
      </c>
      <c r="F29" s="20">
        <v>140</v>
      </c>
      <c r="G29" s="20">
        <v>180</v>
      </c>
      <c r="H29" s="19">
        <v>40</v>
      </c>
      <c r="I29" s="20">
        <v>100</v>
      </c>
      <c r="J29" s="21">
        <f t="shared" si="0"/>
        <v>4000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45040</v>
      </c>
      <c r="D30" s="25" t="s">
        <v>18</v>
      </c>
      <c r="E30" s="25" t="s">
        <v>766</v>
      </c>
      <c r="F30" s="26">
        <v>130</v>
      </c>
      <c r="G30" s="61">
        <v>225</v>
      </c>
      <c r="H30" s="61">
        <f>225-130</f>
        <v>95</v>
      </c>
      <c r="I30" s="26">
        <v>100</v>
      </c>
      <c r="J30" s="21">
        <f t="shared" si="0"/>
        <v>9500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45041</v>
      </c>
      <c r="D31" s="25" t="s">
        <v>18</v>
      </c>
      <c r="E31" s="25" t="s">
        <v>753</v>
      </c>
      <c r="F31" s="26">
        <v>160</v>
      </c>
      <c r="G31" s="61">
        <v>205</v>
      </c>
      <c r="H31" s="61">
        <f>205-160</f>
        <v>45</v>
      </c>
      <c r="I31" s="26">
        <v>100</v>
      </c>
      <c r="J31" s="21">
        <f t="shared" si="0"/>
        <v>4500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45041</v>
      </c>
      <c r="D32" s="25" t="s">
        <v>18</v>
      </c>
      <c r="E32" s="25" t="s">
        <v>753</v>
      </c>
      <c r="F32" s="26">
        <v>160</v>
      </c>
      <c r="G32" s="61">
        <v>178</v>
      </c>
      <c r="H32" s="61">
        <v>18</v>
      </c>
      <c r="I32" s="26">
        <v>100</v>
      </c>
      <c r="J32" s="21">
        <f t="shared" si="0"/>
        <v>1800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45042</v>
      </c>
      <c r="D33" s="25" t="s">
        <v>18</v>
      </c>
      <c r="E33" s="25" t="s">
        <v>816</v>
      </c>
      <c r="F33" s="26">
        <v>140</v>
      </c>
      <c r="G33" s="61">
        <v>160</v>
      </c>
      <c r="H33" s="61">
        <v>20</v>
      </c>
      <c r="I33" s="26">
        <v>100</v>
      </c>
      <c r="J33" s="21">
        <f t="shared" si="0"/>
        <v>2000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45042</v>
      </c>
      <c r="D34" s="25" t="s">
        <v>18</v>
      </c>
      <c r="E34" s="25" t="s">
        <v>803</v>
      </c>
      <c r="F34" s="26">
        <v>140</v>
      </c>
      <c r="G34" s="61">
        <v>180</v>
      </c>
      <c r="H34" s="61">
        <v>40</v>
      </c>
      <c r="I34" s="26">
        <v>100</v>
      </c>
      <c r="J34" s="21">
        <f t="shared" si="0"/>
        <v>4000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45043</v>
      </c>
      <c r="D35" s="25" t="s">
        <v>18</v>
      </c>
      <c r="E35" s="25" t="s">
        <v>753</v>
      </c>
      <c r="F35" s="26">
        <v>120</v>
      </c>
      <c r="G35" s="61">
        <v>220</v>
      </c>
      <c r="H35" s="61">
        <v>100</v>
      </c>
      <c r="I35" s="26">
        <v>100</v>
      </c>
      <c r="J35" s="21">
        <f t="shared" si="0"/>
        <v>10000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45043</v>
      </c>
      <c r="D36" s="25" t="s">
        <v>18</v>
      </c>
      <c r="E36" s="25" t="s">
        <v>767</v>
      </c>
      <c r="F36" s="26">
        <v>90</v>
      </c>
      <c r="G36" s="61">
        <v>125</v>
      </c>
      <c r="H36" s="61">
        <f>125-90</f>
        <v>35</v>
      </c>
      <c r="I36" s="26">
        <v>100</v>
      </c>
      <c r="J36" s="21">
        <f t="shared" si="0"/>
        <v>3500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45044</v>
      </c>
      <c r="D37" s="25" t="s">
        <v>18</v>
      </c>
      <c r="E37" s="25" t="s">
        <v>768</v>
      </c>
      <c r="F37" s="26">
        <v>140</v>
      </c>
      <c r="G37" s="61">
        <v>190</v>
      </c>
      <c r="H37" s="61">
        <v>50</v>
      </c>
      <c r="I37" s="26">
        <v>100</v>
      </c>
      <c r="J37" s="21">
        <f t="shared" si="0"/>
        <v>5000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45044</v>
      </c>
      <c r="D38" s="25" t="s">
        <v>18</v>
      </c>
      <c r="E38" s="25" t="s">
        <v>816</v>
      </c>
      <c r="F38" s="26">
        <v>140</v>
      </c>
      <c r="G38" s="61">
        <v>90</v>
      </c>
      <c r="H38" s="61">
        <v>-50</v>
      </c>
      <c r="I38" s="26">
        <v>100</v>
      </c>
      <c r="J38" s="21">
        <f t="shared" si="0"/>
        <v>-5000</v>
      </c>
      <c r="K38" s="7"/>
      <c r="V38" s="5">
        <f t="shared" si="2"/>
        <v>0</v>
      </c>
      <c r="W38" s="5">
        <f t="shared" si="3"/>
        <v>1</v>
      </c>
    </row>
    <row r="39" spans="1:23" x14ac:dyDescent="0.3">
      <c r="A39" s="6"/>
      <c r="B39" s="17">
        <v>34</v>
      </c>
      <c r="C39" s="24"/>
      <c r="D39" s="25"/>
      <c r="E39" s="25"/>
      <c r="F39" s="26"/>
      <c r="G39" s="61"/>
      <c r="H39" s="61"/>
      <c r="I39" s="26"/>
      <c r="J39" s="21">
        <f t="shared" si="0"/>
        <v>0</v>
      </c>
      <c r="K39" s="7"/>
      <c r="V39" s="5">
        <f t="shared" si="2"/>
        <v>0</v>
      </c>
      <c r="W39" s="5">
        <f t="shared" si="3"/>
        <v>0</v>
      </c>
    </row>
    <row r="40" spans="1:23" x14ac:dyDescent="0.3">
      <c r="A40" s="6"/>
      <c r="B40" s="88">
        <v>35</v>
      </c>
      <c r="C40" s="24"/>
      <c r="D40" s="25"/>
      <c r="E40" s="25"/>
      <c r="F40" s="26"/>
      <c r="G40" s="61"/>
      <c r="H40" s="61"/>
      <c r="I40" s="26"/>
      <c r="J40" s="21">
        <f t="shared" si="0"/>
        <v>0</v>
      </c>
      <c r="K40" s="7"/>
      <c r="V40" s="5">
        <f t="shared" si="2"/>
        <v>0</v>
      </c>
      <c r="W40" s="5">
        <f t="shared" si="3"/>
        <v>0</v>
      </c>
    </row>
    <row r="41" spans="1:23" x14ac:dyDescent="0.3">
      <c r="A41" s="6"/>
      <c r="B41" s="17">
        <v>36</v>
      </c>
      <c r="C41" s="18"/>
      <c r="D41" s="19"/>
      <c r="E41" s="19"/>
      <c r="F41" s="35"/>
      <c r="G41" s="35"/>
      <c r="H41" s="35"/>
      <c r="I41" s="26"/>
      <c r="J41" s="21">
        <f t="shared" si="0"/>
        <v>0</v>
      </c>
      <c r="K41" s="7"/>
      <c r="V41" s="5">
        <f t="shared" si="2"/>
        <v>0</v>
      </c>
      <c r="W41" s="5">
        <f t="shared" si="3"/>
        <v>0</v>
      </c>
    </row>
    <row r="42" spans="1:23" x14ac:dyDescent="0.3">
      <c r="A42" s="6"/>
      <c r="B42" s="17">
        <v>37</v>
      </c>
      <c r="C42" s="18"/>
      <c r="D42" s="19"/>
      <c r="E42" s="19"/>
      <c r="F42" s="35"/>
      <c r="G42" s="35"/>
      <c r="H42" s="35"/>
      <c r="I42" s="26"/>
      <c r="J42" s="21">
        <f t="shared" si="0"/>
        <v>0</v>
      </c>
      <c r="K42" s="7"/>
      <c r="V42" s="5">
        <f t="shared" si="2"/>
        <v>0</v>
      </c>
      <c r="W42" s="5">
        <f t="shared" si="3"/>
        <v>0</v>
      </c>
    </row>
    <row r="43" spans="1:23" x14ac:dyDescent="0.3">
      <c r="A43" s="6"/>
      <c r="B43" s="17">
        <v>38</v>
      </c>
      <c r="C43" s="24"/>
      <c r="D43" s="25"/>
      <c r="E43" s="25"/>
      <c r="F43" s="26"/>
      <c r="G43" s="61"/>
      <c r="H43" s="61"/>
      <c r="I43" s="26"/>
      <c r="J43" s="21">
        <f t="shared" si="0"/>
        <v>0</v>
      </c>
      <c r="K43" s="7"/>
      <c r="V43" s="5">
        <f t="shared" si="2"/>
        <v>0</v>
      </c>
      <c r="W43" s="5">
        <f t="shared" si="3"/>
        <v>0</v>
      </c>
    </row>
    <row r="44" spans="1:23" x14ac:dyDescent="0.3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x14ac:dyDescent="0.3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x14ac:dyDescent="0.3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x14ac:dyDescent="0.3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x14ac:dyDescent="0.3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152400</v>
      </c>
      <c r="K59" s="7"/>
      <c r="V59" s="5">
        <f>SUM(V6:V58)</f>
        <v>31</v>
      </c>
      <c r="W59" s="5">
        <f>SUM(W6:W58)</f>
        <v>1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831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45019</v>
      </c>
      <c r="D67" s="67" t="s">
        <v>69</v>
      </c>
      <c r="E67" s="67" t="s">
        <v>832</v>
      </c>
      <c r="F67" s="68">
        <v>2330</v>
      </c>
      <c r="G67" s="68">
        <v>2325</v>
      </c>
      <c r="H67" s="97">
        <v>5</v>
      </c>
      <c r="I67" s="68">
        <v>250</v>
      </c>
      <c r="J67" s="92">
        <f>H67*I67</f>
        <v>1250</v>
      </c>
      <c r="K67" s="7"/>
      <c r="V67" s="5">
        <f t="shared" ref="V67:V120" si="5">IF($J67&gt;0,1,0)</f>
        <v>1</v>
      </c>
      <c r="W67" s="5">
        <f t="shared" ref="W67:W120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45026</v>
      </c>
      <c r="D68" s="67" t="s">
        <v>18</v>
      </c>
      <c r="E68" s="67" t="s">
        <v>833</v>
      </c>
      <c r="F68" s="97">
        <v>1100</v>
      </c>
      <c r="G68" s="97">
        <v>1107</v>
      </c>
      <c r="H68" s="97">
        <v>7</v>
      </c>
      <c r="I68" s="20">
        <v>700</v>
      </c>
      <c r="J68" s="21">
        <f>H68*I68</f>
        <v>4900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0" si="7">B68+1</f>
        <v>3</v>
      </c>
      <c r="C69" s="18">
        <v>45027</v>
      </c>
      <c r="D69" s="19" t="s">
        <v>18</v>
      </c>
      <c r="E69" s="19" t="s">
        <v>75</v>
      </c>
      <c r="F69" s="35">
        <v>883</v>
      </c>
      <c r="G69" s="97">
        <v>887.3</v>
      </c>
      <c r="H69" s="35">
        <f>887.3-883</f>
        <v>4.2999999999999545</v>
      </c>
      <c r="I69" s="20">
        <v>700</v>
      </c>
      <c r="J69" s="21">
        <f>H69*I69</f>
        <v>3009.9999999999682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45027</v>
      </c>
      <c r="D70" s="19" t="s">
        <v>69</v>
      </c>
      <c r="E70" s="19" t="s">
        <v>86</v>
      </c>
      <c r="F70" s="35">
        <v>5850</v>
      </c>
      <c r="G70" s="97">
        <v>5840</v>
      </c>
      <c r="H70" s="35">
        <v>10</v>
      </c>
      <c r="I70" s="20">
        <v>125</v>
      </c>
      <c r="J70" s="21">
        <f>H70*I70</f>
        <v>1250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45028</v>
      </c>
      <c r="D71" s="19" t="s">
        <v>18</v>
      </c>
      <c r="E71" s="19" t="s">
        <v>237</v>
      </c>
      <c r="F71" s="35">
        <v>4895</v>
      </c>
      <c r="G71" s="97">
        <v>4925</v>
      </c>
      <c r="H71" s="35">
        <f>4925-4895</f>
        <v>30</v>
      </c>
      <c r="I71" s="20">
        <v>125</v>
      </c>
      <c r="J71" s="21">
        <f>H71*I71</f>
        <v>3750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45033</v>
      </c>
      <c r="D72" s="19" t="s">
        <v>69</v>
      </c>
      <c r="E72" s="19" t="s">
        <v>75</v>
      </c>
      <c r="F72" s="20">
        <v>900</v>
      </c>
      <c r="G72" s="97">
        <v>898</v>
      </c>
      <c r="H72" s="35">
        <v>2</v>
      </c>
      <c r="I72" s="20">
        <v>700</v>
      </c>
      <c r="J72" s="21">
        <f t="shared" ref="J72:J120" si="8">I72*H72</f>
        <v>1400</v>
      </c>
      <c r="K72" s="7"/>
      <c r="V72" s="5">
        <f t="shared" si="5"/>
        <v>1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>
        <v>45034</v>
      </c>
      <c r="D73" s="19" t="s">
        <v>69</v>
      </c>
      <c r="E73" s="19" t="s">
        <v>75</v>
      </c>
      <c r="F73" s="35">
        <v>902</v>
      </c>
      <c r="G73" s="97">
        <v>897</v>
      </c>
      <c r="H73" s="35">
        <f>902-897</f>
        <v>5</v>
      </c>
      <c r="I73" s="20">
        <v>700</v>
      </c>
      <c r="J73" s="21">
        <f t="shared" si="8"/>
        <v>3500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45035</v>
      </c>
      <c r="D74" s="19" t="s">
        <v>69</v>
      </c>
      <c r="E74" s="19" t="s">
        <v>75</v>
      </c>
      <c r="F74" s="35">
        <v>895</v>
      </c>
      <c r="G74" s="97">
        <v>891</v>
      </c>
      <c r="H74" s="35">
        <v>4</v>
      </c>
      <c r="I74" s="20">
        <v>700</v>
      </c>
      <c r="J74" s="21">
        <f t="shared" si="8"/>
        <v>2800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45036</v>
      </c>
      <c r="D75" s="19" t="s">
        <v>69</v>
      </c>
      <c r="E75" s="19" t="s">
        <v>75</v>
      </c>
      <c r="F75" s="35">
        <v>894</v>
      </c>
      <c r="G75" s="97">
        <v>892</v>
      </c>
      <c r="H75" s="35">
        <v>2</v>
      </c>
      <c r="I75" s="20">
        <v>700</v>
      </c>
      <c r="J75" s="21">
        <f t="shared" si="8"/>
        <v>1400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/>
      <c r="D76" s="19"/>
      <c r="E76" s="19"/>
      <c r="F76" s="35"/>
      <c r="G76" s="97"/>
      <c r="H76" s="35"/>
      <c r="I76" s="20"/>
      <c r="J76" s="21">
        <f t="shared" si="8"/>
        <v>0</v>
      </c>
      <c r="K76" s="7"/>
      <c r="V76" s="5">
        <f t="shared" si="5"/>
        <v>0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/>
      <c r="D77" s="19"/>
      <c r="E77" s="19"/>
      <c r="F77" s="19"/>
      <c r="G77" s="97"/>
      <c r="H77" s="35"/>
      <c r="I77" s="20"/>
      <c r="J77" s="21">
        <f t="shared" si="8"/>
        <v>0</v>
      </c>
      <c r="K77" s="7"/>
      <c r="V77" s="5">
        <f t="shared" si="5"/>
        <v>0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/>
      <c r="D78" s="19"/>
      <c r="E78" s="19"/>
      <c r="F78" s="35"/>
      <c r="G78" s="97"/>
      <c r="H78" s="35"/>
      <c r="I78" s="20"/>
      <c r="J78" s="21">
        <f t="shared" si="8"/>
        <v>0</v>
      </c>
      <c r="K78" s="7"/>
      <c r="V78" s="5">
        <f t="shared" si="5"/>
        <v>0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/>
      <c r="D79" s="19"/>
      <c r="E79" s="19"/>
      <c r="F79" s="77"/>
      <c r="G79" s="97"/>
      <c r="H79" s="78"/>
      <c r="I79" s="20"/>
      <c r="J79" s="21">
        <f t="shared" si="8"/>
        <v>0</v>
      </c>
      <c r="K79" s="7"/>
      <c r="V79" s="5">
        <f t="shared" si="5"/>
        <v>0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/>
      <c r="D80" s="19"/>
      <c r="E80" s="19"/>
      <c r="F80" s="35"/>
      <c r="G80" s="97"/>
      <c r="H80" s="78"/>
      <c r="I80" s="20"/>
      <c r="J80" s="21">
        <f t="shared" si="8"/>
        <v>0</v>
      </c>
      <c r="K80" s="7"/>
      <c r="V80" s="5">
        <f t="shared" si="5"/>
        <v>0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/>
      <c r="D81" s="19"/>
      <c r="E81" s="19"/>
      <c r="F81" s="35"/>
      <c r="G81" s="97"/>
      <c r="H81" s="78"/>
      <c r="I81" s="20"/>
      <c r="J81" s="21">
        <f t="shared" si="8"/>
        <v>0</v>
      </c>
      <c r="K81" s="7"/>
      <c r="V81" s="5">
        <f t="shared" si="5"/>
        <v>0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/>
      <c r="D82" s="19"/>
      <c r="E82" s="19"/>
      <c r="F82" s="35"/>
      <c r="G82" s="97"/>
      <c r="H82" s="35"/>
      <c r="I82" s="20"/>
      <c r="J82" s="21">
        <f t="shared" si="8"/>
        <v>0</v>
      </c>
      <c r="K82" s="7"/>
      <c r="V82" s="5">
        <f t="shared" si="5"/>
        <v>0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/>
      <c r="D83" s="19"/>
      <c r="E83" s="19"/>
      <c r="F83" s="35"/>
      <c r="G83" s="97"/>
      <c r="H83" s="35"/>
      <c r="I83" s="20"/>
      <c r="J83" s="21">
        <f t="shared" si="8"/>
        <v>0</v>
      </c>
      <c r="K83" s="7"/>
      <c r="V83" s="5">
        <f t="shared" si="5"/>
        <v>0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/>
      <c r="D84" s="19"/>
      <c r="E84" s="19"/>
      <c r="F84" s="35"/>
      <c r="G84" s="97"/>
      <c r="H84" s="35"/>
      <c r="I84" s="20"/>
      <c r="J84" s="21">
        <f t="shared" si="8"/>
        <v>0</v>
      </c>
      <c r="K84" s="7"/>
      <c r="V84" s="5">
        <f t="shared" si="5"/>
        <v>0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/>
      <c r="D85" s="19"/>
      <c r="E85" s="19"/>
      <c r="F85" s="35"/>
      <c r="G85" s="97"/>
      <c r="H85" s="35"/>
      <c r="I85" s="20"/>
      <c r="J85" s="21">
        <f t="shared" si="8"/>
        <v>0</v>
      </c>
      <c r="K85" s="7"/>
      <c r="V85" s="5">
        <f t="shared" si="5"/>
        <v>0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/>
      <c r="D86" s="19"/>
      <c r="E86" s="19"/>
      <c r="F86" s="35"/>
      <c r="G86" s="97"/>
      <c r="H86" s="35"/>
      <c r="I86" s="20"/>
      <c r="J86" s="21">
        <f t="shared" si="8"/>
        <v>0</v>
      </c>
      <c r="K86" s="7"/>
      <c r="V86" s="5">
        <f t="shared" si="5"/>
        <v>0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/>
      <c r="D87" s="19"/>
      <c r="E87" s="19"/>
      <c r="F87" s="35"/>
      <c r="G87" s="97"/>
      <c r="H87" s="35"/>
      <c r="I87" s="20"/>
      <c r="J87" s="21">
        <f t="shared" si="8"/>
        <v>0</v>
      </c>
      <c r="K87" s="7"/>
      <c r="V87" s="5">
        <f t="shared" si="5"/>
        <v>0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/>
      <c r="D88" s="19"/>
      <c r="E88" s="19"/>
      <c r="F88" s="77"/>
      <c r="G88" s="97"/>
      <c r="H88" s="78"/>
      <c r="I88" s="20"/>
      <c r="J88" s="21">
        <f t="shared" si="8"/>
        <v>0</v>
      </c>
      <c r="K88" s="7"/>
      <c r="V88" s="5">
        <f t="shared" si="5"/>
        <v>0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/>
      <c r="D89" s="19"/>
      <c r="E89" s="19"/>
      <c r="F89" s="35"/>
      <c r="G89" s="97"/>
      <c r="H89" s="78"/>
      <c r="I89" s="20"/>
      <c r="J89" s="21">
        <f t="shared" si="8"/>
        <v>0</v>
      </c>
      <c r="K89" s="7"/>
      <c r="V89" s="5">
        <f t="shared" si="5"/>
        <v>0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/>
      <c r="D90" s="19"/>
      <c r="E90" s="19"/>
      <c r="F90" s="35"/>
      <c r="G90" s="97"/>
      <c r="H90" s="78"/>
      <c r="I90" s="20"/>
      <c r="J90" s="21">
        <f t="shared" si="8"/>
        <v>0</v>
      </c>
      <c r="K90" s="7"/>
      <c r="V90" s="5">
        <f t="shared" si="5"/>
        <v>0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/>
      <c r="D91" s="19"/>
      <c r="E91" s="19"/>
      <c r="F91" s="35"/>
      <c r="G91" s="97"/>
      <c r="H91" s="35"/>
      <c r="I91" s="20"/>
      <c r="J91" s="21">
        <f t="shared" si="8"/>
        <v>0</v>
      </c>
      <c r="K91" s="7"/>
      <c r="V91" s="5">
        <f t="shared" si="5"/>
        <v>0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/>
      <c r="D92" s="19"/>
      <c r="E92" s="19"/>
      <c r="F92" s="35"/>
      <c r="G92" s="97"/>
      <c r="H92" s="35"/>
      <c r="I92" s="20"/>
      <c r="J92" s="21">
        <f t="shared" si="8"/>
        <v>0</v>
      </c>
      <c r="K92" s="7"/>
      <c r="V92" s="5">
        <f t="shared" si="5"/>
        <v>0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/>
      <c r="D93" s="19"/>
      <c r="E93" s="19"/>
      <c r="F93" s="35"/>
      <c r="G93" s="97"/>
      <c r="H93" s="35"/>
      <c r="I93" s="20"/>
      <c r="J93" s="21">
        <f t="shared" si="8"/>
        <v>0</v>
      </c>
      <c r="K93" s="7"/>
      <c r="V93" s="5">
        <f t="shared" si="5"/>
        <v>0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/>
      <c r="D94" s="19"/>
      <c r="E94" s="19"/>
      <c r="F94" s="35"/>
      <c r="G94" s="97"/>
      <c r="H94" s="35"/>
      <c r="I94" s="20"/>
      <c r="J94" s="21">
        <f t="shared" si="8"/>
        <v>0</v>
      </c>
      <c r="K94" s="7"/>
      <c r="V94" s="5">
        <f t="shared" si="5"/>
        <v>0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/>
      <c r="D95" s="19"/>
      <c r="E95" s="19"/>
      <c r="F95" s="35"/>
      <c r="G95" s="97"/>
      <c r="H95" s="35"/>
      <c r="I95" s="20"/>
      <c r="J95" s="21">
        <f t="shared" si="8"/>
        <v>0</v>
      </c>
      <c r="K95" s="7"/>
      <c r="V95" s="5">
        <f t="shared" si="5"/>
        <v>0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/>
      <c r="D96" s="19"/>
      <c r="E96" s="19"/>
      <c r="F96" s="35"/>
      <c r="G96" s="97"/>
      <c r="H96" s="35"/>
      <c r="I96" s="20"/>
      <c r="J96" s="21">
        <f t="shared" si="8"/>
        <v>0</v>
      </c>
      <c r="K96" s="7"/>
      <c r="V96" s="5">
        <f t="shared" si="5"/>
        <v>0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/>
      <c r="D97" s="19"/>
      <c r="E97" s="19"/>
      <c r="F97" s="35"/>
      <c r="G97" s="97"/>
      <c r="H97" s="35"/>
      <c r="I97" s="20"/>
      <c r="J97" s="21">
        <f t="shared" si="8"/>
        <v>0</v>
      </c>
      <c r="K97" s="7"/>
      <c r="V97" s="5">
        <f t="shared" si="5"/>
        <v>0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/>
      <c r="D98" s="19"/>
      <c r="E98" s="19"/>
      <c r="F98" s="35"/>
      <c r="G98" s="97"/>
      <c r="H98" s="35"/>
      <c r="I98" s="20"/>
      <c r="J98" s="21">
        <f t="shared" si="8"/>
        <v>0</v>
      </c>
      <c r="K98" s="7"/>
      <c r="V98" s="5">
        <f t="shared" si="5"/>
        <v>0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/>
      <c r="D99" s="19"/>
      <c r="E99" s="19"/>
      <c r="F99" s="35"/>
      <c r="G99" s="97"/>
      <c r="H99" s="35"/>
      <c r="I99" s="20"/>
      <c r="J99" s="21">
        <f t="shared" si="8"/>
        <v>0</v>
      </c>
      <c r="K99" s="7"/>
      <c r="V99" s="5">
        <f t="shared" si="5"/>
        <v>0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x14ac:dyDescent="0.3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x14ac:dyDescent="0.3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x14ac:dyDescent="0.3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x14ac:dyDescent="0.3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x14ac:dyDescent="0.3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x14ac:dyDescent="0.3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x14ac:dyDescent="0.3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x14ac:dyDescent="0.3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x14ac:dyDescent="0.3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x14ac:dyDescent="0.3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x14ac:dyDescent="0.3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24" thickBot="1" x14ac:dyDescent="0.5">
      <c r="A121" s="6"/>
      <c r="B121" s="144" t="s">
        <v>22</v>
      </c>
      <c r="C121" s="145"/>
      <c r="D121" s="145"/>
      <c r="E121" s="145"/>
      <c r="F121" s="145"/>
      <c r="G121" s="145"/>
      <c r="H121" s="146"/>
      <c r="I121" s="83" t="s">
        <v>23</v>
      </c>
      <c r="J121" s="84">
        <f>SUM(J67:J120)</f>
        <v>23259.999999999967</v>
      </c>
      <c r="K121" s="7"/>
      <c r="L121" s="5"/>
      <c r="M121" s="5"/>
      <c r="N121" s="5"/>
      <c r="O121" s="5"/>
      <c r="P121" s="5"/>
      <c r="Q121" s="5"/>
      <c r="R121" s="5"/>
      <c r="V121" s="36">
        <f>SUM(V67:V120)</f>
        <v>9</v>
      </c>
      <c r="W121" s="36">
        <f>SUM(W67:W120)</f>
        <v>0</v>
      </c>
    </row>
    <row r="122" spans="1:23" s="36" customFormat="1" ht="30" customHeight="1" thickBot="1" x14ac:dyDescent="0.35">
      <c r="A122" s="30"/>
      <c r="B122" s="31"/>
      <c r="C122" s="31"/>
      <c r="D122" s="31"/>
      <c r="E122" s="31"/>
      <c r="F122" s="31"/>
      <c r="G122" s="31"/>
      <c r="H122" s="32"/>
      <c r="I122" s="31"/>
      <c r="J122" s="32"/>
      <c r="K122" s="33"/>
      <c r="L122" s="5"/>
      <c r="M122" s="5"/>
      <c r="N122" s="5"/>
      <c r="O122" s="5"/>
      <c r="P122" s="5"/>
      <c r="Q122" s="5"/>
      <c r="R122" s="5"/>
    </row>
    <row r="123" spans="1:23" ht="15" thickBot="1" x14ac:dyDescent="0.35"/>
    <row r="124" spans="1:23" s="36" customFormat="1" ht="30" customHeight="1" thickBot="1" x14ac:dyDescent="0.35">
      <c r="A124" s="1"/>
      <c r="B124" s="2"/>
      <c r="C124" s="2"/>
      <c r="D124" s="2"/>
      <c r="E124" s="2"/>
      <c r="F124" s="2"/>
      <c r="G124" s="2"/>
      <c r="H124" s="3"/>
      <c r="I124" s="2"/>
      <c r="J124" s="3"/>
      <c r="K124" s="4"/>
    </row>
    <row r="125" spans="1:23" s="36" customFormat="1" ht="25.2" thickBot="1" x14ac:dyDescent="0.35">
      <c r="A125" s="6" t="s">
        <v>1</v>
      </c>
      <c r="B125" s="119" t="s">
        <v>2</v>
      </c>
      <c r="C125" s="120"/>
      <c r="D125" s="120"/>
      <c r="E125" s="120"/>
      <c r="F125" s="120"/>
      <c r="G125" s="120"/>
      <c r="H125" s="120"/>
      <c r="I125" s="120"/>
      <c r="J125" s="121"/>
      <c r="K125" s="7"/>
    </row>
    <row r="126" spans="1:23" s="36" customFormat="1" ht="16.2" thickBot="1" x14ac:dyDescent="0.35">
      <c r="A126" s="6"/>
      <c r="B126" s="216">
        <v>45017</v>
      </c>
      <c r="C126" s="169"/>
      <c r="D126" s="169"/>
      <c r="E126" s="169"/>
      <c r="F126" s="169"/>
      <c r="G126" s="169"/>
      <c r="H126" s="169"/>
      <c r="I126" s="169"/>
      <c r="J126" s="170"/>
      <c r="K126" s="7"/>
      <c r="L126" s="22"/>
    </row>
    <row r="127" spans="1:23" s="36" customFormat="1" ht="16.2" thickBot="1" x14ac:dyDescent="0.35">
      <c r="A127" s="6"/>
      <c r="B127" s="106" t="s">
        <v>699</v>
      </c>
      <c r="C127" s="107"/>
      <c r="D127" s="107"/>
      <c r="E127" s="107"/>
      <c r="F127" s="107"/>
      <c r="G127" s="107"/>
      <c r="H127" s="107"/>
      <c r="I127" s="107"/>
      <c r="J127" s="108"/>
      <c r="K127" s="7"/>
    </row>
    <row r="128" spans="1:23" s="22" customFormat="1" ht="15" thickBot="1" x14ac:dyDescent="0.35">
      <c r="A128" s="69"/>
      <c r="B128" s="70" t="s">
        <v>9</v>
      </c>
      <c r="C128" s="71" t="s">
        <v>10</v>
      </c>
      <c r="D128" s="72" t="s">
        <v>11</v>
      </c>
      <c r="E128" s="72" t="s">
        <v>12</v>
      </c>
      <c r="F128" s="73" t="s">
        <v>65</v>
      </c>
      <c r="G128" s="73" t="s">
        <v>66</v>
      </c>
      <c r="H128" s="74" t="s">
        <v>67</v>
      </c>
      <c r="I128" s="73" t="s">
        <v>68</v>
      </c>
      <c r="J128" s="75" t="s">
        <v>17</v>
      </c>
      <c r="K128" s="76"/>
      <c r="L128" s="36"/>
      <c r="M128" s="36"/>
      <c r="N128" s="36"/>
      <c r="O128" s="36" t="s">
        <v>21</v>
      </c>
      <c r="P128" s="36"/>
      <c r="Q128" s="36"/>
      <c r="R128" s="36"/>
      <c r="V128" s="5" t="s">
        <v>5</v>
      </c>
      <c r="W128" s="5" t="s">
        <v>6</v>
      </c>
    </row>
    <row r="129" spans="1:23" s="36" customFormat="1" x14ac:dyDescent="0.3">
      <c r="A129" s="6"/>
      <c r="B129" s="14">
        <v>1</v>
      </c>
      <c r="C129" s="93">
        <v>45019</v>
      </c>
      <c r="D129" s="94" t="s">
        <v>18</v>
      </c>
      <c r="E129" s="94" t="s">
        <v>475</v>
      </c>
      <c r="F129" s="60">
        <v>110</v>
      </c>
      <c r="G129" s="60">
        <v>132</v>
      </c>
      <c r="H129" s="60">
        <f>132-110</f>
        <v>22</v>
      </c>
      <c r="I129" s="15">
        <v>300</v>
      </c>
      <c r="J129" s="16">
        <f t="shared" ref="J129:J174" si="9">I129*H129</f>
        <v>6600</v>
      </c>
      <c r="K129" s="7"/>
      <c r="V129" s="5">
        <f t="shared" ref="V129:V174" si="10">IF($J129&gt;0,1,0)</f>
        <v>1</v>
      </c>
      <c r="W129" s="5">
        <f t="shared" ref="W129:W174" si="11">IF($J129&lt;0,1,0)</f>
        <v>0</v>
      </c>
    </row>
    <row r="130" spans="1:23" s="36" customFormat="1" x14ac:dyDescent="0.3">
      <c r="A130" s="6"/>
      <c r="B130" s="17">
        <f>B129+1</f>
        <v>2</v>
      </c>
      <c r="C130" s="18">
        <v>45019</v>
      </c>
      <c r="D130" s="19" t="s">
        <v>18</v>
      </c>
      <c r="E130" s="19" t="s">
        <v>475</v>
      </c>
      <c r="F130" s="35">
        <v>125</v>
      </c>
      <c r="G130" s="35">
        <v>133</v>
      </c>
      <c r="H130" s="35">
        <f>133-125</f>
        <v>8</v>
      </c>
      <c r="I130" s="20">
        <v>300</v>
      </c>
      <c r="J130" s="21">
        <f t="shared" si="9"/>
        <v>2400</v>
      </c>
      <c r="K130" s="7"/>
      <c r="L130" s="36" t="s">
        <v>21</v>
      </c>
      <c r="V130" s="5">
        <f t="shared" si="10"/>
        <v>1</v>
      </c>
      <c r="W130" s="5">
        <f t="shared" si="11"/>
        <v>0</v>
      </c>
    </row>
    <row r="131" spans="1:23" s="36" customFormat="1" x14ac:dyDescent="0.3">
      <c r="A131" s="6"/>
      <c r="B131" s="17">
        <f t="shared" ref="B131:B151" si="12">B130+1</f>
        <v>3</v>
      </c>
      <c r="C131" s="18">
        <v>45021</v>
      </c>
      <c r="D131" s="19" t="s">
        <v>18</v>
      </c>
      <c r="E131" s="19" t="s">
        <v>573</v>
      </c>
      <c r="F131" s="35">
        <v>120</v>
      </c>
      <c r="G131" s="35">
        <v>100</v>
      </c>
      <c r="H131" s="35">
        <v>-20</v>
      </c>
      <c r="I131" s="20">
        <v>300</v>
      </c>
      <c r="J131" s="21">
        <f t="shared" si="9"/>
        <v>-6000</v>
      </c>
      <c r="K131" s="7"/>
      <c r="V131" s="5">
        <f t="shared" si="10"/>
        <v>0</v>
      </c>
      <c r="W131" s="5">
        <f t="shared" si="11"/>
        <v>1</v>
      </c>
    </row>
    <row r="132" spans="1:23" s="36" customFormat="1" x14ac:dyDescent="0.3">
      <c r="A132" s="6"/>
      <c r="B132" s="17">
        <f t="shared" si="12"/>
        <v>4</v>
      </c>
      <c r="C132" s="18">
        <v>45021</v>
      </c>
      <c r="D132" s="19" t="s">
        <v>18</v>
      </c>
      <c r="E132" s="19" t="s">
        <v>470</v>
      </c>
      <c r="F132" s="35">
        <v>105</v>
      </c>
      <c r="G132" s="35">
        <v>120</v>
      </c>
      <c r="H132" s="35">
        <v>15</v>
      </c>
      <c r="I132" s="20">
        <v>300</v>
      </c>
      <c r="J132" s="21">
        <v>2000</v>
      </c>
      <c r="K132" s="7"/>
      <c r="V132" s="5">
        <f t="shared" si="10"/>
        <v>1</v>
      </c>
      <c r="W132" s="5">
        <f t="shared" si="11"/>
        <v>0</v>
      </c>
    </row>
    <row r="133" spans="1:23" s="36" customFormat="1" x14ac:dyDescent="0.3">
      <c r="A133" s="6"/>
      <c r="B133" s="17">
        <f t="shared" si="12"/>
        <v>5</v>
      </c>
      <c r="C133" s="18">
        <v>45022</v>
      </c>
      <c r="D133" s="19" t="s">
        <v>18</v>
      </c>
      <c r="E133" s="19" t="s">
        <v>478</v>
      </c>
      <c r="F133" s="20">
        <v>90</v>
      </c>
      <c r="G133" s="35">
        <v>103</v>
      </c>
      <c r="H133" s="35">
        <f>103-90</f>
        <v>13</v>
      </c>
      <c r="I133" s="20">
        <v>300</v>
      </c>
      <c r="J133" s="21">
        <f t="shared" ref="J133:J137" si="13">I132*H132</f>
        <v>4500</v>
      </c>
      <c r="K133" s="7"/>
      <c r="V133" s="5">
        <f t="shared" si="10"/>
        <v>1</v>
      </c>
      <c r="W133" s="5">
        <f t="shared" si="11"/>
        <v>0</v>
      </c>
    </row>
    <row r="134" spans="1:23" s="36" customFormat="1" x14ac:dyDescent="0.3">
      <c r="A134" s="6"/>
      <c r="B134" s="17">
        <f t="shared" si="12"/>
        <v>6</v>
      </c>
      <c r="C134" s="18">
        <v>45022</v>
      </c>
      <c r="D134" s="19" t="s">
        <v>18</v>
      </c>
      <c r="E134" s="19" t="s">
        <v>476</v>
      </c>
      <c r="F134" s="35">
        <v>110</v>
      </c>
      <c r="G134" s="35">
        <v>142</v>
      </c>
      <c r="H134" s="35">
        <f>142-110</f>
        <v>32</v>
      </c>
      <c r="I134" s="20">
        <v>300</v>
      </c>
      <c r="J134" s="21">
        <f t="shared" si="13"/>
        <v>3900</v>
      </c>
      <c r="K134" s="7"/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si="12"/>
        <v>7</v>
      </c>
      <c r="C135" s="18">
        <v>45026</v>
      </c>
      <c r="D135" s="19" t="s">
        <v>18</v>
      </c>
      <c r="E135" s="19" t="s">
        <v>709</v>
      </c>
      <c r="F135" s="35">
        <v>120</v>
      </c>
      <c r="G135" s="35">
        <v>131</v>
      </c>
      <c r="H135" s="35">
        <v>11</v>
      </c>
      <c r="I135" s="20">
        <v>300</v>
      </c>
      <c r="J135" s="21">
        <f t="shared" si="9"/>
        <v>3300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8</v>
      </c>
      <c r="C136" s="18">
        <v>45026</v>
      </c>
      <c r="D136" s="19" t="s">
        <v>18</v>
      </c>
      <c r="E136" s="19" t="s">
        <v>709</v>
      </c>
      <c r="F136" s="35">
        <v>115</v>
      </c>
      <c r="G136" s="35">
        <v>125</v>
      </c>
      <c r="H136" s="35">
        <v>10</v>
      </c>
      <c r="I136" s="20">
        <v>300</v>
      </c>
      <c r="J136" s="21">
        <f t="shared" si="13"/>
        <v>3300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9</v>
      </c>
      <c r="C137" s="18">
        <v>45026</v>
      </c>
      <c r="D137" s="19" t="s">
        <v>18</v>
      </c>
      <c r="E137" s="19" t="s">
        <v>485</v>
      </c>
      <c r="F137" s="35">
        <v>115</v>
      </c>
      <c r="G137" s="35">
        <v>150</v>
      </c>
      <c r="H137" s="35">
        <f>150-115</f>
        <v>35</v>
      </c>
      <c r="I137" s="20">
        <v>300</v>
      </c>
      <c r="J137" s="21">
        <f t="shared" si="13"/>
        <v>3000</v>
      </c>
      <c r="K137" s="7"/>
      <c r="V137" s="5">
        <f t="shared" si="10"/>
        <v>1</v>
      </c>
      <c r="W137" s="5">
        <f t="shared" si="11"/>
        <v>0</v>
      </c>
    </row>
    <row r="138" spans="1:23" s="36" customFormat="1" x14ac:dyDescent="0.3">
      <c r="A138" s="6"/>
      <c r="B138" s="17">
        <f t="shared" si="12"/>
        <v>10</v>
      </c>
      <c r="C138" s="18">
        <v>45027</v>
      </c>
      <c r="D138" s="19" t="s">
        <v>18</v>
      </c>
      <c r="E138" s="19" t="s">
        <v>481</v>
      </c>
      <c r="F138" s="35">
        <v>100</v>
      </c>
      <c r="G138" s="35">
        <v>132</v>
      </c>
      <c r="H138" s="35">
        <v>32</v>
      </c>
      <c r="I138" s="20">
        <v>300</v>
      </c>
      <c r="J138" s="21">
        <f t="shared" si="9"/>
        <v>9600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11</v>
      </c>
      <c r="C139" s="18">
        <v>45027</v>
      </c>
      <c r="D139" s="19" t="s">
        <v>18</v>
      </c>
      <c r="E139" s="19" t="s">
        <v>481</v>
      </c>
      <c r="F139" s="19">
        <v>110</v>
      </c>
      <c r="G139" s="35">
        <v>90</v>
      </c>
      <c r="H139" s="35">
        <v>-20</v>
      </c>
      <c r="I139" s="20">
        <v>300</v>
      </c>
      <c r="J139" s="21">
        <f t="shared" si="9"/>
        <v>-6000</v>
      </c>
      <c r="K139" s="7"/>
      <c r="V139" s="5">
        <f t="shared" si="10"/>
        <v>0</v>
      </c>
      <c r="W139" s="5">
        <f t="shared" si="11"/>
        <v>1</v>
      </c>
    </row>
    <row r="140" spans="1:23" s="36" customFormat="1" x14ac:dyDescent="0.3">
      <c r="A140" s="6"/>
      <c r="B140" s="17">
        <f t="shared" si="12"/>
        <v>12</v>
      </c>
      <c r="C140" s="18">
        <v>45028</v>
      </c>
      <c r="D140" s="19" t="s">
        <v>18</v>
      </c>
      <c r="E140" s="19" t="s">
        <v>482</v>
      </c>
      <c r="F140" s="35">
        <v>95</v>
      </c>
      <c r="G140" s="35">
        <v>103</v>
      </c>
      <c r="H140" s="35">
        <f>103-95</f>
        <v>8</v>
      </c>
      <c r="I140" s="20">
        <v>300</v>
      </c>
      <c r="J140" s="21">
        <f t="shared" si="9"/>
        <v>2400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13</v>
      </c>
      <c r="C141" s="18">
        <v>45028</v>
      </c>
      <c r="D141" s="19" t="s">
        <v>18</v>
      </c>
      <c r="E141" s="19" t="s">
        <v>482</v>
      </c>
      <c r="F141" s="35">
        <v>110</v>
      </c>
      <c r="G141" s="35">
        <v>139</v>
      </c>
      <c r="H141" s="35">
        <f>139-110</f>
        <v>29</v>
      </c>
      <c r="I141" s="20">
        <v>300</v>
      </c>
      <c r="J141" s="21">
        <f t="shared" si="9"/>
        <v>8700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14</v>
      </c>
      <c r="C142" s="18">
        <v>45029</v>
      </c>
      <c r="D142" s="19" t="s">
        <v>18</v>
      </c>
      <c r="E142" s="19" t="s">
        <v>482</v>
      </c>
      <c r="F142" s="77">
        <v>110</v>
      </c>
      <c r="G142" s="35">
        <v>119</v>
      </c>
      <c r="H142" s="78">
        <f>119-110</f>
        <v>9</v>
      </c>
      <c r="I142" s="20">
        <v>300</v>
      </c>
      <c r="J142" s="21">
        <f t="shared" si="9"/>
        <v>2700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15</v>
      </c>
      <c r="C143" s="18">
        <v>45029</v>
      </c>
      <c r="D143" s="19" t="s">
        <v>18</v>
      </c>
      <c r="E143" s="19" t="s">
        <v>483</v>
      </c>
      <c r="F143" s="35">
        <v>60</v>
      </c>
      <c r="G143" s="35">
        <v>75</v>
      </c>
      <c r="H143" s="78">
        <v>15</v>
      </c>
      <c r="I143" s="20">
        <v>300</v>
      </c>
      <c r="J143" s="21">
        <f t="shared" si="9"/>
        <v>4500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16</v>
      </c>
      <c r="C144" s="18">
        <v>45033</v>
      </c>
      <c r="D144" s="19" t="s">
        <v>18</v>
      </c>
      <c r="E144" s="19" t="s">
        <v>485</v>
      </c>
      <c r="F144" s="35">
        <v>130</v>
      </c>
      <c r="G144" s="35">
        <v>165</v>
      </c>
      <c r="H144" s="78">
        <f>165-130</f>
        <v>35</v>
      </c>
      <c r="I144" s="20">
        <v>300</v>
      </c>
      <c r="J144" s="21">
        <f t="shared" si="9"/>
        <v>10500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17</v>
      </c>
      <c r="C145" s="18">
        <v>45033</v>
      </c>
      <c r="D145" s="19" t="s">
        <v>18</v>
      </c>
      <c r="E145" s="19" t="s">
        <v>481</v>
      </c>
      <c r="F145" s="35">
        <v>115</v>
      </c>
      <c r="G145" s="35">
        <v>95</v>
      </c>
      <c r="H145" s="78">
        <v>-20</v>
      </c>
      <c r="I145" s="20">
        <v>300</v>
      </c>
      <c r="J145" s="21">
        <f t="shared" si="9"/>
        <v>-6000</v>
      </c>
      <c r="K145" s="7"/>
      <c r="V145" s="5">
        <f t="shared" si="10"/>
        <v>0</v>
      </c>
      <c r="W145" s="5">
        <f t="shared" si="11"/>
        <v>1</v>
      </c>
    </row>
    <row r="146" spans="1:23" s="36" customFormat="1" x14ac:dyDescent="0.3">
      <c r="A146" s="6"/>
      <c r="B146" s="17">
        <f t="shared" si="12"/>
        <v>18</v>
      </c>
      <c r="C146" s="18">
        <v>45034</v>
      </c>
      <c r="D146" s="19" t="s">
        <v>18</v>
      </c>
      <c r="E146" s="19" t="s">
        <v>483</v>
      </c>
      <c r="F146" s="35">
        <v>100</v>
      </c>
      <c r="G146" s="35">
        <v>145</v>
      </c>
      <c r="H146" s="78">
        <v>45</v>
      </c>
      <c r="I146" s="20">
        <v>300</v>
      </c>
      <c r="J146" s="21">
        <f t="shared" si="9"/>
        <v>13500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19</v>
      </c>
      <c r="C147" s="18">
        <v>45034</v>
      </c>
      <c r="D147" s="19" t="s">
        <v>18</v>
      </c>
      <c r="E147" s="19" t="s">
        <v>485</v>
      </c>
      <c r="F147" s="35">
        <v>95</v>
      </c>
      <c r="G147" s="35">
        <v>110</v>
      </c>
      <c r="H147" s="78">
        <f>110-95</f>
        <v>15</v>
      </c>
      <c r="I147" s="20">
        <v>300</v>
      </c>
      <c r="J147" s="21">
        <f t="shared" si="9"/>
        <v>4500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20</v>
      </c>
      <c r="C148" s="18">
        <v>45035</v>
      </c>
      <c r="D148" s="19" t="s">
        <v>18</v>
      </c>
      <c r="E148" s="19" t="s">
        <v>709</v>
      </c>
      <c r="F148" s="35">
        <v>80</v>
      </c>
      <c r="G148" s="35">
        <v>95</v>
      </c>
      <c r="H148" s="35">
        <v>15</v>
      </c>
      <c r="I148" s="20">
        <v>300</v>
      </c>
      <c r="J148" s="21">
        <f t="shared" si="9"/>
        <v>4500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21</v>
      </c>
      <c r="C149" s="18">
        <v>45035</v>
      </c>
      <c r="D149" s="19" t="s">
        <v>18</v>
      </c>
      <c r="E149" s="19" t="s">
        <v>709</v>
      </c>
      <c r="F149" s="35">
        <v>70</v>
      </c>
      <c r="G149" s="35">
        <v>105</v>
      </c>
      <c r="H149" s="35">
        <f>105-70</f>
        <v>35</v>
      </c>
      <c r="I149" s="20">
        <v>300</v>
      </c>
      <c r="J149" s="21">
        <f t="shared" si="9"/>
        <v>10500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22</v>
      </c>
      <c r="C150" s="18">
        <v>45036</v>
      </c>
      <c r="D150" s="19" t="s">
        <v>18</v>
      </c>
      <c r="E150" s="19" t="s">
        <v>479</v>
      </c>
      <c r="F150" s="35">
        <v>130</v>
      </c>
      <c r="G150" s="35">
        <v>142</v>
      </c>
      <c r="H150" s="35">
        <v>12</v>
      </c>
      <c r="I150" s="20">
        <v>300</v>
      </c>
      <c r="J150" s="21">
        <f t="shared" si="9"/>
        <v>3600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23</v>
      </c>
      <c r="C151" s="18">
        <v>45036</v>
      </c>
      <c r="D151" s="19" t="s">
        <v>18</v>
      </c>
      <c r="E151" s="19" t="s">
        <v>485</v>
      </c>
      <c r="F151" s="35">
        <v>110</v>
      </c>
      <c r="G151" s="35">
        <v>145</v>
      </c>
      <c r="H151" s="35">
        <f>145-110</f>
        <v>35</v>
      </c>
      <c r="I151" s="20">
        <v>300</v>
      </c>
      <c r="J151" s="21">
        <f t="shared" si="9"/>
        <v>10500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>B151+1</f>
        <v>24</v>
      </c>
      <c r="C152" s="18">
        <v>45037</v>
      </c>
      <c r="D152" s="19" t="s">
        <v>18</v>
      </c>
      <c r="E152" s="19" t="s">
        <v>709</v>
      </c>
      <c r="F152" s="35">
        <v>105</v>
      </c>
      <c r="G152" s="35">
        <v>113</v>
      </c>
      <c r="H152" s="35">
        <f>113-105</f>
        <v>8</v>
      </c>
      <c r="I152" s="20">
        <v>300</v>
      </c>
      <c r="J152" s="21">
        <f t="shared" si="9"/>
        <v>2400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ref="B153:B174" si="14">B152+1</f>
        <v>25</v>
      </c>
      <c r="C153" s="18">
        <v>45037</v>
      </c>
      <c r="D153" s="19" t="s">
        <v>18</v>
      </c>
      <c r="E153" s="19" t="s">
        <v>709</v>
      </c>
      <c r="F153" s="35">
        <v>120</v>
      </c>
      <c r="G153" s="35">
        <v>100</v>
      </c>
      <c r="H153" s="35">
        <v>-20</v>
      </c>
      <c r="I153" s="20">
        <v>300</v>
      </c>
      <c r="J153" s="21">
        <f t="shared" si="9"/>
        <v>-6000</v>
      </c>
      <c r="K153" s="7"/>
      <c r="V153" s="5">
        <f t="shared" si="10"/>
        <v>0</v>
      </c>
      <c r="W153" s="5">
        <f t="shared" si="11"/>
        <v>1</v>
      </c>
    </row>
    <row r="154" spans="1:23" s="36" customFormat="1" x14ac:dyDescent="0.3">
      <c r="A154" s="6"/>
      <c r="B154" s="17">
        <f t="shared" si="14"/>
        <v>26</v>
      </c>
      <c r="C154" s="18">
        <v>45040</v>
      </c>
      <c r="D154" s="19" t="s">
        <v>18</v>
      </c>
      <c r="E154" s="19" t="s">
        <v>485</v>
      </c>
      <c r="F154" s="35">
        <v>100</v>
      </c>
      <c r="G154" s="35">
        <v>130</v>
      </c>
      <c r="H154" s="35">
        <v>30</v>
      </c>
      <c r="I154" s="20">
        <v>300</v>
      </c>
      <c r="J154" s="21">
        <f t="shared" si="9"/>
        <v>9000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4"/>
        <v>27</v>
      </c>
      <c r="C155" s="18">
        <v>45040</v>
      </c>
      <c r="D155" s="19" t="s">
        <v>18</v>
      </c>
      <c r="E155" s="19" t="s">
        <v>709</v>
      </c>
      <c r="F155" s="35">
        <v>105</v>
      </c>
      <c r="G155" s="35">
        <v>85</v>
      </c>
      <c r="H155" s="35">
        <v>-20</v>
      </c>
      <c r="I155" s="20">
        <v>300</v>
      </c>
      <c r="J155" s="21">
        <f t="shared" si="9"/>
        <v>-6000</v>
      </c>
      <c r="K155" s="7"/>
      <c r="V155" s="5">
        <f t="shared" si="10"/>
        <v>0</v>
      </c>
      <c r="W155" s="5">
        <f t="shared" si="11"/>
        <v>1</v>
      </c>
    </row>
    <row r="156" spans="1:23" s="36" customFormat="1" x14ac:dyDescent="0.3">
      <c r="A156" s="6"/>
      <c r="B156" s="17">
        <f t="shared" si="14"/>
        <v>28</v>
      </c>
      <c r="C156" s="18">
        <v>45040</v>
      </c>
      <c r="D156" s="19" t="s">
        <v>18</v>
      </c>
      <c r="E156" s="19" t="s">
        <v>480</v>
      </c>
      <c r="F156" s="35">
        <v>120</v>
      </c>
      <c r="G156" s="35">
        <v>155</v>
      </c>
      <c r="H156" s="35">
        <f>155-120</f>
        <v>35</v>
      </c>
      <c r="I156" s="20">
        <v>300</v>
      </c>
      <c r="J156" s="21">
        <f t="shared" si="9"/>
        <v>10500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4"/>
        <v>29</v>
      </c>
      <c r="C157" s="18">
        <v>45040</v>
      </c>
      <c r="D157" s="19" t="s">
        <v>18</v>
      </c>
      <c r="E157" s="19" t="s">
        <v>480</v>
      </c>
      <c r="F157" s="35">
        <v>105</v>
      </c>
      <c r="G157" s="35">
        <v>85</v>
      </c>
      <c r="H157" s="35">
        <v>-20</v>
      </c>
      <c r="I157" s="20">
        <v>300</v>
      </c>
      <c r="J157" s="21">
        <f t="shared" si="9"/>
        <v>-6000</v>
      </c>
      <c r="K157" s="7"/>
      <c r="V157" s="5">
        <f t="shared" si="10"/>
        <v>0</v>
      </c>
      <c r="W157" s="5">
        <f t="shared" si="11"/>
        <v>1</v>
      </c>
    </row>
    <row r="158" spans="1:23" s="36" customFormat="1" x14ac:dyDescent="0.3">
      <c r="A158" s="6"/>
      <c r="B158" s="17">
        <f t="shared" si="14"/>
        <v>30</v>
      </c>
      <c r="C158" s="18">
        <v>45041</v>
      </c>
      <c r="D158" s="19" t="s">
        <v>18</v>
      </c>
      <c r="E158" s="19" t="s">
        <v>481</v>
      </c>
      <c r="F158" s="35">
        <v>125</v>
      </c>
      <c r="G158" s="35">
        <v>160</v>
      </c>
      <c r="H158" s="35">
        <f>160-125</f>
        <v>35</v>
      </c>
      <c r="I158" s="20">
        <v>300</v>
      </c>
      <c r="J158" s="21">
        <f t="shared" si="9"/>
        <v>10500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4"/>
        <v>31</v>
      </c>
      <c r="C159" s="18">
        <v>45041</v>
      </c>
      <c r="D159" s="19" t="s">
        <v>18</v>
      </c>
      <c r="E159" s="19" t="s">
        <v>482</v>
      </c>
      <c r="F159" s="35">
        <v>115</v>
      </c>
      <c r="G159" s="35">
        <v>120</v>
      </c>
      <c r="H159" s="35">
        <v>5</v>
      </c>
      <c r="I159" s="20">
        <v>300</v>
      </c>
      <c r="J159" s="21">
        <f t="shared" si="9"/>
        <v>1500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 t="shared" si="14"/>
        <v>32</v>
      </c>
      <c r="C160" s="18">
        <v>45042</v>
      </c>
      <c r="D160" s="19" t="s">
        <v>18</v>
      </c>
      <c r="E160" s="19" t="s">
        <v>669</v>
      </c>
      <c r="F160" s="35">
        <v>125</v>
      </c>
      <c r="G160" s="35">
        <v>136</v>
      </c>
      <c r="H160" s="35">
        <f>136-125</f>
        <v>11</v>
      </c>
      <c r="I160" s="20">
        <v>300</v>
      </c>
      <c r="J160" s="21">
        <f t="shared" si="9"/>
        <v>3300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si="14"/>
        <v>33</v>
      </c>
      <c r="C161" s="18">
        <v>45043</v>
      </c>
      <c r="D161" s="19" t="s">
        <v>18</v>
      </c>
      <c r="E161" s="19" t="s">
        <v>524</v>
      </c>
      <c r="F161" s="35">
        <v>95</v>
      </c>
      <c r="G161" s="35">
        <v>130</v>
      </c>
      <c r="H161" s="35">
        <f>130-95</f>
        <v>35</v>
      </c>
      <c r="I161" s="20">
        <v>300</v>
      </c>
      <c r="J161" s="21">
        <f t="shared" si="9"/>
        <v>10500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4"/>
        <v>34</v>
      </c>
      <c r="C162" s="18">
        <v>45044</v>
      </c>
      <c r="D162" s="19" t="s">
        <v>18</v>
      </c>
      <c r="E162" s="19" t="s">
        <v>537</v>
      </c>
      <c r="F162" s="35">
        <v>110</v>
      </c>
      <c r="G162" s="35">
        <v>134</v>
      </c>
      <c r="H162" s="35">
        <f>134-110</f>
        <v>24</v>
      </c>
      <c r="I162" s="20">
        <v>300</v>
      </c>
      <c r="J162" s="21">
        <f t="shared" si="9"/>
        <v>7200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4"/>
        <v>35</v>
      </c>
      <c r="C163" s="18">
        <v>45044</v>
      </c>
      <c r="D163" s="19" t="s">
        <v>18</v>
      </c>
      <c r="E163" s="19" t="s">
        <v>484</v>
      </c>
      <c r="F163" s="35">
        <v>105</v>
      </c>
      <c r="G163" s="35">
        <v>140</v>
      </c>
      <c r="H163" s="35">
        <f>140-105</f>
        <v>35</v>
      </c>
      <c r="I163" s="20">
        <v>300</v>
      </c>
      <c r="J163" s="21">
        <f t="shared" si="9"/>
        <v>10500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4"/>
        <v>36</v>
      </c>
      <c r="C164" s="18"/>
      <c r="D164" s="19"/>
      <c r="E164" s="19"/>
      <c r="F164" s="35"/>
      <c r="G164" s="35"/>
      <c r="H164" s="35"/>
      <c r="I164" s="20"/>
      <c r="J164" s="21">
        <f t="shared" si="9"/>
        <v>0</v>
      </c>
      <c r="K164" s="7"/>
      <c r="V164" s="5">
        <f t="shared" si="10"/>
        <v>0</v>
      </c>
      <c r="W164" s="5">
        <f t="shared" si="11"/>
        <v>0</v>
      </c>
    </row>
    <row r="165" spans="1:23" s="36" customFormat="1" x14ac:dyDescent="0.3">
      <c r="A165" s="6"/>
      <c r="B165" s="17">
        <f t="shared" si="14"/>
        <v>37</v>
      </c>
      <c r="C165" s="18"/>
      <c r="D165" s="19"/>
      <c r="E165" s="19"/>
      <c r="F165" s="35"/>
      <c r="G165" s="35"/>
      <c r="H165" s="35"/>
      <c r="I165" s="20"/>
      <c r="J165" s="21">
        <f t="shared" si="9"/>
        <v>0</v>
      </c>
      <c r="K165" s="7"/>
      <c r="V165" s="5">
        <f t="shared" si="10"/>
        <v>0</v>
      </c>
      <c r="W165" s="5">
        <f t="shared" si="11"/>
        <v>0</v>
      </c>
    </row>
    <row r="166" spans="1:23" s="36" customFormat="1" x14ac:dyDescent="0.3">
      <c r="A166" s="6"/>
      <c r="B166" s="17">
        <f t="shared" si="14"/>
        <v>38</v>
      </c>
      <c r="C166" s="18"/>
      <c r="D166" s="19"/>
      <c r="E166" s="19"/>
      <c r="F166" s="35"/>
      <c r="G166" s="35"/>
      <c r="H166" s="35"/>
      <c r="I166" s="20"/>
      <c r="J166" s="21">
        <f t="shared" si="9"/>
        <v>0</v>
      </c>
      <c r="K166" s="7"/>
      <c r="V166" s="5">
        <f t="shared" si="10"/>
        <v>0</v>
      </c>
      <c r="W166" s="5">
        <f t="shared" si="11"/>
        <v>0</v>
      </c>
    </row>
    <row r="167" spans="1:23" s="36" customFormat="1" x14ac:dyDescent="0.3">
      <c r="A167" s="6"/>
      <c r="B167" s="17">
        <f t="shared" si="14"/>
        <v>39</v>
      </c>
      <c r="C167" s="18"/>
      <c r="D167" s="19"/>
      <c r="E167" s="19"/>
      <c r="F167" s="35"/>
      <c r="G167" s="35"/>
      <c r="H167" s="35"/>
      <c r="I167" s="20"/>
      <c r="J167" s="21">
        <f t="shared" si="9"/>
        <v>0</v>
      </c>
      <c r="K167" s="7"/>
      <c r="V167" s="5">
        <f t="shared" si="10"/>
        <v>0</v>
      </c>
      <c r="W167" s="5">
        <f t="shared" si="11"/>
        <v>0</v>
      </c>
    </row>
    <row r="168" spans="1:23" s="36" customFormat="1" x14ac:dyDescent="0.3">
      <c r="A168" s="6"/>
      <c r="B168" s="17">
        <f t="shared" si="14"/>
        <v>40</v>
      </c>
      <c r="C168" s="18"/>
      <c r="D168" s="19"/>
      <c r="E168" s="19"/>
      <c r="F168" s="35"/>
      <c r="G168" s="35"/>
      <c r="H168" s="35"/>
      <c r="I168" s="20"/>
      <c r="J168" s="21">
        <f t="shared" si="9"/>
        <v>0</v>
      </c>
      <c r="K168" s="7"/>
      <c r="V168" s="5">
        <f t="shared" si="10"/>
        <v>0</v>
      </c>
      <c r="W168" s="5">
        <f t="shared" si="11"/>
        <v>0</v>
      </c>
    </row>
    <row r="169" spans="1:23" s="36" customFormat="1" x14ac:dyDescent="0.3">
      <c r="A169" s="6"/>
      <c r="B169" s="17">
        <f t="shared" si="14"/>
        <v>41</v>
      </c>
      <c r="C169" s="18"/>
      <c r="D169" s="19"/>
      <c r="E169" s="19"/>
      <c r="F169" s="35"/>
      <c r="G169" s="35"/>
      <c r="H169" s="35"/>
      <c r="I169" s="20"/>
      <c r="J169" s="21">
        <f t="shared" si="9"/>
        <v>0</v>
      </c>
      <c r="K169" s="7"/>
      <c r="V169" s="5">
        <f t="shared" si="10"/>
        <v>0</v>
      </c>
      <c r="W169" s="5">
        <f t="shared" si="11"/>
        <v>0</v>
      </c>
    </row>
    <row r="170" spans="1:23" s="36" customFormat="1" x14ac:dyDescent="0.3">
      <c r="A170" s="6"/>
      <c r="B170" s="17">
        <f t="shared" si="14"/>
        <v>42</v>
      </c>
      <c r="C170" s="18"/>
      <c r="D170" s="19"/>
      <c r="E170" s="19"/>
      <c r="F170" s="35"/>
      <c r="G170" s="35"/>
      <c r="H170" s="35"/>
      <c r="I170" s="20"/>
      <c r="J170" s="21">
        <f t="shared" si="9"/>
        <v>0</v>
      </c>
      <c r="K170" s="7"/>
      <c r="V170" s="5">
        <f t="shared" si="10"/>
        <v>0</v>
      </c>
      <c r="W170" s="5">
        <f t="shared" si="11"/>
        <v>0</v>
      </c>
    </row>
    <row r="171" spans="1:23" s="36" customFormat="1" x14ac:dyDescent="0.3">
      <c r="A171" s="6"/>
      <c r="B171" s="17">
        <f t="shared" si="14"/>
        <v>43</v>
      </c>
      <c r="C171" s="18"/>
      <c r="D171" s="19"/>
      <c r="E171" s="19"/>
      <c r="F171" s="35"/>
      <c r="G171" s="35"/>
      <c r="H171" s="35"/>
      <c r="I171" s="20"/>
      <c r="J171" s="21">
        <f t="shared" si="9"/>
        <v>0</v>
      </c>
      <c r="K171" s="7"/>
      <c r="V171" s="5">
        <f t="shared" si="10"/>
        <v>0</v>
      </c>
      <c r="W171" s="5">
        <f t="shared" si="11"/>
        <v>0</v>
      </c>
    </row>
    <row r="172" spans="1:23" s="36" customFormat="1" x14ac:dyDescent="0.3">
      <c r="A172" s="6"/>
      <c r="B172" s="17">
        <f t="shared" si="14"/>
        <v>44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x14ac:dyDescent="0.3">
      <c r="A173" s="6"/>
      <c r="B173" s="17">
        <f t="shared" si="14"/>
        <v>45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ht="15" thickBot="1" x14ac:dyDescent="0.35">
      <c r="A174" s="6"/>
      <c r="B174" s="95">
        <f t="shared" si="14"/>
        <v>46</v>
      </c>
      <c r="C174" s="79"/>
      <c r="D174" s="80"/>
      <c r="E174" s="80"/>
      <c r="F174" s="96"/>
      <c r="G174" s="96"/>
      <c r="H174" s="96"/>
      <c r="I174" s="81"/>
      <c r="J174" s="82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ht="24" thickBot="1" x14ac:dyDescent="0.5">
      <c r="A175" s="6"/>
      <c r="B175" s="165" t="s">
        <v>22</v>
      </c>
      <c r="C175" s="166"/>
      <c r="D175" s="166"/>
      <c r="E175" s="166"/>
      <c r="F175" s="166"/>
      <c r="G175" s="166"/>
      <c r="H175" s="167"/>
      <c r="I175" s="83" t="s">
        <v>23</v>
      </c>
      <c r="J175" s="84">
        <f>SUM(J129:J174)</f>
        <v>143900</v>
      </c>
      <c r="K175" s="7"/>
      <c r="L175" s="5"/>
      <c r="M175" s="5"/>
      <c r="N175" s="5"/>
      <c r="O175" s="5"/>
      <c r="P175" s="5"/>
      <c r="Q175" s="5"/>
      <c r="R175" s="5"/>
      <c r="V175" s="36">
        <f>SUM(V129:V174)</f>
        <v>29</v>
      </c>
      <c r="W175" s="36">
        <f>SUM(W129:W174)</f>
        <v>6</v>
      </c>
    </row>
    <row r="176" spans="1:23" s="36" customFormat="1" ht="30" customHeight="1" thickBot="1" x14ac:dyDescent="0.35">
      <c r="A176" s="30"/>
      <c r="B176" s="31"/>
      <c r="C176" s="31"/>
      <c r="D176" s="31"/>
      <c r="E176" s="31"/>
      <c r="F176" s="31"/>
      <c r="G176" s="31"/>
      <c r="H176" s="32"/>
      <c r="I176" s="31"/>
      <c r="J176" s="32"/>
      <c r="K176" s="33"/>
      <c r="L176" s="5"/>
      <c r="M176" s="5"/>
      <c r="N176" s="5"/>
      <c r="O176" s="5"/>
      <c r="P176" s="5"/>
      <c r="Q176" s="5"/>
      <c r="R176" s="5"/>
    </row>
  </sheetData>
  <mergeCells count="44">
    <mergeCell ref="B121:H121"/>
    <mergeCell ref="B125:J125"/>
    <mergeCell ref="B126:J126"/>
    <mergeCell ref="B127:J127"/>
    <mergeCell ref="B175:H175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59" r:id="rId1" xr:uid="{00000000-0004-0000-2100-000000000000}"/>
    <hyperlink ref="B121" r:id="rId2" xr:uid="{00000000-0004-0000-2100-000001000000}"/>
    <hyperlink ref="B175" r:id="rId3" xr:uid="{00000000-0004-0000-2100-000002000000}"/>
    <hyperlink ref="M1" location="MASTER!A1" display="Back" xr:uid="{00000000-0004-0000-2100-000003000000}"/>
    <hyperlink ref="M6:M7" location="'APRIL 2023'!A70" display="EXTRA STOCK FUTURE" xr:uid="{00000000-0004-0000-2100-000004000000}"/>
    <hyperlink ref="M8:M9" location="'APRIL 2023'!A140" display="EXTRA NIFTY OPTION" xr:uid="{00000000-0004-0000-2100-000005000000}"/>
    <hyperlink ref="M4:M5" location="'APRIL 2023'!A1" display="EXTRA BANKNIFTY OPTION" xr:uid="{00000000-0004-0000-2100-000006000000}"/>
  </hyperlinks>
  <pageMargins left="0" right="0" top="0" bottom="0" header="0" footer="0"/>
  <pageSetup paperSize="9" orientation="portrait" r:id="rId4"/>
  <ignoredErrors>
    <ignoredError sqref="J135" formula="1"/>
  </ignoredErrors>
  <drawing r:id="rId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176"/>
  <sheetViews>
    <sheetView topLeftCell="A44" zoomScaleNormal="100" workbookViewId="0">
      <selection activeCell="O16" sqref="O16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9.109375" style="5" customWidth="1"/>
    <col min="22" max="23" width="9.109375" style="5" hidden="1" customWidth="1"/>
    <col min="24" max="24" width="9.109375" style="5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225" t="s">
        <v>3</v>
      </c>
      <c r="N2" s="226" t="s">
        <v>4</v>
      </c>
      <c r="O2" s="227" t="s">
        <v>5</v>
      </c>
      <c r="P2" s="227" t="s">
        <v>6</v>
      </c>
      <c r="Q2" s="227" t="s">
        <v>7</v>
      </c>
      <c r="R2" s="224" t="s">
        <v>8</v>
      </c>
    </row>
    <row r="3" spans="1:23" ht="16.2" thickBot="1" x14ac:dyDescent="0.35">
      <c r="A3" s="6"/>
      <c r="B3" s="103">
        <v>45047</v>
      </c>
      <c r="C3" s="104"/>
      <c r="D3" s="104"/>
      <c r="E3" s="104"/>
      <c r="F3" s="104"/>
      <c r="G3" s="104"/>
      <c r="H3" s="104"/>
      <c r="I3" s="104"/>
      <c r="J3" s="105"/>
      <c r="K3" s="7"/>
      <c r="M3" s="225"/>
      <c r="N3" s="226"/>
      <c r="O3" s="227"/>
      <c r="P3" s="227"/>
      <c r="Q3" s="227"/>
      <c r="R3" s="224"/>
    </row>
    <row r="4" spans="1:23" ht="16.5" customHeight="1" thickBot="1" x14ac:dyDescent="0.35">
      <c r="A4" s="6"/>
      <c r="B4" s="106" t="s">
        <v>785</v>
      </c>
      <c r="C4" s="107"/>
      <c r="D4" s="107"/>
      <c r="E4" s="107"/>
      <c r="F4" s="107"/>
      <c r="G4" s="107"/>
      <c r="H4" s="107"/>
      <c r="I4" s="107"/>
      <c r="J4" s="108"/>
      <c r="K4" s="7"/>
      <c r="M4" s="221" t="s">
        <v>107</v>
      </c>
      <c r="N4" s="222">
        <f>COUNT(C6:C58)</f>
        <v>37</v>
      </c>
      <c r="O4" s="222">
        <f>V59</f>
        <v>32</v>
      </c>
      <c r="P4" s="222">
        <f>W59</f>
        <v>5</v>
      </c>
      <c r="Q4" s="222">
        <f>N4-O4-P4</f>
        <v>0</v>
      </c>
      <c r="R4" s="220">
        <f>O4/N4</f>
        <v>0.86486486486486491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221"/>
      <c r="N5" s="222"/>
      <c r="O5" s="222"/>
      <c r="P5" s="222"/>
      <c r="Q5" s="222"/>
      <c r="R5" s="220"/>
      <c r="V5" s="5" t="s">
        <v>5</v>
      </c>
      <c r="W5" s="5" t="s">
        <v>6</v>
      </c>
    </row>
    <row r="6" spans="1:23" ht="15" customHeight="1" thickBot="1" x14ac:dyDescent="0.35">
      <c r="A6" s="6"/>
      <c r="B6" s="88">
        <v>1</v>
      </c>
      <c r="C6" s="89">
        <v>45048</v>
      </c>
      <c r="D6" s="90" t="s">
        <v>18</v>
      </c>
      <c r="E6" s="90" t="s">
        <v>769</v>
      </c>
      <c r="F6" s="90">
        <v>150</v>
      </c>
      <c r="G6" s="90">
        <v>169</v>
      </c>
      <c r="H6" s="91">
        <v>19</v>
      </c>
      <c r="I6" s="90">
        <v>100</v>
      </c>
      <c r="J6" s="92">
        <f t="shared" ref="J6:J58" si="0">H6*I6</f>
        <v>1900</v>
      </c>
      <c r="K6" s="7"/>
      <c r="M6" s="221" t="s">
        <v>108</v>
      </c>
      <c r="N6" s="222">
        <f>COUNT(C67:C120)</f>
        <v>7</v>
      </c>
      <c r="O6" s="222">
        <f>V121</f>
        <v>1</v>
      </c>
      <c r="P6" s="222">
        <f>W121</f>
        <v>1</v>
      </c>
      <c r="Q6" s="222">
        <f>N6-O6-P6</f>
        <v>5</v>
      </c>
      <c r="R6" s="220">
        <f t="shared" ref="R6" si="1">O6/N6</f>
        <v>0.14285714285714285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ht="15" thickBot="1" x14ac:dyDescent="0.35">
      <c r="A7" s="6"/>
      <c r="B7" s="17">
        <v>2</v>
      </c>
      <c r="C7" s="85">
        <v>45048</v>
      </c>
      <c r="D7" s="86" t="s">
        <v>18</v>
      </c>
      <c r="E7" s="86" t="s">
        <v>769</v>
      </c>
      <c r="F7" s="86">
        <v>150</v>
      </c>
      <c r="G7" s="86">
        <v>100</v>
      </c>
      <c r="H7" s="87">
        <v>-50</v>
      </c>
      <c r="I7" s="86">
        <v>100</v>
      </c>
      <c r="J7" s="21">
        <f t="shared" si="0"/>
        <v>-5000</v>
      </c>
      <c r="K7" s="7"/>
      <c r="M7" s="221"/>
      <c r="N7" s="222"/>
      <c r="O7" s="222"/>
      <c r="P7" s="222"/>
      <c r="Q7" s="222"/>
      <c r="R7" s="220"/>
      <c r="V7" s="5">
        <f t="shared" si="2"/>
        <v>0</v>
      </c>
      <c r="W7" s="5">
        <f t="shared" si="3"/>
        <v>1</v>
      </c>
    </row>
    <row r="8" spans="1:23" ht="15" thickBot="1" x14ac:dyDescent="0.35">
      <c r="A8" s="6"/>
      <c r="B8" s="88">
        <v>3</v>
      </c>
      <c r="C8" s="85">
        <v>45049</v>
      </c>
      <c r="D8" s="86" t="s">
        <v>18</v>
      </c>
      <c r="E8" s="86" t="s">
        <v>774</v>
      </c>
      <c r="F8" s="86">
        <v>150</v>
      </c>
      <c r="G8" s="86">
        <v>100</v>
      </c>
      <c r="H8" s="87">
        <v>-50</v>
      </c>
      <c r="I8" s="86">
        <v>100</v>
      </c>
      <c r="J8" s="21">
        <f t="shared" si="0"/>
        <v>-5000</v>
      </c>
      <c r="K8" s="7"/>
      <c r="M8" s="223" t="s">
        <v>194</v>
      </c>
      <c r="N8" s="222">
        <f>COUNT(C129:C174)</f>
        <v>41</v>
      </c>
      <c r="O8" s="222">
        <f>V175</f>
        <v>35</v>
      </c>
      <c r="P8" s="222">
        <f>W175</f>
        <v>6</v>
      </c>
      <c r="Q8" s="222">
        <v>0</v>
      </c>
      <c r="R8" s="220">
        <f t="shared" ref="R8:R10" si="4">O8/N8</f>
        <v>0.85365853658536583</v>
      </c>
      <c r="V8" s="5">
        <f t="shared" si="2"/>
        <v>0</v>
      </c>
      <c r="W8" s="5">
        <f t="shared" si="3"/>
        <v>1</v>
      </c>
    </row>
    <row r="9" spans="1:23" ht="15" thickBot="1" x14ac:dyDescent="0.35">
      <c r="A9" s="6"/>
      <c r="B9" s="17">
        <v>4</v>
      </c>
      <c r="C9" s="85">
        <v>45049</v>
      </c>
      <c r="D9" s="86" t="s">
        <v>18</v>
      </c>
      <c r="E9" s="86" t="s">
        <v>772</v>
      </c>
      <c r="F9" s="86">
        <v>130</v>
      </c>
      <c r="G9" s="86">
        <v>177</v>
      </c>
      <c r="H9" s="87">
        <f>177-130</f>
        <v>47</v>
      </c>
      <c r="I9" s="86">
        <v>100</v>
      </c>
      <c r="J9" s="21">
        <f t="shared" si="0"/>
        <v>4700</v>
      </c>
      <c r="K9" s="7"/>
      <c r="M9" s="223"/>
      <c r="N9" s="222"/>
      <c r="O9" s="222"/>
      <c r="P9" s="222"/>
      <c r="Q9" s="222"/>
      <c r="R9" s="220"/>
      <c r="V9" s="5">
        <f t="shared" si="2"/>
        <v>1</v>
      </c>
      <c r="W9" s="5">
        <f t="shared" si="3"/>
        <v>0</v>
      </c>
    </row>
    <row r="10" spans="1:23" ht="16.5" customHeight="1" thickBot="1" x14ac:dyDescent="0.35">
      <c r="A10" s="6"/>
      <c r="B10" s="88">
        <v>5</v>
      </c>
      <c r="C10" s="85">
        <v>45050</v>
      </c>
      <c r="D10" s="86" t="s">
        <v>18</v>
      </c>
      <c r="E10" s="86" t="s">
        <v>773</v>
      </c>
      <c r="F10" s="86">
        <v>160</v>
      </c>
      <c r="G10" s="86">
        <v>210</v>
      </c>
      <c r="H10" s="87">
        <f>210-160</f>
        <v>50</v>
      </c>
      <c r="I10" s="86">
        <v>100</v>
      </c>
      <c r="J10" s="21">
        <f t="shared" si="0"/>
        <v>5000</v>
      </c>
      <c r="K10" s="7"/>
      <c r="M10" s="218" t="s">
        <v>19</v>
      </c>
      <c r="N10" s="219">
        <f>SUM(N4:N9)</f>
        <v>85</v>
      </c>
      <c r="O10" s="219">
        <f>SUM(O4:O9)</f>
        <v>68</v>
      </c>
      <c r="P10" s="219">
        <f>SUM(P4:P9)</f>
        <v>12</v>
      </c>
      <c r="Q10" s="219">
        <f>SUM(Q4:Q9)</f>
        <v>5</v>
      </c>
      <c r="R10" s="220">
        <f t="shared" si="4"/>
        <v>0.8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45050</v>
      </c>
      <c r="D11" s="86" t="s">
        <v>18</v>
      </c>
      <c r="E11" s="86" t="s">
        <v>772</v>
      </c>
      <c r="F11" s="86">
        <v>130</v>
      </c>
      <c r="G11" s="86">
        <v>230</v>
      </c>
      <c r="H11" s="87">
        <v>100</v>
      </c>
      <c r="I11" s="86">
        <v>100</v>
      </c>
      <c r="J11" s="21">
        <f t="shared" si="0"/>
        <v>10000</v>
      </c>
      <c r="K11" s="7"/>
      <c r="M11" s="218"/>
      <c r="N11" s="219"/>
      <c r="O11" s="219"/>
      <c r="P11" s="219"/>
      <c r="Q11" s="219"/>
      <c r="R11" s="220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45051</v>
      </c>
      <c r="D12" s="86" t="s">
        <v>18</v>
      </c>
      <c r="E12" s="86" t="s">
        <v>809</v>
      </c>
      <c r="F12" s="86">
        <v>140</v>
      </c>
      <c r="G12" s="86">
        <v>190</v>
      </c>
      <c r="H12" s="87">
        <v>50</v>
      </c>
      <c r="I12" s="86">
        <v>100</v>
      </c>
      <c r="J12" s="21">
        <f t="shared" si="0"/>
        <v>5000</v>
      </c>
      <c r="K12" s="7"/>
      <c r="M12" s="129" t="s">
        <v>20</v>
      </c>
      <c r="N12" s="130"/>
      <c r="O12" s="131"/>
      <c r="P12" s="138">
        <f>R10</f>
        <v>0.8</v>
      </c>
      <c r="Q12" s="139"/>
      <c r="R12" s="140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45054</v>
      </c>
      <c r="D13" s="86" t="s">
        <v>18</v>
      </c>
      <c r="E13" s="86" t="s">
        <v>769</v>
      </c>
      <c r="F13" s="86">
        <v>140</v>
      </c>
      <c r="G13" s="86">
        <v>175</v>
      </c>
      <c r="H13" s="87">
        <f>175-140</f>
        <v>35</v>
      </c>
      <c r="I13" s="86">
        <v>100</v>
      </c>
      <c r="J13" s="21">
        <f t="shared" si="0"/>
        <v>3500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45055</v>
      </c>
      <c r="D14" s="86" t="s">
        <v>18</v>
      </c>
      <c r="E14" s="86" t="s">
        <v>801</v>
      </c>
      <c r="F14" s="86">
        <v>130</v>
      </c>
      <c r="G14" s="86">
        <v>147</v>
      </c>
      <c r="H14" s="87">
        <v>17</v>
      </c>
      <c r="I14" s="86">
        <v>100</v>
      </c>
      <c r="J14" s="21">
        <f t="shared" si="0"/>
        <v>1700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45055</v>
      </c>
      <c r="D15" s="86" t="s">
        <v>18</v>
      </c>
      <c r="E15" s="86" t="s">
        <v>780</v>
      </c>
      <c r="F15" s="86">
        <v>140</v>
      </c>
      <c r="G15" s="86">
        <v>120</v>
      </c>
      <c r="H15" s="87">
        <v>-20</v>
      </c>
      <c r="I15" s="86">
        <v>100</v>
      </c>
      <c r="J15" s="21">
        <f t="shared" si="0"/>
        <v>-2000</v>
      </c>
      <c r="K15" s="7"/>
      <c r="V15" s="5">
        <f t="shared" si="2"/>
        <v>0</v>
      </c>
      <c r="W15" s="5">
        <f t="shared" si="3"/>
        <v>1</v>
      </c>
    </row>
    <row r="16" spans="1:23" x14ac:dyDescent="0.3">
      <c r="A16" s="6"/>
      <c r="B16" s="88">
        <v>11</v>
      </c>
      <c r="C16" s="85">
        <v>45056</v>
      </c>
      <c r="D16" s="86" t="s">
        <v>18</v>
      </c>
      <c r="E16" s="86" t="s">
        <v>835</v>
      </c>
      <c r="F16" s="86">
        <v>140</v>
      </c>
      <c r="G16" s="86">
        <v>240</v>
      </c>
      <c r="H16" s="87">
        <v>100</v>
      </c>
      <c r="I16" s="86">
        <v>100</v>
      </c>
      <c r="J16" s="21">
        <f t="shared" si="0"/>
        <v>10000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85">
        <v>45056</v>
      </c>
      <c r="D17" s="86" t="s">
        <v>18</v>
      </c>
      <c r="E17" s="86" t="s">
        <v>774</v>
      </c>
      <c r="F17" s="86">
        <v>130</v>
      </c>
      <c r="G17" s="86">
        <v>180</v>
      </c>
      <c r="H17" s="87">
        <v>50</v>
      </c>
      <c r="I17" s="86">
        <v>100</v>
      </c>
      <c r="J17" s="21">
        <f t="shared" si="0"/>
        <v>5000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85">
        <v>45057</v>
      </c>
      <c r="D18" s="86" t="s">
        <v>18</v>
      </c>
      <c r="E18" s="86" t="s">
        <v>769</v>
      </c>
      <c r="F18" s="86">
        <v>160</v>
      </c>
      <c r="G18" s="86">
        <v>180</v>
      </c>
      <c r="H18" s="87">
        <v>20</v>
      </c>
      <c r="I18" s="86">
        <v>100</v>
      </c>
      <c r="J18" s="21">
        <f t="shared" si="0"/>
        <v>2000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85">
        <v>45058</v>
      </c>
      <c r="D19" s="86" t="s">
        <v>18</v>
      </c>
      <c r="E19" s="86" t="s">
        <v>809</v>
      </c>
      <c r="F19" s="86">
        <v>170</v>
      </c>
      <c r="G19" s="86">
        <v>220</v>
      </c>
      <c r="H19" s="87">
        <f>220-170</f>
        <v>50</v>
      </c>
      <c r="I19" s="86">
        <v>100</v>
      </c>
      <c r="J19" s="21">
        <f t="shared" si="0"/>
        <v>5000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85">
        <v>45058</v>
      </c>
      <c r="D20" s="86" t="s">
        <v>18</v>
      </c>
      <c r="E20" s="86" t="s">
        <v>783</v>
      </c>
      <c r="F20" s="86">
        <v>230</v>
      </c>
      <c r="G20" s="86">
        <v>320</v>
      </c>
      <c r="H20" s="87">
        <f>320-230</f>
        <v>90</v>
      </c>
      <c r="I20" s="86">
        <v>100</v>
      </c>
      <c r="J20" s="21">
        <f t="shared" si="0"/>
        <v>9000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85">
        <v>45061</v>
      </c>
      <c r="D21" s="86" t="s">
        <v>18</v>
      </c>
      <c r="E21" s="86" t="s">
        <v>781</v>
      </c>
      <c r="F21" s="86">
        <v>200</v>
      </c>
      <c r="G21" s="86">
        <v>250</v>
      </c>
      <c r="H21" s="87">
        <v>50</v>
      </c>
      <c r="I21" s="86">
        <v>100</v>
      </c>
      <c r="J21" s="21">
        <f t="shared" si="0"/>
        <v>5000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45061</v>
      </c>
      <c r="D22" s="19" t="s">
        <v>18</v>
      </c>
      <c r="E22" s="19" t="s">
        <v>797</v>
      </c>
      <c r="F22" s="35">
        <v>190</v>
      </c>
      <c r="G22" s="35">
        <v>300</v>
      </c>
      <c r="H22" s="35">
        <f>300-190</f>
        <v>110</v>
      </c>
      <c r="I22" s="86">
        <v>100</v>
      </c>
      <c r="J22" s="21">
        <f t="shared" si="0"/>
        <v>11000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45062</v>
      </c>
      <c r="D23" s="19" t="s">
        <v>18</v>
      </c>
      <c r="E23" s="19" t="s">
        <v>797</v>
      </c>
      <c r="F23" s="35">
        <v>180</v>
      </c>
      <c r="G23" s="35">
        <v>130</v>
      </c>
      <c r="H23" s="35">
        <v>-50</v>
      </c>
      <c r="I23" s="86">
        <v>100</v>
      </c>
      <c r="J23" s="21">
        <f t="shared" si="0"/>
        <v>-5000</v>
      </c>
      <c r="K23" s="7"/>
      <c r="V23" s="5">
        <f t="shared" si="2"/>
        <v>0</v>
      </c>
      <c r="W23" s="5">
        <f t="shared" si="3"/>
        <v>1</v>
      </c>
    </row>
    <row r="24" spans="1:23" x14ac:dyDescent="0.3">
      <c r="A24" s="6"/>
      <c r="B24" s="88">
        <v>19</v>
      </c>
      <c r="C24" s="18">
        <v>45062</v>
      </c>
      <c r="D24" s="19" t="s">
        <v>18</v>
      </c>
      <c r="E24" s="19" t="s">
        <v>797</v>
      </c>
      <c r="F24" s="35">
        <v>170</v>
      </c>
      <c r="G24" s="35">
        <v>190</v>
      </c>
      <c r="H24" s="35">
        <v>20</v>
      </c>
      <c r="I24" s="20">
        <v>100</v>
      </c>
      <c r="J24" s="21">
        <f t="shared" si="0"/>
        <v>2000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45063</v>
      </c>
      <c r="D25" s="19" t="s">
        <v>18</v>
      </c>
      <c r="E25" s="19" t="s">
        <v>835</v>
      </c>
      <c r="F25" s="35">
        <v>190</v>
      </c>
      <c r="G25" s="35">
        <v>290</v>
      </c>
      <c r="H25" s="35">
        <v>100</v>
      </c>
      <c r="I25" s="20">
        <v>100</v>
      </c>
      <c r="J25" s="21">
        <f t="shared" si="0"/>
        <v>10000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45063</v>
      </c>
      <c r="D26" s="19" t="s">
        <v>18</v>
      </c>
      <c r="E26" s="19" t="s">
        <v>802</v>
      </c>
      <c r="F26" s="35">
        <v>170</v>
      </c>
      <c r="G26" s="35">
        <v>245</v>
      </c>
      <c r="H26" s="35">
        <f>245-170</f>
        <v>75</v>
      </c>
      <c r="I26" s="20">
        <v>100</v>
      </c>
      <c r="J26" s="21">
        <f t="shared" si="0"/>
        <v>7500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45064</v>
      </c>
      <c r="D27" s="19" t="s">
        <v>18</v>
      </c>
      <c r="E27" s="19" t="s">
        <v>799</v>
      </c>
      <c r="F27" s="35">
        <v>200</v>
      </c>
      <c r="G27" s="35">
        <v>250</v>
      </c>
      <c r="H27" s="19">
        <v>50</v>
      </c>
      <c r="I27" s="20">
        <v>100</v>
      </c>
      <c r="J27" s="21">
        <f t="shared" si="0"/>
        <v>5000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45064</v>
      </c>
      <c r="D28" s="19" t="s">
        <v>18</v>
      </c>
      <c r="E28" s="19" t="s">
        <v>784</v>
      </c>
      <c r="F28" s="35">
        <v>190</v>
      </c>
      <c r="G28" s="35">
        <v>140</v>
      </c>
      <c r="H28" s="19">
        <v>-50</v>
      </c>
      <c r="I28" s="20">
        <v>100</v>
      </c>
      <c r="J28" s="21">
        <f t="shared" si="0"/>
        <v>-5000</v>
      </c>
      <c r="K28" s="7"/>
      <c r="V28" s="5">
        <f t="shared" si="2"/>
        <v>0</v>
      </c>
      <c r="W28" s="5">
        <f t="shared" si="3"/>
        <v>1</v>
      </c>
    </row>
    <row r="29" spans="1:23" x14ac:dyDescent="0.3">
      <c r="A29" s="6"/>
      <c r="B29" s="17">
        <v>24</v>
      </c>
      <c r="C29" s="18">
        <v>45065</v>
      </c>
      <c r="D29" s="19" t="s">
        <v>18</v>
      </c>
      <c r="E29" s="19" t="s">
        <v>836</v>
      </c>
      <c r="F29" s="20">
        <v>190</v>
      </c>
      <c r="G29" s="20">
        <v>240</v>
      </c>
      <c r="H29" s="19">
        <v>50</v>
      </c>
      <c r="I29" s="20">
        <v>100</v>
      </c>
      <c r="J29" s="21">
        <f t="shared" si="0"/>
        <v>5000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45065</v>
      </c>
      <c r="D30" s="25" t="s">
        <v>18</v>
      </c>
      <c r="E30" s="25" t="s">
        <v>781</v>
      </c>
      <c r="F30" s="26">
        <v>180</v>
      </c>
      <c r="G30" s="61">
        <v>250</v>
      </c>
      <c r="H30" s="61">
        <f>250-180</f>
        <v>70</v>
      </c>
      <c r="I30" s="26">
        <v>100</v>
      </c>
      <c r="J30" s="21">
        <f t="shared" si="0"/>
        <v>7000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45068</v>
      </c>
      <c r="D31" s="25" t="s">
        <v>18</v>
      </c>
      <c r="E31" s="25" t="s">
        <v>798</v>
      </c>
      <c r="F31" s="26">
        <v>140</v>
      </c>
      <c r="G31" s="61">
        <v>190</v>
      </c>
      <c r="H31" s="61">
        <v>50</v>
      </c>
      <c r="I31" s="26">
        <v>100</v>
      </c>
      <c r="J31" s="21">
        <f t="shared" si="0"/>
        <v>5000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45068</v>
      </c>
      <c r="D32" s="25" t="s">
        <v>18</v>
      </c>
      <c r="E32" s="25" t="s">
        <v>802</v>
      </c>
      <c r="F32" s="26">
        <v>140</v>
      </c>
      <c r="G32" s="61">
        <v>190</v>
      </c>
      <c r="H32" s="61">
        <v>50</v>
      </c>
      <c r="I32" s="26">
        <v>100</v>
      </c>
      <c r="J32" s="21">
        <f t="shared" si="0"/>
        <v>5000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45069</v>
      </c>
      <c r="D33" s="25" t="s">
        <v>18</v>
      </c>
      <c r="E33" s="25" t="s">
        <v>798</v>
      </c>
      <c r="F33" s="26">
        <v>120</v>
      </c>
      <c r="G33" s="61">
        <v>136</v>
      </c>
      <c r="H33" s="61">
        <v>16</v>
      </c>
      <c r="I33" s="26">
        <v>100</v>
      </c>
      <c r="J33" s="21">
        <f t="shared" si="0"/>
        <v>1600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45070</v>
      </c>
      <c r="D34" s="25" t="s">
        <v>18</v>
      </c>
      <c r="E34" s="25" t="s">
        <v>784</v>
      </c>
      <c r="F34" s="26">
        <v>160</v>
      </c>
      <c r="G34" s="61">
        <v>227</v>
      </c>
      <c r="H34" s="61">
        <f>227-160</f>
        <v>67</v>
      </c>
      <c r="I34" s="26">
        <v>100</v>
      </c>
      <c r="J34" s="21">
        <f t="shared" si="0"/>
        <v>6700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45071</v>
      </c>
      <c r="D35" s="25" t="s">
        <v>18</v>
      </c>
      <c r="E35" s="25" t="s">
        <v>802</v>
      </c>
      <c r="F35" s="26">
        <v>110</v>
      </c>
      <c r="G35" s="61">
        <v>210</v>
      </c>
      <c r="H35" s="61">
        <v>100</v>
      </c>
      <c r="I35" s="26">
        <v>100</v>
      </c>
      <c r="J35" s="21">
        <f t="shared" si="0"/>
        <v>10000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45071</v>
      </c>
      <c r="D36" s="25" t="s">
        <v>18</v>
      </c>
      <c r="E36" s="25" t="s">
        <v>802</v>
      </c>
      <c r="F36" s="26">
        <v>130</v>
      </c>
      <c r="G36" s="61">
        <v>209</v>
      </c>
      <c r="H36" s="61">
        <f>209-130</f>
        <v>79</v>
      </c>
      <c r="I36" s="26">
        <v>100</v>
      </c>
      <c r="J36" s="21">
        <f t="shared" si="0"/>
        <v>7900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45072</v>
      </c>
      <c r="D37" s="25" t="s">
        <v>18</v>
      </c>
      <c r="E37" s="25" t="s">
        <v>797</v>
      </c>
      <c r="F37" s="26">
        <v>140</v>
      </c>
      <c r="G37" s="61">
        <v>240</v>
      </c>
      <c r="H37" s="61">
        <v>100</v>
      </c>
      <c r="I37" s="26">
        <v>100</v>
      </c>
      <c r="J37" s="21">
        <f t="shared" si="0"/>
        <v>10000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45072</v>
      </c>
      <c r="D38" s="25" t="s">
        <v>18</v>
      </c>
      <c r="E38" s="25" t="s">
        <v>781</v>
      </c>
      <c r="F38" s="26">
        <v>140</v>
      </c>
      <c r="G38" s="61">
        <v>240</v>
      </c>
      <c r="H38" s="61">
        <v>100</v>
      </c>
      <c r="I38" s="26">
        <v>100</v>
      </c>
      <c r="J38" s="21">
        <f t="shared" si="0"/>
        <v>10000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45075</v>
      </c>
      <c r="D39" s="25" t="s">
        <v>18</v>
      </c>
      <c r="E39" s="25" t="s">
        <v>838</v>
      </c>
      <c r="F39" s="26">
        <v>140</v>
      </c>
      <c r="G39" s="61">
        <v>169</v>
      </c>
      <c r="H39" s="61">
        <f>169-140</f>
        <v>29</v>
      </c>
      <c r="I39" s="26">
        <v>100</v>
      </c>
      <c r="J39" s="21">
        <f t="shared" si="0"/>
        <v>2900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45076</v>
      </c>
      <c r="D40" s="25" t="s">
        <v>18</v>
      </c>
      <c r="E40" s="25" t="s">
        <v>839</v>
      </c>
      <c r="F40" s="26">
        <v>120</v>
      </c>
      <c r="G40" s="61">
        <v>140</v>
      </c>
      <c r="H40" s="61">
        <v>20</v>
      </c>
      <c r="I40" s="26">
        <v>100</v>
      </c>
      <c r="J40" s="21">
        <f t="shared" si="0"/>
        <v>2000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18">
        <v>45077</v>
      </c>
      <c r="D41" s="19" t="s">
        <v>18</v>
      </c>
      <c r="E41" s="19" t="s">
        <v>799</v>
      </c>
      <c r="F41" s="35">
        <v>130</v>
      </c>
      <c r="G41" s="35">
        <v>230</v>
      </c>
      <c r="H41" s="35">
        <v>100</v>
      </c>
      <c r="I41" s="26">
        <v>100</v>
      </c>
      <c r="J41" s="21">
        <f t="shared" si="0"/>
        <v>10000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18">
        <v>45077</v>
      </c>
      <c r="D42" s="19" t="s">
        <v>18</v>
      </c>
      <c r="E42" s="19" t="s">
        <v>800</v>
      </c>
      <c r="F42" s="35">
        <v>140</v>
      </c>
      <c r="G42" s="35">
        <v>240</v>
      </c>
      <c r="H42" s="35">
        <v>100</v>
      </c>
      <c r="I42" s="26">
        <v>100</v>
      </c>
      <c r="J42" s="21">
        <f t="shared" si="0"/>
        <v>10000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17">
        <v>38</v>
      </c>
      <c r="C43" s="24"/>
      <c r="D43" s="25" t="s">
        <v>21</v>
      </c>
      <c r="E43" s="25"/>
      <c r="F43" s="26"/>
      <c r="G43" s="61"/>
      <c r="H43" s="61"/>
      <c r="I43" s="26"/>
      <c r="J43" s="21">
        <f t="shared" si="0"/>
        <v>0</v>
      </c>
      <c r="K43" s="7"/>
      <c r="V43" s="5">
        <f t="shared" si="2"/>
        <v>0</v>
      </c>
      <c r="W43" s="5">
        <f t="shared" si="3"/>
        <v>0</v>
      </c>
    </row>
    <row r="44" spans="1:23" x14ac:dyDescent="0.3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x14ac:dyDescent="0.3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x14ac:dyDescent="0.3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x14ac:dyDescent="0.3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x14ac:dyDescent="0.3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174400</v>
      </c>
      <c r="K59" s="7"/>
      <c r="V59" s="5">
        <f>SUM(V6:V58)</f>
        <v>32</v>
      </c>
      <c r="W59" s="5">
        <f>SUM(W6:W58)</f>
        <v>5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834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45050</v>
      </c>
      <c r="D67" s="67" t="s">
        <v>69</v>
      </c>
      <c r="E67" s="67" t="s">
        <v>75</v>
      </c>
      <c r="F67" s="68">
        <v>920</v>
      </c>
      <c r="G67" s="68"/>
      <c r="H67" s="97"/>
      <c r="I67" s="68"/>
      <c r="J67" s="92">
        <f>H67*I67</f>
        <v>0</v>
      </c>
      <c r="K67" s="7"/>
      <c r="V67" s="5">
        <f t="shared" ref="V67:V120" si="5">IF($J67&gt;0,1,0)</f>
        <v>0</v>
      </c>
      <c r="W67" s="5">
        <f t="shared" ref="W67:W120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45055</v>
      </c>
      <c r="D68" s="67" t="s">
        <v>18</v>
      </c>
      <c r="E68" s="67" t="s">
        <v>70</v>
      </c>
      <c r="F68" s="97">
        <v>888</v>
      </c>
      <c r="G68" s="97"/>
      <c r="H68" s="97"/>
      <c r="I68" s="20"/>
      <c r="J68" s="21">
        <f>H68*I68</f>
        <v>0</v>
      </c>
      <c r="K68" s="7"/>
      <c r="L68" s="36" t="s">
        <v>21</v>
      </c>
      <c r="V68" s="5">
        <f t="shared" si="5"/>
        <v>0</v>
      </c>
      <c r="W68" s="5">
        <f t="shared" si="6"/>
        <v>0</v>
      </c>
    </row>
    <row r="69" spans="1:23" s="36" customFormat="1" x14ac:dyDescent="0.3">
      <c r="A69" s="6"/>
      <c r="B69" s="17">
        <f t="shared" ref="B69:B120" si="7">B68+1</f>
        <v>3</v>
      </c>
      <c r="C69" s="18">
        <v>45068</v>
      </c>
      <c r="D69" s="19" t="s">
        <v>69</v>
      </c>
      <c r="E69" s="19" t="s">
        <v>70</v>
      </c>
      <c r="F69" s="35">
        <v>917</v>
      </c>
      <c r="G69" s="97"/>
      <c r="H69" s="35"/>
      <c r="I69" s="20"/>
      <c r="J69" s="21">
        <f>H69*I69</f>
        <v>0</v>
      </c>
      <c r="K69" s="7"/>
      <c r="V69" s="5">
        <f t="shared" si="5"/>
        <v>0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45070</v>
      </c>
      <c r="D70" s="19" t="s">
        <v>18</v>
      </c>
      <c r="E70" s="19" t="s">
        <v>840</v>
      </c>
      <c r="F70" s="35">
        <v>1365</v>
      </c>
      <c r="G70" s="97">
        <v>1369</v>
      </c>
      <c r="H70" s="35">
        <v>2</v>
      </c>
      <c r="I70" s="20">
        <v>407</v>
      </c>
      <c r="J70" s="21">
        <f>H70*I70</f>
        <v>814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45071</v>
      </c>
      <c r="D71" s="19" t="s">
        <v>18</v>
      </c>
      <c r="E71" s="19" t="s">
        <v>75</v>
      </c>
      <c r="F71" s="35">
        <v>939</v>
      </c>
      <c r="G71" s="97"/>
      <c r="H71" s="35"/>
      <c r="I71" s="20"/>
      <c r="J71" s="21">
        <f>H71*I71</f>
        <v>0</v>
      </c>
      <c r="K71" s="7"/>
      <c r="V71" s="5">
        <f t="shared" si="5"/>
        <v>0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45075</v>
      </c>
      <c r="D72" s="19" t="s">
        <v>69</v>
      </c>
      <c r="E72" s="19" t="s">
        <v>690</v>
      </c>
      <c r="F72" s="20">
        <v>2080</v>
      </c>
      <c r="G72" s="97"/>
      <c r="H72" s="35"/>
      <c r="I72" s="20"/>
      <c r="J72" s="21">
        <f t="shared" ref="J72:J120" si="8">I72*H72</f>
        <v>0</v>
      </c>
      <c r="K72" s="7"/>
      <c r="V72" s="5">
        <f t="shared" si="5"/>
        <v>0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>
        <v>45077</v>
      </c>
      <c r="D73" s="19" t="s">
        <v>18</v>
      </c>
      <c r="E73" s="19" t="s">
        <v>493</v>
      </c>
      <c r="F73" s="35">
        <v>456</v>
      </c>
      <c r="G73" s="97">
        <v>450</v>
      </c>
      <c r="H73" s="35">
        <v>-6</v>
      </c>
      <c r="I73" s="20">
        <v>1500</v>
      </c>
      <c r="J73" s="21">
        <f t="shared" si="8"/>
        <v>-9000</v>
      </c>
      <c r="K73" s="7"/>
      <c r="V73" s="5">
        <f t="shared" si="5"/>
        <v>0</v>
      </c>
      <c r="W73" s="5">
        <f t="shared" si="6"/>
        <v>1</v>
      </c>
    </row>
    <row r="74" spans="1:23" s="36" customFormat="1" x14ac:dyDescent="0.3">
      <c r="A74" s="6"/>
      <c r="B74" s="17">
        <f t="shared" si="7"/>
        <v>8</v>
      </c>
      <c r="C74" s="18"/>
      <c r="D74" s="19"/>
      <c r="E74" s="19"/>
      <c r="F74" s="35"/>
      <c r="G74" s="97"/>
      <c r="H74" s="35"/>
      <c r="I74" s="20"/>
      <c r="J74" s="21">
        <f t="shared" si="8"/>
        <v>0</v>
      </c>
      <c r="K74" s="7"/>
      <c r="V74" s="5">
        <f t="shared" si="5"/>
        <v>0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/>
      <c r="D75" s="19"/>
      <c r="E75" s="19"/>
      <c r="F75" s="35"/>
      <c r="G75" s="97"/>
      <c r="H75" s="35"/>
      <c r="I75" s="20"/>
      <c r="J75" s="21">
        <f t="shared" si="8"/>
        <v>0</v>
      </c>
      <c r="K75" s="7"/>
      <c r="V75" s="5">
        <f t="shared" si="5"/>
        <v>0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/>
      <c r="D76" s="19"/>
      <c r="E76" s="19"/>
      <c r="F76" s="35"/>
      <c r="G76" s="97"/>
      <c r="H76" s="35"/>
      <c r="I76" s="20"/>
      <c r="J76" s="21">
        <f t="shared" si="8"/>
        <v>0</v>
      </c>
      <c r="K76" s="7"/>
      <c r="V76" s="5">
        <f t="shared" si="5"/>
        <v>0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/>
      <c r="D77" s="19"/>
      <c r="E77" s="19"/>
      <c r="F77" s="19"/>
      <c r="G77" s="97"/>
      <c r="H77" s="35"/>
      <c r="I77" s="20"/>
      <c r="J77" s="21">
        <f t="shared" si="8"/>
        <v>0</v>
      </c>
      <c r="K77" s="7"/>
      <c r="V77" s="5">
        <f t="shared" si="5"/>
        <v>0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/>
      <c r="D78" s="19"/>
      <c r="E78" s="19"/>
      <c r="F78" s="35"/>
      <c r="G78" s="97"/>
      <c r="H78" s="35"/>
      <c r="I78" s="20"/>
      <c r="J78" s="21">
        <f t="shared" si="8"/>
        <v>0</v>
      </c>
      <c r="K78" s="7"/>
      <c r="V78" s="5">
        <f t="shared" si="5"/>
        <v>0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/>
      <c r="D79" s="19"/>
      <c r="E79" s="19"/>
      <c r="F79" s="77"/>
      <c r="G79" s="97"/>
      <c r="H79" s="78"/>
      <c r="I79" s="20"/>
      <c r="J79" s="21">
        <f t="shared" si="8"/>
        <v>0</v>
      </c>
      <c r="K79" s="7"/>
      <c r="V79" s="5">
        <f t="shared" si="5"/>
        <v>0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/>
      <c r="D80" s="19"/>
      <c r="E80" s="19"/>
      <c r="F80" s="35"/>
      <c r="G80" s="97"/>
      <c r="H80" s="78"/>
      <c r="I80" s="20"/>
      <c r="J80" s="21">
        <f t="shared" si="8"/>
        <v>0</v>
      </c>
      <c r="K80" s="7"/>
      <c r="V80" s="5">
        <f t="shared" si="5"/>
        <v>0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/>
      <c r="D81" s="19"/>
      <c r="E81" s="19"/>
      <c r="F81" s="35"/>
      <c r="G81" s="97"/>
      <c r="H81" s="78"/>
      <c r="I81" s="20"/>
      <c r="J81" s="21">
        <f t="shared" si="8"/>
        <v>0</v>
      </c>
      <c r="K81" s="7"/>
      <c r="V81" s="5">
        <f t="shared" si="5"/>
        <v>0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/>
      <c r="D82" s="19"/>
      <c r="E82" s="19"/>
      <c r="F82" s="35"/>
      <c r="G82" s="97"/>
      <c r="H82" s="35"/>
      <c r="I82" s="20"/>
      <c r="J82" s="21">
        <f t="shared" si="8"/>
        <v>0</v>
      </c>
      <c r="K82" s="7"/>
      <c r="V82" s="5">
        <f t="shared" si="5"/>
        <v>0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/>
      <c r="D83" s="19"/>
      <c r="E83" s="19"/>
      <c r="F83" s="35"/>
      <c r="G83" s="97"/>
      <c r="H83" s="35"/>
      <c r="I83" s="20"/>
      <c r="J83" s="21">
        <f t="shared" si="8"/>
        <v>0</v>
      </c>
      <c r="K83" s="7"/>
      <c r="V83" s="5">
        <f t="shared" si="5"/>
        <v>0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/>
      <c r="D84" s="19"/>
      <c r="E84" s="19"/>
      <c r="F84" s="35"/>
      <c r="G84" s="97"/>
      <c r="H84" s="35"/>
      <c r="I84" s="20"/>
      <c r="J84" s="21">
        <f t="shared" si="8"/>
        <v>0</v>
      </c>
      <c r="K84" s="7"/>
      <c r="V84" s="5">
        <f t="shared" si="5"/>
        <v>0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/>
      <c r="D85" s="19"/>
      <c r="E85" s="19"/>
      <c r="F85" s="35"/>
      <c r="G85" s="97"/>
      <c r="H85" s="35"/>
      <c r="I85" s="20"/>
      <c r="J85" s="21">
        <f t="shared" si="8"/>
        <v>0</v>
      </c>
      <c r="K85" s="7"/>
      <c r="V85" s="5">
        <f t="shared" si="5"/>
        <v>0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/>
      <c r="D86" s="19"/>
      <c r="E86" s="19"/>
      <c r="F86" s="35"/>
      <c r="G86" s="97"/>
      <c r="H86" s="35"/>
      <c r="I86" s="20"/>
      <c r="J86" s="21">
        <f t="shared" si="8"/>
        <v>0</v>
      </c>
      <c r="K86" s="7"/>
      <c r="V86" s="5">
        <f t="shared" si="5"/>
        <v>0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/>
      <c r="D87" s="19"/>
      <c r="E87" s="19"/>
      <c r="F87" s="35"/>
      <c r="G87" s="97"/>
      <c r="H87" s="35"/>
      <c r="I87" s="20"/>
      <c r="J87" s="21">
        <f t="shared" si="8"/>
        <v>0</v>
      </c>
      <c r="K87" s="7"/>
      <c r="V87" s="5">
        <f t="shared" si="5"/>
        <v>0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/>
      <c r="D88" s="19"/>
      <c r="E88" s="19"/>
      <c r="F88" s="77"/>
      <c r="G88" s="97"/>
      <c r="H88" s="78"/>
      <c r="I88" s="20"/>
      <c r="J88" s="21">
        <f t="shared" si="8"/>
        <v>0</v>
      </c>
      <c r="K88" s="7"/>
      <c r="V88" s="5">
        <f t="shared" si="5"/>
        <v>0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/>
      <c r="D89" s="19"/>
      <c r="E89" s="19"/>
      <c r="F89" s="35"/>
      <c r="G89" s="97"/>
      <c r="H89" s="78"/>
      <c r="I89" s="20"/>
      <c r="J89" s="21">
        <f t="shared" si="8"/>
        <v>0</v>
      </c>
      <c r="K89" s="7"/>
      <c r="V89" s="5">
        <f t="shared" si="5"/>
        <v>0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/>
      <c r="D90" s="19"/>
      <c r="E90" s="19"/>
      <c r="F90" s="35"/>
      <c r="G90" s="97"/>
      <c r="H90" s="78"/>
      <c r="I90" s="20"/>
      <c r="J90" s="21">
        <f t="shared" si="8"/>
        <v>0</v>
      </c>
      <c r="K90" s="7"/>
      <c r="V90" s="5">
        <f t="shared" si="5"/>
        <v>0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/>
      <c r="D91" s="19"/>
      <c r="E91" s="19"/>
      <c r="F91" s="35"/>
      <c r="G91" s="97"/>
      <c r="H91" s="35"/>
      <c r="I91" s="20"/>
      <c r="J91" s="21">
        <f t="shared" si="8"/>
        <v>0</v>
      </c>
      <c r="K91" s="7"/>
      <c r="V91" s="5">
        <f t="shared" si="5"/>
        <v>0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/>
      <c r="D92" s="19"/>
      <c r="E92" s="19"/>
      <c r="F92" s="35"/>
      <c r="G92" s="97"/>
      <c r="H92" s="35"/>
      <c r="I92" s="20"/>
      <c r="J92" s="21">
        <f t="shared" si="8"/>
        <v>0</v>
      </c>
      <c r="K92" s="7"/>
      <c r="V92" s="5">
        <f t="shared" si="5"/>
        <v>0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/>
      <c r="D93" s="19"/>
      <c r="E93" s="19"/>
      <c r="F93" s="35"/>
      <c r="G93" s="97"/>
      <c r="H93" s="35"/>
      <c r="I93" s="20"/>
      <c r="J93" s="21">
        <f t="shared" si="8"/>
        <v>0</v>
      </c>
      <c r="K93" s="7"/>
      <c r="V93" s="5">
        <f t="shared" si="5"/>
        <v>0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/>
      <c r="D94" s="19"/>
      <c r="E94" s="19"/>
      <c r="F94" s="35"/>
      <c r="G94" s="97"/>
      <c r="H94" s="35"/>
      <c r="I94" s="20"/>
      <c r="J94" s="21">
        <f t="shared" si="8"/>
        <v>0</v>
      </c>
      <c r="K94" s="7"/>
      <c r="V94" s="5">
        <f t="shared" si="5"/>
        <v>0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/>
      <c r="D95" s="19"/>
      <c r="E95" s="19"/>
      <c r="F95" s="35"/>
      <c r="G95" s="97"/>
      <c r="H95" s="35"/>
      <c r="I95" s="20"/>
      <c r="J95" s="21">
        <f t="shared" si="8"/>
        <v>0</v>
      </c>
      <c r="K95" s="7"/>
      <c r="V95" s="5">
        <f t="shared" si="5"/>
        <v>0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/>
      <c r="D96" s="19"/>
      <c r="E96" s="19"/>
      <c r="F96" s="35"/>
      <c r="G96" s="97"/>
      <c r="H96" s="35"/>
      <c r="I96" s="20"/>
      <c r="J96" s="21">
        <f t="shared" si="8"/>
        <v>0</v>
      </c>
      <c r="K96" s="7"/>
      <c r="V96" s="5">
        <f t="shared" si="5"/>
        <v>0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/>
      <c r="D97" s="19"/>
      <c r="E97" s="19"/>
      <c r="F97" s="35"/>
      <c r="G97" s="97"/>
      <c r="H97" s="35"/>
      <c r="I97" s="20"/>
      <c r="J97" s="21">
        <f t="shared" si="8"/>
        <v>0</v>
      </c>
      <c r="K97" s="7"/>
      <c r="V97" s="5">
        <f t="shared" si="5"/>
        <v>0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/>
      <c r="D98" s="19"/>
      <c r="E98" s="19"/>
      <c r="F98" s="35"/>
      <c r="G98" s="97"/>
      <c r="H98" s="35"/>
      <c r="I98" s="20"/>
      <c r="J98" s="21">
        <f t="shared" si="8"/>
        <v>0</v>
      </c>
      <c r="K98" s="7"/>
      <c r="V98" s="5">
        <f t="shared" si="5"/>
        <v>0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/>
      <c r="D99" s="19"/>
      <c r="E99" s="19"/>
      <c r="F99" s="35"/>
      <c r="G99" s="97"/>
      <c r="H99" s="35"/>
      <c r="I99" s="20"/>
      <c r="J99" s="21">
        <f t="shared" si="8"/>
        <v>0</v>
      </c>
      <c r="K99" s="7"/>
      <c r="V99" s="5">
        <f t="shared" si="5"/>
        <v>0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x14ac:dyDescent="0.3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x14ac:dyDescent="0.3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x14ac:dyDescent="0.3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x14ac:dyDescent="0.3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x14ac:dyDescent="0.3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x14ac:dyDescent="0.3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x14ac:dyDescent="0.3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x14ac:dyDescent="0.3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x14ac:dyDescent="0.3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x14ac:dyDescent="0.3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x14ac:dyDescent="0.3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24" thickBot="1" x14ac:dyDescent="0.5">
      <c r="A121" s="6"/>
      <c r="B121" s="144" t="s">
        <v>22</v>
      </c>
      <c r="C121" s="145"/>
      <c r="D121" s="145"/>
      <c r="E121" s="145"/>
      <c r="F121" s="145"/>
      <c r="G121" s="145"/>
      <c r="H121" s="146"/>
      <c r="I121" s="83" t="s">
        <v>23</v>
      </c>
      <c r="J121" s="84">
        <f>SUM(J67:J120)</f>
        <v>-8186</v>
      </c>
      <c r="K121" s="7"/>
      <c r="L121" s="5"/>
      <c r="M121" s="5"/>
      <c r="N121" s="5"/>
      <c r="O121" s="5"/>
      <c r="P121" s="5"/>
      <c r="Q121" s="5"/>
      <c r="R121" s="5"/>
      <c r="V121" s="36">
        <f>SUM(V67:V120)</f>
        <v>1</v>
      </c>
      <c r="W121" s="36">
        <f>SUM(W67:W120)</f>
        <v>1</v>
      </c>
    </row>
    <row r="122" spans="1:23" s="36" customFormat="1" ht="30" customHeight="1" thickBot="1" x14ac:dyDescent="0.35">
      <c r="A122" s="30"/>
      <c r="B122" s="31"/>
      <c r="C122" s="31"/>
      <c r="D122" s="31"/>
      <c r="E122" s="31"/>
      <c r="F122" s="31"/>
      <c r="G122" s="31"/>
      <c r="H122" s="32"/>
      <c r="I122" s="31"/>
      <c r="J122" s="32"/>
      <c r="K122" s="33"/>
      <c r="L122" s="5"/>
      <c r="M122" s="5"/>
      <c r="N122" s="5"/>
      <c r="O122" s="5"/>
      <c r="P122" s="5"/>
      <c r="Q122" s="5"/>
      <c r="R122" s="5"/>
    </row>
    <row r="123" spans="1:23" ht="15" thickBot="1" x14ac:dyDescent="0.35"/>
    <row r="124" spans="1:23" s="36" customFormat="1" ht="30" customHeight="1" thickBot="1" x14ac:dyDescent="0.35">
      <c r="A124" s="1"/>
      <c r="B124" s="2"/>
      <c r="C124" s="2"/>
      <c r="D124" s="2"/>
      <c r="E124" s="2"/>
      <c r="F124" s="2"/>
      <c r="G124" s="2"/>
      <c r="H124" s="3"/>
      <c r="I124" s="2"/>
      <c r="J124" s="3"/>
      <c r="K124" s="4"/>
    </row>
    <row r="125" spans="1:23" s="36" customFormat="1" ht="25.2" thickBot="1" x14ac:dyDescent="0.35">
      <c r="A125" s="6" t="s">
        <v>1</v>
      </c>
      <c r="B125" s="119" t="s">
        <v>2</v>
      </c>
      <c r="C125" s="120"/>
      <c r="D125" s="120"/>
      <c r="E125" s="120"/>
      <c r="F125" s="120"/>
      <c r="G125" s="120"/>
      <c r="H125" s="120"/>
      <c r="I125" s="120"/>
      <c r="J125" s="121"/>
      <c r="K125" s="7"/>
    </row>
    <row r="126" spans="1:23" s="36" customFormat="1" ht="16.2" thickBot="1" x14ac:dyDescent="0.35">
      <c r="A126" s="6"/>
      <c r="B126" s="216">
        <v>45047</v>
      </c>
      <c r="C126" s="169"/>
      <c r="D126" s="169"/>
      <c r="E126" s="169"/>
      <c r="F126" s="169"/>
      <c r="G126" s="169"/>
      <c r="H126" s="169"/>
      <c r="I126" s="169"/>
      <c r="J126" s="170"/>
      <c r="K126" s="7"/>
      <c r="L126" s="22"/>
    </row>
    <row r="127" spans="1:23" s="36" customFormat="1" ht="16.2" thickBot="1" x14ac:dyDescent="0.35">
      <c r="A127" s="6"/>
      <c r="B127" s="106" t="s">
        <v>699</v>
      </c>
      <c r="C127" s="107"/>
      <c r="D127" s="107"/>
      <c r="E127" s="107"/>
      <c r="F127" s="107"/>
      <c r="G127" s="107"/>
      <c r="H127" s="107"/>
      <c r="I127" s="107"/>
      <c r="J127" s="108"/>
      <c r="K127" s="7"/>
    </row>
    <row r="128" spans="1:23" s="22" customFormat="1" ht="15" thickBot="1" x14ac:dyDescent="0.35">
      <c r="A128" s="69"/>
      <c r="B128" s="70" t="s">
        <v>9</v>
      </c>
      <c r="C128" s="71" t="s">
        <v>10</v>
      </c>
      <c r="D128" s="72" t="s">
        <v>11</v>
      </c>
      <c r="E128" s="72" t="s">
        <v>12</v>
      </c>
      <c r="F128" s="73" t="s">
        <v>65</v>
      </c>
      <c r="G128" s="73" t="s">
        <v>66</v>
      </c>
      <c r="H128" s="74" t="s">
        <v>67</v>
      </c>
      <c r="I128" s="73" t="s">
        <v>68</v>
      </c>
      <c r="J128" s="75" t="s">
        <v>17</v>
      </c>
      <c r="K128" s="76"/>
      <c r="L128" s="36"/>
      <c r="M128" s="36"/>
      <c r="N128" s="36"/>
      <c r="O128" s="36" t="s">
        <v>21</v>
      </c>
      <c r="P128" s="36"/>
      <c r="Q128" s="36"/>
      <c r="R128" s="36"/>
      <c r="V128" s="5" t="s">
        <v>5</v>
      </c>
      <c r="W128" s="5" t="s">
        <v>6</v>
      </c>
    </row>
    <row r="129" spans="1:23" s="36" customFormat="1" x14ac:dyDescent="0.3">
      <c r="A129" s="6"/>
      <c r="B129" s="14">
        <v>1</v>
      </c>
      <c r="C129" s="93">
        <v>45048</v>
      </c>
      <c r="D129" s="94" t="s">
        <v>18</v>
      </c>
      <c r="E129" s="94" t="s">
        <v>528</v>
      </c>
      <c r="F129" s="60">
        <v>105</v>
      </c>
      <c r="G129" s="60">
        <v>120</v>
      </c>
      <c r="H129" s="60">
        <f>120-105</f>
        <v>15</v>
      </c>
      <c r="I129" s="15">
        <v>300</v>
      </c>
      <c r="J129" s="16">
        <f t="shared" ref="J129:J174" si="9">I129*H129</f>
        <v>4500</v>
      </c>
      <c r="K129" s="7"/>
      <c r="V129" s="5">
        <f t="shared" ref="V129:V174" si="10">IF($J129&gt;0,1,0)</f>
        <v>1</v>
      </c>
      <c r="W129" s="5">
        <f t="shared" ref="W129:W174" si="11">IF($J129&lt;0,1,0)</f>
        <v>0</v>
      </c>
    </row>
    <row r="130" spans="1:23" s="36" customFormat="1" x14ac:dyDescent="0.3">
      <c r="A130" s="6"/>
      <c r="B130" s="17">
        <f>B129+1</f>
        <v>2</v>
      </c>
      <c r="C130" s="18">
        <v>45048</v>
      </c>
      <c r="D130" s="19" t="s">
        <v>18</v>
      </c>
      <c r="E130" s="19" t="s">
        <v>528</v>
      </c>
      <c r="F130" s="35">
        <v>105</v>
      </c>
      <c r="G130" s="35">
        <v>112</v>
      </c>
      <c r="H130" s="35">
        <f>112-105</f>
        <v>7</v>
      </c>
      <c r="I130" s="20">
        <v>300</v>
      </c>
      <c r="J130" s="21">
        <f t="shared" si="9"/>
        <v>2100</v>
      </c>
      <c r="K130" s="7"/>
      <c r="L130" s="36" t="s">
        <v>21</v>
      </c>
      <c r="V130" s="5">
        <f t="shared" si="10"/>
        <v>1</v>
      </c>
      <c r="W130" s="5">
        <f t="shared" si="11"/>
        <v>0</v>
      </c>
    </row>
    <row r="131" spans="1:23" s="36" customFormat="1" x14ac:dyDescent="0.3">
      <c r="A131" s="6"/>
      <c r="B131" s="17">
        <f t="shared" ref="B131:B151" si="12">B130+1</f>
        <v>3</v>
      </c>
      <c r="C131" s="18">
        <v>45049</v>
      </c>
      <c r="D131" s="19" t="s">
        <v>18</v>
      </c>
      <c r="E131" s="19" t="s">
        <v>747</v>
      </c>
      <c r="F131" s="35">
        <v>100</v>
      </c>
      <c r="G131" s="35">
        <v>80</v>
      </c>
      <c r="H131" s="35">
        <v>-20</v>
      </c>
      <c r="I131" s="20">
        <v>300</v>
      </c>
      <c r="J131" s="21">
        <f t="shared" si="9"/>
        <v>-6000</v>
      </c>
      <c r="K131" s="7"/>
      <c r="V131" s="5">
        <f t="shared" si="10"/>
        <v>0</v>
      </c>
      <c r="W131" s="5">
        <f t="shared" si="11"/>
        <v>1</v>
      </c>
    </row>
    <row r="132" spans="1:23" s="36" customFormat="1" x14ac:dyDescent="0.3">
      <c r="A132" s="6"/>
      <c r="B132" s="17">
        <f t="shared" si="12"/>
        <v>4</v>
      </c>
      <c r="C132" s="18">
        <v>45049</v>
      </c>
      <c r="D132" s="19" t="s">
        <v>18</v>
      </c>
      <c r="E132" s="19" t="s">
        <v>526</v>
      </c>
      <c r="F132" s="35">
        <v>115</v>
      </c>
      <c r="G132" s="35">
        <v>121</v>
      </c>
      <c r="H132" s="35">
        <f>121-115</f>
        <v>6</v>
      </c>
      <c r="I132" s="20">
        <v>300</v>
      </c>
      <c r="J132" s="21">
        <f t="shared" si="9"/>
        <v>1800</v>
      </c>
      <c r="K132" s="7"/>
      <c r="V132" s="5">
        <f t="shared" si="10"/>
        <v>1</v>
      </c>
      <c r="W132" s="5">
        <f t="shared" si="11"/>
        <v>0</v>
      </c>
    </row>
    <row r="133" spans="1:23" s="36" customFormat="1" x14ac:dyDescent="0.3">
      <c r="A133" s="6"/>
      <c r="B133" s="17">
        <f t="shared" si="12"/>
        <v>5</v>
      </c>
      <c r="C133" s="18">
        <v>45050</v>
      </c>
      <c r="D133" s="19" t="s">
        <v>18</v>
      </c>
      <c r="E133" s="19" t="s">
        <v>526</v>
      </c>
      <c r="F133" s="20">
        <v>115</v>
      </c>
      <c r="G133" s="35">
        <v>150</v>
      </c>
      <c r="H133" s="35">
        <f>150-115</f>
        <v>35</v>
      </c>
      <c r="I133" s="20">
        <v>300</v>
      </c>
      <c r="J133" s="21">
        <f t="shared" ref="J133:J136" si="13">I132*H132</f>
        <v>1800</v>
      </c>
      <c r="K133" s="7"/>
      <c r="V133" s="5">
        <f t="shared" si="10"/>
        <v>1</v>
      </c>
      <c r="W133" s="5">
        <f t="shared" si="11"/>
        <v>0</v>
      </c>
    </row>
    <row r="134" spans="1:23" s="36" customFormat="1" x14ac:dyDescent="0.3">
      <c r="A134" s="6"/>
      <c r="B134" s="17">
        <f t="shared" si="12"/>
        <v>6</v>
      </c>
      <c r="C134" s="18">
        <v>45050</v>
      </c>
      <c r="D134" s="19" t="s">
        <v>18</v>
      </c>
      <c r="E134" s="19" t="s">
        <v>527</v>
      </c>
      <c r="F134" s="35">
        <v>115</v>
      </c>
      <c r="G134" s="35">
        <v>147</v>
      </c>
      <c r="H134" s="35">
        <f>147-115</f>
        <v>32</v>
      </c>
      <c r="I134" s="20">
        <v>300</v>
      </c>
      <c r="J134" s="21">
        <f t="shared" si="13"/>
        <v>10500</v>
      </c>
      <c r="K134" s="7"/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si="12"/>
        <v>7</v>
      </c>
      <c r="C135" s="18">
        <v>45051</v>
      </c>
      <c r="D135" s="19" t="s">
        <v>18</v>
      </c>
      <c r="E135" s="19" t="s">
        <v>539</v>
      </c>
      <c r="F135" s="35">
        <v>105</v>
      </c>
      <c r="G135" s="35">
        <v>125</v>
      </c>
      <c r="H135" s="35">
        <v>20</v>
      </c>
      <c r="I135" s="20">
        <v>300</v>
      </c>
      <c r="J135" s="21">
        <f t="shared" si="9"/>
        <v>6000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8</v>
      </c>
      <c r="C136" s="18">
        <v>45054</v>
      </c>
      <c r="D136" s="19" t="s">
        <v>18</v>
      </c>
      <c r="E136" s="19" t="s">
        <v>539</v>
      </c>
      <c r="F136" s="35">
        <v>115</v>
      </c>
      <c r="G136" s="35">
        <v>95</v>
      </c>
      <c r="H136" s="35">
        <v>-20</v>
      </c>
      <c r="I136" s="20">
        <v>300</v>
      </c>
      <c r="J136" s="21">
        <f t="shared" si="13"/>
        <v>6000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9</v>
      </c>
      <c r="C137" s="18">
        <v>45054</v>
      </c>
      <c r="D137" s="19" t="s">
        <v>18</v>
      </c>
      <c r="E137" s="19" t="s">
        <v>538</v>
      </c>
      <c r="F137" s="35">
        <v>105</v>
      </c>
      <c r="G137" s="35">
        <v>140</v>
      </c>
      <c r="H137" s="35">
        <f>140-105</f>
        <v>35</v>
      </c>
      <c r="I137" s="100">
        <v>300</v>
      </c>
      <c r="J137" s="21">
        <v>6000</v>
      </c>
      <c r="K137" s="7"/>
      <c r="V137" s="5">
        <f t="shared" si="10"/>
        <v>1</v>
      </c>
      <c r="W137" s="5">
        <f t="shared" si="11"/>
        <v>0</v>
      </c>
    </row>
    <row r="138" spans="1:23" s="36" customFormat="1" x14ac:dyDescent="0.3">
      <c r="A138" s="6"/>
      <c r="B138" s="17">
        <f t="shared" si="12"/>
        <v>10</v>
      </c>
      <c r="C138" s="18">
        <v>45055</v>
      </c>
      <c r="D138" s="19" t="s">
        <v>18</v>
      </c>
      <c r="E138" s="19" t="s">
        <v>529</v>
      </c>
      <c r="F138" s="35">
        <v>100</v>
      </c>
      <c r="G138" s="35">
        <v>124</v>
      </c>
      <c r="H138" s="35">
        <v>24</v>
      </c>
      <c r="I138" s="20">
        <v>300</v>
      </c>
      <c r="J138" s="21">
        <f t="shared" si="9"/>
        <v>7200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11</v>
      </c>
      <c r="C139" s="18">
        <v>45055</v>
      </c>
      <c r="D139" s="19" t="s">
        <v>18</v>
      </c>
      <c r="E139" s="19" t="s">
        <v>529</v>
      </c>
      <c r="F139" s="19">
        <v>120</v>
      </c>
      <c r="G139" s="35">
        <v>100</v>
      </c>
      <c r="H139" s="35">
        <v>-20</v>
      </c>
      <c r="I139" s="20">
        <v>300</v>
      </c>
      <c r="J139" s="21">
        <f t="shared" si="9"/>
        <v>-6000</v>
      </c>
      <c r="K139" s="7"/>
      <c r="V139" s="5">
        <f t="shared" si="10"/>
        <v>0</v>
      </c>
      <c r="W139" s="5">
        <f t="shared" si="11"/>
        <v>1</v>
      </c>
    </row>
    <row r="140" spans="1:23" s="36" customFormat="1" x14ac:dyDescent="0.3">
      <c r="A140" s="6"/>
      <c r="B140" s="17">
        <f t="shared" si="12"/>
        <v>12</v>
      </c>
      <c r="C140" s="18">
        <v>45056</v>
      </c>
      <c r="D140" s="19" t="s">
        <v>18</v>
      </c>
      <c r="E140" s="19" t="s">
        <v>764</v>
      </c>
      <c r="F140" s="35">
        <v>120</v>
      </c>
      <c r="G140" s="35">
        <v>142</v>
      </c>
      <c r="H140" s="35">
        <f>142-120</f>
        <v>22</v>
      </c>
      <c r="I140" s="20">
        <v>300</v>
      </c>
      <c r="J140" s="21">
        <f t="shared" si="9"/>
        <v>6600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13</v>
      </c>
      <c r="C141" s="18">
        <v>45056</v>
      </c>
      <c r="D141" s="19" t="s">
        <v>18</v>
      </c>
      <c r="E141" s="19" t="s">
        <v>763</v>
      </c>
      <c r="F141" s="35">
        <v>125</v>
      </c>
      <c r="G141" s="35">
        <v>160</v>
      </c>
      <c r="H141" s="35">
        <f>160-125</f>
        <v>35</v>
      </c>
      <c r="I141" s="20">
        <v>300</v>
      </c>
      <c r="J141" s="21">
        <f t="shared" si="9"/>
        <v>10500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14</v>
      </c>
      <c r="C142" s="18">
        <v>45057</v>
      </c>
      <c r="D142" s="19" t="s">
        <v>18</v>
      </c>
      <c r="E142" s="19" t="s">
        <v>538</v>
      </c>
      <c r="F142" s="77">
        <v>110</v>
      </c>
      <c r="G142" s="35">
        <v>140</v>
      </c>
      <c r="H142" s="78">
        <v>30</v>
      </c>
      <c r="I142" s="20">
        <v>300</v>
      </c>
      <c r="J142" s="21">
        <f t="shared" si="9"/>
        <v>9000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15</v>
      </c>
      <c r="C143" s="18">
        <v>45057</v>
      </c>
      <c r="D143" s="19" t="s">
        <v>18</v>
      </c>
      <c r="E143" s="19" t="s">
        <v>529</v>
      </c>
      <c r="F143" s="35">
        <v>100</v>
      </c>
      <c r="G143" s="35">
        <v>80</v>
      </c>
      <c r="H143" s="78">
        <v>-20</v>
      </c>
      <c r="I143" s="20">
        <v>300</v>
      </c>
      <c r="J143" s="21">
        <f t="shared" si="9"/>
        <v>-6000</v>
      </c>
      <c r="K143" s="7"/>
      <c r="V143" s="5">
        <f t="shared" si="10"/>
        <v>0</v>
      </c>
      <c r="W143" s="5">
        <f t="shared" si="11"/>
        <v>1</v>
      </c>
    </row>
    <row r="144" spans="1:23" s="36" customFormat="1" x14ac:dyDescent="0.3">
      <c r="A144" s="6"/>
      <c r="B144" s="17">
        <f t="shared" si="12"/>
        <v>16</v>
      </c>
      <c r="C144" s="18">
        <v>45058</v>
      </c>
      <c r="D144" s="19" t="s">
        <v>18</v>
      </c>
      <c r="E144" s="19" t="s">
        <v>538</v>
      </c>
      <c r="F144" s="35">
        <v>100</v>
      </c>
      <c r="G144" s="35">
        <v>130</v>
      </c>
      <c r="H144" s="78">
        <v>30</v>
      </c>
      <c r="I144" s="20">
        <v>300</v>
      </c>
      <c r="J144" s="21">
        <f t="shared" si="9"/>
        <v>9000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17</v>
      </c>
      <c r="C145" s="18">
        <v>45058</v>
      </c>
      <c r="D145" s="19" t="s">
        <v>18</v>
      </c>
      <c r="E145" s="19" t="s">
        <v>540</v>
      </c>
      <c r="F145" s="35">
        <v>100</v>
      </c>
      <c r="G145" s="35">
        <v>130</v>
      </c>
      <c r="H145" s="78">
        <v>30</v>
      </c>
      <c r="I145" s="20">
        <v>300</v>
      </c>
      <c r="J145" s="21">
        <f t="shared" si="9"/>
        <v>9000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18</v>
      </c>
      <c r="C146" s="18">
        <v>45061</v>
      </c>
      <c r="D146" s="19" t="s">
        <v>18</v>
      </c>
      <c r="E146" s="19" t="s">
        <v>620</v>
      </c>
      <c r="F146" s="35">
        <v>95</v>
      </c>
      <c r="G146" s="35">
        <v>125</v>
      </c>
      <c r="H146" s="78">
        <f>125-95</f>
        <v>30</v>
      </c>
      <c r="I146" s="20">
        <v>300</v>
      </c>
      <c r="J146" s="21">
        <f t="shared" si="9"/>
        <v>9000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19</v>
      </c>
      <c r="C147" s="18">
        <v>45061</v>
      </c>
      <c r="D147" s="19" t="s">
        <v>18</v>
      </c>
      <c r="E147" s="19" t="s">
        <v>533</v>
      </c>
      <c r="F147" s="35">
        <v>90</v>
      </c>
      <c r="G147" s="35">
        <v>105</v>
      </c>
      <c r="H147" s="78">
        <f>105-90</f>
        <v>15</v>
      </c>
      <c r="I147" s="20">
        <v>300</v>
      </c>
      <c r="J147" s="21">
        <f t="shared" si="9"/>
        <v>4500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20</v>
      </c>
      <c r="C148" s="18">
        <v>45062</v>
      </c>
      <c r="D148" s="19" t="s">
        <v>18</v>
      </c>
      <c r="E148" s="19" t="s">
        <v>620</v>
      </c>
      <c r="F148" s="35">
        <v>100</v>
      </c>
      <c r="G148" s="35">
        <v>113</v>
      </c>
      <c r="H148" s="35">
        <v>13</v>
      </c>
      <c r="I148" s="20">
        <v>300</v>
      </c>
      <c r="J148" s="21">
        <f t="shared" si="9"/>
        <v>3900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21</v>
      </c>
      <c r="C149" s="18">
        <v>45062</v>
      </c>
      <c r="D149" s="19" t="s">
        <v>18</v>
      </c>
      <c r="E149" s="19" t="s">
        <v>620</v>
      </c>
      <c r="F149" s="35">
        <v>80</v>
      </c>
      <c r="G149" s="35">
        <v>85</v>
      </c>
      <c r="H149" s="35">
        <v>5</v>
      </c>
      <c r="I149" s="20">
        <v>300</v>
      </c>
      <c r="J149" s="21">
        <f t="shared" si="9"/>
        <v>1500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22</v>
      </c>
      <c r="C150" s="18">
        <v>45063</v>
      </c>
      <c r="D150" s="19" t="s">
        <v>18</v>
      </c>
      <c r="E150" s="19" t="s">
        <v>764</v>
      </c>
      <c r="F150" s="35">
        <v>100</v>
      </c>
      <c r="G150" s="35">
        <v>130</v>
      </c>
      <c r="H150" s="35">
        <v>30</v>
      </c>
      <c r="I150" s="20">
        <v>300</v>
      </c>
      <c r="J150" s="21">
        <f t="shared" si="9"/>
        <v>9000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23</v>
      </c>
      <c r="C151" s="18">
        <v>45064</v>
      </c>
      <c r="D151" s="19" t="s">
        <v>18</v>
      </c>
      <c r="E151" s="19" t="s">
        <v>764</v>
      </c>
      <c r="F151" s="35">
        <v>110</v>
      </c>
      <c r="G151" s="35">
        <v>117</v>
      </c>
      <c r="H151" s="35">
        <v>7</v>
      </c>
      <c r="I151" s="20">
        <v>300</v>
      </c>
      <c r="J151" s="21">
        <f t="shared" si="9"/>
        <v>2100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>B151+1</f>
        <v>24</v>
      </c>
      <c r="C152" s="18">
        <v>45065</v>
      </c>
      <c r="D152" s="19" t="s">
        <v>18</v>
      </c>
      <c r="E152" s="19" t="s">
        <v>747</v>
      </c>
      <c r="F152" s="35">
        <v>100</v>
      </c>
      <c r="G152" s="35">
        <v>130</v>
      </c>
      <c r="H152" s="35">
        <v>30</v>
      </c>
      <c r="I152" s="20">
        <v>300</v>
      </c>
      <c r="J152" s="21">
        <f t="shared" si="9"/>
        <v>9000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ref="B153:B174" si="14">B152+1</f>
        <v>25</v>
      </c>
      <c r="C153" s="18">
        <v>45065</v>
      </c>
      <c r="D153" s="19" t="s">
        <v>18</v>
      </c>
      <c r="E153" s="19" t="s">
        <v>539</v>
      </c>
      <c r="F153" s="35">
        <v>110</v>
      </c>
      <c r="G153" s="35">
        <v>134</v>
      </c>
      <c r="H153" s="35">
        <f>134-110</f>
        <v>24</v>
      </c>
      <c r="I153" s="20">
        <v>300</v>
      </c>
      <c r="J153" s="21">
        <f t="shared" si="9"/>
        <v>7200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4"/>
        <v>26</v>
      </c>
      <c r="C154" s="18">
        <v>45068</v>
      </c>
      <c r="D154" s="19" t="s">
        <v>18</v>
      </c>
      <c r="E154" s="19" t="s">
        <v>837</v>
      </c>
      <c r="F154" s="35">
        <v>125</v>
      </c>
      <c r="G154" s="35">
        <v>140</v>
      </c>
      <c r="H154" s="35">
        <f>140-125</f>
        <v>15</v>
      </c>
      <c r="I154" s="20">
        <v>300</v>
      </c>
      <c r="J154" s="21">
        <f t="shared" si="9"/>
        <v>4500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4"/>
        <v>27</v>
      </c>
      <c r="C155" s="18">
        <v>45068</v>
      </c>
      <c r="D155" s="19" t="s">
        <v>18</v>
      </c>
      <c r="E155" s="19" t="s">
        <v>764</v>
      </c>
      <c r="F155" s="35">
        <v>90</v>
      </c>
      <c r="G155" s="35">
        <v>105</v>
      </c>
      <c r="H155" s="35">
        <f>105-90</f>
        <v>15</v>
      </c>
      <c r="I155" s="20">
        <v>300</v>
      </c>
      <c r="J155" s="21">
        <f t="shared" si="9"/>
        <v>4500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4"/>
        <v>28</v>
      </c>
      <c r="C156" s="18">
        <v>45069</v>
      </c>
      <c r="D156" s="19" t="s">
        <v>18</v>
      </c>
      <c r="E156" s="19" t="s">
        <v>620</v>
      </c>
      <c r="F156" s="35">
        <v>95</v>
      </c>
      <c r="G156" s="35">
        <v>108</v>
      </c>
      <c r="H156" s="35">
        <f>108-95</f>
        <v>13</v>
      </c>
      <c r="I156" s="20">
        <v>300</v>
      </c>
      <c r="J156" s="21">
        <f t="shared" si="9"/>
        <v>3900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4"/>
        <v>29</v>
      </c>
      <c r="C157" s="18">
        <v>45069</v>
      </c>
      <c r="D157" s="19" t="s">
        <v>18</v>
      </c>
      <c r="E157" s="19" t="s">
        <v>620</v>
      </c>
      <c r="F157" s="35">
        <v>100</v>
      </c>
      <c r="G157" s="35">
        <v>108</v>
      </c>
      <c r="H157" s="35">
        <v>8</v>
      </c>
      <c r="I157" s="20">
        <v>300</v>
      </c>
      <c r="J157" s="21">
        <f t="shared" si="9"/>
        <v>2400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4"/>
        <v>30</v>
      </c>
      <c r="C158" s="18">
        <v>45070</v>
      </c>
      <c r="D158" s="19" t="s">
        <v>18</v>
      </c>
      <c r="E158" s="19" t="s">
        <v>529</v>
      </c>
      <c r="F158" s="35">
        <v>120</v>
      </c>
      <c r="G158" s="35">
        <v>145</v>
      </c>
      <c r="H158" s="35">
        <f>145-120</f>
        <v>25</v>
      </c>
      <c r="I158" s="20">
        <v>300</v>
      </c>
      <c r="J158" s="21">
        <f t="shared" si="9"/>
        <v>7500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4"/>
        <v>31</v>
      </c>
      <c r="C159" s="18">
        <v>45070</v>
      </c>
      <c r="D159" s="19" t="s">
        <v>18</v>
      </c>
      <c r="E159" s="19" t="s">
        <v>540</v>
      </c>
      <c r="F159" s="35">
        <v>110</v>
      </c>
      <c r="G159" s="35">
        <v>90</v>
      </c>
      <c r="H159" s="35">
        <v>-20</v>
      </c>
      <c r="I159" s="20">
        <v>300</v>
      </c>
      <c r="J159" s="21">
        <f t="shared" si="9"/>
        <v>-6000</v>
      </c>
      <c r="K159" s="7"/>
      <c r="V159" s="5">
        <f t="shared" si="10"/>
        <v>0</v>
      </c>
      <c r="W159" s="5">
        <f t="shared" si="11"/>
        <v>1</v>
      </c>
    </row>
    <row r="160" spans="1:23" s="36" customFormat="1" x14ac:dyDescent="0.3">
      <c r="A160" s="6"/>
      <c r="B160" s="17">
        <f t="shared" si="14"/>
        <v>32</v>
      </c>
      <c r="C160" s="18">
        <v>45071</v>
      </c>
      <c r="D160" s="19" t="s">
        <v>18</v>
      </c>
      <c r="E160" s="19" t="s">
        <v>538</v>
      </c>
      <c r="F160" s="35">
        <v>100</v>
      </c>
      <c r="G160" s="35">
        <v>105</v>
      </c>
      <c r="H160" s="35">
        <v>5</v>
      </c>
      <c r="I160" s="20">
        <v>300</v>
      </c>
      <c r="J160" s="21">
        <f t="shared" si="9"/>
        <v>1500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si="14"/>
        <v>33</v>
      </c>
      <c r="C161" s="18">
        <v>45071</v>
      </c>
      <c r="D161" s="19" t="s">
        <v>18</v>
      </c>
      <c r="E161" s="19" t="s">
        <v>764</v>
      </c>
      <c r="F161" s="35">
        <v>115</v>
      </c>
      <c r="G161" s="35">
        <v>122</v>
      </c>
      <c r="H161" s="35">
        <f>122-115</f>
        <v>7</v>
      </c>
      <c r="I161" s="20">
        <v>300</v>
      </c>
      <c r="J161" s="21">
        <f t="shared" si="9"/>
        <v>2100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4"/>
        <v>34</v>
      </c>
      <c r="C162" s="18">
        <v>45072</v>
      </c>
      <c r="D162" s="19" t="s">
        <v>18</v>
      </c>
      <c r="E162" s="19" t="s">
        <v>620</v>
      </c>
      <c r="F162" s="35">
        <v>110</v>
      </c>
      <c r="G162" s="35">
        <v>141</v>
      </c>
      <c r="H162" s="35">
        <f>141-110</f>
        <v>31</v>
      </c>
      <c r="I162" s="20">
        <v>300</v>
      </c>
      <c r="J162" s="21">
        <f t="shared" si="9"/>
        <v>9300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4"/>
        <v>35</v>
      </c>
      <c r="C163" s="18">
        <v>45072</v>
      </c>
      <c r="D163" s="19" t="s">
        <v>18</v>
      </c>
      <c r="E163" s="19" t="s">
        <v>533</v>
      </c>
      <c r="F163" s="35">
        <v>105</v>
      </c>
      <c r="G163" s="35">
        <v>140</v>
      </c>
      <c r="H163" s="35">
        <f>140-105</f>
        <v>35</v>
      </c>
      <c r="I163" s="20">
        <v>300</v>
      </c>
      <c r="J163" s="21">
        <f t="shared" si="9"/>
        <v>10500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4"/>
        <v>36</v>
      </c>
      <c r="C164" s="18">
        <v>45075</v>
      </c>
      <c r="D164" s="19" t="s">
        <v>18</v>
      </c>
      <c r="E164" s="19" t="s">
        <v>531</v>
      </c>
      <c r="F164" s="35">
        <v>125</v>
      </c>
      <c r="G164" s="35">
        <v>105</v>
      </c>
      <c r="H164" s="35">
        <v>-20</v>
      </c>
      <c r="I164" s="20">
        <v>300</v>
      </c>
      <c r="J164" s="21">
        <f t="shared" si="9"/>
        <v>-6000</v>
      </c>
      <c r="K164" s="7"/>
      <c r="V164" s="5">
        <f t="shared" si="10"/>
        <v>0</v>
      </c>
      <c r="W164" s="5">
        <f t="shared" si="11"/>
        <v>1</v>
      </c>
    </row>
    <row r="165" spans="1:23" s="36" customFormat="1" x14ac:dyDescent="0.3">
      <c r="A165" s="6"/>
      <c r="B165" s="17">
        <f t="shared" si="14"/>
        <v>37</v>
      </c>
      <c r="C165" s="18">
        <v>45075</v>
      </c>
      <c r="D165" s="19" t="s">
        <v>18</v>
      </c>
      <c r="E165" s="19" t="s">
        <v>531</v>
      </c>
      <c r="F165" s="35">
        <v>115</v>
      </c>
      <c r="G165" s="35">
        <v>137</v>
      </c>
      <c r="H165" s="35">
        <f>137-115</f>
        <v>22</v>
      </c>
      <c r="I165" s="20">
        <v>300</v>
      </c>
      <c r="J165" s="21">
        <f t="shared" si="9"/>
        <v>6600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4"/>
        <v>38</v>
      </c>
      <c r="C166" s="18">
        <v>45076</v>
      </c>
      <c r="D166" s="19" t="s">
        <v>18</v>
      </c>
      <c r="E166" s="19" t="s">
        <v>791</v>
      </c>
      <c r="F166" s="35">
        <v>125</v>
      </c>
      <c r="G166" s="35">
        <v>105</v>
      </c>
      <c r="H166" s="35">
        <v>-20</v>
      </c>
      <c r="I166" s="20">
        <v>300</v>
      </c>
      <c r="J166" s="21">
        <f t="shared" si="9"/>
        <v>-6000</v>
      </c>
      <c r="K166" s="7"/>
      <c r="V166" s="5">
        <f t="shared" si="10"/>
        <v>0</v>
      </c>
      <c r="W166" s="5">
        <f t="shared" si="11"/>
        <v>1</v>
      </c>
    </row>
    <row r="167" spans="1:23" s="36" customFormat="1" x14ac:dyDescent="0.3">
      <c r="A167" s="6"/>
      <c r="B167" s="17">
        <f t="shared" si="14"/>
        <v>39</v>
      </c>
      <c r="C167" s="18">
        <v>45076</v>
      </c>
      <c r="D167" s="19" t="s">
        <v>18</v>
      </c>
      <c r="E167" s="19" t="s">
        <v>531</v>
      </c>
      <c r="F167" s="35">
        <v>120</v>
      </c>
      <c r="G167" s="35">
        <v>144</v>
      </c>
      <c r="H167" s="35">
        <f>144-120</f>
        <v>24</v>
      </c>
      <c r="I167" s="20">
        <v>300</v>
      </c>
      <c r="J167" s="21">
        <f t="shared" si="9"/>
        <v>7200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4"/>
        <v>40</v>
      </c>
      <c r="C168" s="18">
        <v>45077</v>
      </c>
      <c r="D168" s="19" t="s">
        <v>18</v>
      </c>
      <c r="E168" s="19" t="s">
        <v>794</v>
      </c>
      <c r="F168" s="35">
        <v>105</v>
      </c>
      <c r="G168" s="35">
        <v>139</v>
      </c>
      <c r="H168" s="35">
        <f>139-105</f>
        <v>34</v>
      </c>
      <c r="I168" s="20">
        <v>300</v>
      </c>
      <c r="J168" s="21">
        <f t="shared" si="9"/>
        <v>10200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4"/>
        <v>41</v>
      </c>
      <c r="C169" s="18">
        <v>45077</v>
      </c>
      <c r="D169" s="19" t="s">
        <v>841</v>
      </c>
      <c r="E169" s="19" t="s">
        <v>842</v>
      </c>
      <c r="F169" s="35">
        <v>100</v>
      </c>
      <c r="G169" s="35">
        <v>122</v>
      </c>
      <c r="H169" s="35">
        <v>22</v>
      </c>
      <c r="I169" s="20">
        <v>300</v>
      </c>
      <c r="J169" s="21">
        <f t="shared" si="9"/>
        <v>6600</v>
      </c>
      <c r="K169" s="7"/>
      <c r="V169" s="5">
        <f t="shared" si="10"/>
        <v>1</v>
      </c>
      <c r="W169" s="5">
        <f t="shared" si="11"/>
        <v>0</v>
      </c>
    </row>
    <row r="170" spans="1:23" s="36" customFormat="1" x14ac:dyDescent="0.3">
      <c r="A170" s="6"/>
      <c r="B170" s="17">
        <f t="shared" si="14"/>
        <v>42</v>
      </c>
      <c r="C170" s="18"/>
      <c r="D170" s="19"/>
      <c r="E170" s="19"/>
      <c r="F170" s="35"/>
      <c r="G170" s="35"/>
      <c r="H170" s="35"/>
      <c r="I170" s="20"/>
      <c r="J170" s="21">
        <f t="shared" si="9"/>
        <v>0</v>
      </c>
      <c r="K170" s="7"/>
      <c r="V170" s="5">
        <f t="shared" si="10"/>
        <v>0</v>
      </c>
      <c r="W170" s="5">
        <f t="shared" si="11"/>
        <v>0</v>
      </c>
    </row>
    <row r="171" spans="1:23" s="36" customFormat="1" x14ac:dyDescent="0.3">
      <c r="A171" s="6"/>
      <c r="B171" s="17">
        <f t="shared" si="14"/>
        <v>43</v>
      </c>
      <c r="C171" s="18"/>
      <c r="D171" s="19"/>
      <c r="E171" s="19"/>
      <c r="F171" s="35"/>
      <c r="G171" s="35"/>
      <c r="H171" s="35"/>
      <c r="I171" s="20"/>
      <c r="J171" s="21">
        <f t="shared" si="9"/>
        <v>0</v>
      </c>
      <c r="K171" s="7"/>
      <c r="V171" s="5">
        <f t="shared" si="10"/>
        <v>0</v>
      </c>
      <c r="W171" s="5">
        <f t="shared" si="11"/>
        <v>0</v>
      </c>
    </row>
    <row r="172" spans="1:23" s="36" customFormat="1" x14ac:dyDescent="0.3">
      <c r="A172" s="6"/>
      <c r="B172" s="17">
        <f t="shared" si="14"/>
        <v>44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x14ac:dyDescent="0.3">
      <c r="A173" s="6"/>
      <c r="B173" s="17">
        <f t="shared" si="14"/>
        <v>45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ht="15" thickBot="1" x14ac:dyDescent="0.35">
      <c r="A174" s="6"/>
      <c r="B174" s="95">
        <f t="shared" si="14"/>
        <v>46</v>
      </c>
      <c r="C174" s="79"/>
      <c r="D174" s="80"/>
      <c r="E174" s="80"/>
      <c r="F174" s="96"/>
      <c r="G174" s="96"/>
      <c r="H174" s="96"/>
      <c r="I174" s="81"/>
      <c r="J174" s="82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ht="24" thickBot="1" x14ac:dyDescent="0.5">
      <c r="A175" s="6"/>
      <c r="B175" s="165" t="s">
        <v>22</v>
      </c>
      <c r="C175" s="166"/>
      <c r="D175" s="166"/>
      <c r="E175" s="166"/>
      <c r="F175" s="166"/>
      <c r="G175" s="166"/>
      <c r="H175" s="167"/>
      <c r="I175" s="83" t="s">
        <v>23</v>
      </c>
      <c r="J175" s="84">
        <f>SUM(J129:J174)</f>
        <v>177000</v>
      </c>
      <c r="K175" s="7"/>
      <c r="L175" s="5"/>
      <c r="M175" s="5"/>
      <c r="N175" s="5"/>
      <c r="O175" s="5"/>
      <c r="P175" s="5"/>
      <c r="Q175" s="5"/>
      <c r="R175" s="5"/>
      <c r="V175" s="36">
        <f>SUM(V129:V174)</f>
        <v>35</v>
      </c>
      <c r="W175" s="36">
        <f>SUM(W129:W174)</f>
        <v>6</v>
      </c>
    </row>
    <row r="176" spans="1:23" s="36" customFormat="1" ht="30" customHeight="1" thickBot="1" x14ac:dyDescent="0.35">
      <c r="A176" s="30"/>
      <c r="B176" s="31"/>
      <c r="C176" s="31"/>
      <c r="D176" s="31"/>
      <c r="E176" s="31"/>
      <c r="F176" s="31"/>
      <c r="G176" s="31"/>
      <c r="H176" s="32"/>
      <c r="I176" s="31"/>
      <c r="J176" s="32"/>
      <c r="K176" s="33"/>
      <c r="L176" s="5"/>
      <c r="M176" s="5"/>
      <c r="N176" s="5"/>
      <c r="O176" s="5"/>
      <c r="P176" s="5"/>
      <c r="Q176" s="5"/>
      <c r="R176" s="5"/>
    </row>
  </sheetData>
  <mergeCells count="44">
    <mergeCell ref="B121:H121"/>
    <mergeCell ref="B125:J125"/>
    <mergeCell ref="B126:J126"/>
    <mergeCell ref="B127:J127"/>
    <mergeCell ref="B175:H175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59" r:id="rId1" xr:uid="{00000000-0004-0000-2200-000000000000}"/>
    <hyperlink ref="B121" r:id="rId2" xr:uid="{00000000-0004-0000-2200-000001000000}"/>
    <hyperlink ref="B175" r:id="rId3" xr:uid="{00000000-0004-0000-2200-000002000000}"/>
    <hyperlink ref="M1" location="MASTER!A1" display="Back" xr:uid="{00000000-0004-0000-2200-000003000000}"/>
    <hyperlink ref="M6:M7" location="'APRIL 2023'!A70" display="EXTRA STOCK FUTURE" xr:uid="{00000000-0004-0000-2200-000004000000}"/>
    <hyperlink ref="M8:M9" location="'APRIL 2023'!A140" display="EXTRA NIFTY OPTION" xr:uid="{00000000-0004-0000-2200-000005000000}"/>
    <hyperlink ref="M4:M5" location="'APRIL 2023'!A1" display="EXTRA BANKNIFTY OPTION" xr:uid="{00000000-0004-0000-2200-000006000000}"/>
  </hyperlinks>
  <pageMargins left="0" right="0" top="0" bottom="0" header="0" footer="0"/>
  <pageSetup paperSize="9" orientation="portrait" r:id="rId4"/>
  <drawing r:id="rId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176"/>
  <sheetViews>
    <sheetView zoomScaleNormal="100" workbookViewId="0">
      <selection activeCell="R10" sqref="R10:R11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9.109375" style="5" customWidth="1"/>
    <col min="22" max="23" width="9.109375" style="5" hidden="1" customWidth="1"/>
    <col min="24" max="24" width="9.109375" style="5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225" t="s">
        <v>3</v>
      </c>
      <c r="N2" s="226" t="s">
        <v>4</v>
      </c>
      <c r="O2" s="227" t="s">
        <v>5</v>
      </c>
      <c r="P2" s="227" t="s">
        <v>6</v>
      </c>
      <c r="Q2" s="227" t="s">
        <v>7</v>
      </c>
      <c r="R2" s="224" t="s">
        <v>8</v>
      </c>
    </row>
    <row r="3" spans="1:23" ht="16.2" thickBot="1" x14ac:dyDescent="0.35">
      <c r="A3" s="6"/>
      <c r="B3" s="103">
        <v>45078</v>
      </c>
      <c r="C3" s="104"/>
      <c r="D3" s="104"/>
      <c r="E3" s="104"/>
      <c r="F3" s="104"/>
      <c r="G3" s="104"/>
      <c r="H3" s="104"/>
      <c r="I3" s="104"/>
      <c r="J3" s="105"/>
      <c r="K3" s="7"/>
      <c r="M3" s="225"/>
      <c r="N3" s="226"/>
      <c r="O3" s="227"/>
      <c r="P3" s="227"/>
      <c r="Q3" s="227"/>
      <c r="R3" s="224"/>
    </row>
    <row r="4" spans="1:23" ht="16.5" customHeight="1" thickBot="1" x14ac:dyDescent="0.35">
      <c r="A4" s="6"/>
      <c r="B4" s="106" t="s">
        <v>785</v>
      </c>
      <c r="C4" s="107"/>
      <c r="D4" s="107"/>
      <c r="E4" s="107"/>
      <c r="F4" s="107"/>
      <c r="G4" s="107"/>
      <c r="H4" s="107"/>
      <c r="I4" s="107"/>
      <c r="J4" s="108"/>
      <c r="K4" s="7"/>
      <c r="M4" s="221" t="s">
        <v>107</v>
      </c>
      <c r="N4" s="222">
        <f>COUNT(C6:C58)</f>
        <v>38</v>
      </c>
      <c r="O4" s="222">
        <f>V59</f>
        <v>33</v>
      </c>
      <c r="P4" s="222">
        <f>W59</f>
        <v>5</v>
      </c>
      <c r="Q4" s="222">
        <f>N4-O4-P4</f>
        <v>0</v>
      </c>
      <c r="R4" s="220">
        <f>O4/N4</f>
        <v>0.86842105263157898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221"/>
      <c r="N5" s="222"/>
      <c r="O5" s="222"/>
      <c r="P5" s="222"/>
      <c r="Q5" s="222"/>
      <c r="R5" s="220"/>
      <c r="V5" s="5" t="s">
        <v>5</v>
      </c>
      <c r="W5" s="5" t="s">
        <v>6</v>
      </c>
    </row>
    <row r="6" spans="1:23" ht="15" customHeight="1" thickBot="1" x14ac:dyDescent="0.35">
      <c r="A6" s="6"/>
      <c r="B6" s="88">
        <v>1</v>
      </c>
      <c r="C6" s="89">
        <v>45078</v>
      </c>
      <c r="D6" s="90" t="s">
        <v>18</v>
      </c>
      <c r="E6" s="90" t="s">
        <v>843</v>
      </c>
      <c r="F6" s="90">
        <v>150</v>
      </c>
      <c r="G6" s="90">
        <v>168</v>
      </c>
      <c r="H6" s="91">
        <v>18</v>
      </c>
      <c r="I6" s="90">
        <v>100</v>
      </c>
      <c r="J6" s="92">
        <f t="shared" ref="J6:J58" si="0">H6*I6</f>
        <v>1800</v>
      </c>
      <c r="K6" s="7"/>
      <c r="M6" s="221" t="s">
        <v>108</v>
      </c>
      <c r="N6" s="222">
        <f>COUNT(C67:C120)</f>
        <v>9</v>
      </c>
      <c r="O6" s="222">
        <f>V121</f>
        <v>9</v>
      </c>
      <c r="P6" s="222">
        <f>W121</f>
        <v>0</v>
      </c>
      <c r="Q6" s="222">
        <f>N6-O6-P6</f>
        <v>0</v>
      </c>
      <c r="R6" s="220">
        <f t="shared" ref="R6" si="1">O6/N6</f>
        <v>1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ht="15" thickBot="1" x14ac:dyDescent="0.35">
      <c r="A7" s="6"/>
      <c r="B7" s="17">
        <v>2</v>
      </c>
      <c r="C7" s="85">
        <v>45078</v>
      </c>
      <c r="D7" s="86" t="s">
        <v>18</v>
      </c>
      <c r="E7" s="86" t="s">
        <v>799</v>
      </c>
      <c r="F7" s="86">
        <v>100</v>
      </c>
      <c r="G7" s="86">
        <v>193</v>
      </c>
      <c r="H7" s="87">
        <v>93</v>
      </c>
      <c r="I7" s="86">
        <v>100</v>
      </c>
      <c r="J7" s="21">
        <f t="shared" si="0"/>
        <v>9300</v>
      </c>
      <c r="K7" s="7"/>
      <c r="M7" s="221"/>
      <c r="N7" s="222"/>
      <c r="O7" s="222"/>
      <c r="P7" s="222"/>
      <c r="Q7" s="222"/>
      <c r="R7" s="220"/>
      <c r="V7" s="5">
        <f t="shared" si="2"/>
        <v>1</v>
      </c>
      <c r="W7" s="5">
        <f t="shared" si="3"/>
        <v>0</v>
      </c>
    </row>
    <row r="8" spans="1:23" ht="15" thickBot="1" x14ac:dyDescent="0.35">
      <c r="A8" s="6"/>
      <c r="B8" s="88">
        <v>3</v>
      </c>
      <c r="C8" s="85">
        <v>45079</v>
      </c>
      <c r="D8" s="86" t="s">
        <v>18</v>
      </c>
      <c r="E8" s="86" t="s">
        <v>844</v>
      </c>
      <c r="F8" s="86">
        <v>150</v>
      </c>
      <c r="G8" s="86">
        <v>218</v>
      </c>
      <c r="H8" s="87">
        <f>218-150</f>
        <v>68</v>
      </c>
      <c r="I8" s="86">
        <v>100</v>
      </c>
      <c r="J8" s="21">
        <f t="shared" si="0"/>
        <v>6800</v>
      </c>
      <c r="K8" s="7"/>
      <c r="M8" s="223" t="s">
        <v>194</v>
      </c>
      <c r="N8" s="222">
        <f>COUNT(C129:C174)</f>
        <v>38</v>
      </c>
      <c r="O8" s="222">
        <f>V175</f>
        <v>33</v>
      </c>
      <c r="P8" s="222">
        <f>W175</f>
        <v>5</v>
      </c>
      <c r="Q8" s="222">
        <v>0</v>
      </c>
      <c r="R8" s="220">
        <f t="shared" ref="R8:R10" si="4">O8/N8</f>
        <v>0.86842105263157898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45079</v>
      </c>
      <c r="D9" s="86" t="s">
        <v>18</v>
      </c>
      <c r="E9" s="86" t="s">
        <v>845</v>
      </c>
      <c r="F9" s="86">
        <v>160</v>
      </c>
      <c r="G9" s="86">
        <v>200</v>
      </c>
      <c r="H9" s="87">
        <v>40</v>
      </c>
      <c r="I9" s="86">
        <v>100</v>
      </c>
      <c r="J9" s="21">
        <f t="shared" si="0"/>
        <v>4000</v>
      </c>
      <c r="K9" s="7"/>
      <c r="M9" s="223"/>
      <c r="N9" s="222"/>
      <c r="O9" s="222"/>
      <c r="P9" s="222"/>
      <c r="Q9" s="222"/>
      <c r="R9" s="220"/>
      <c r="V9" s="5">
        <f t="shared" si="2"/>
        <v>1</v>
      </c>
      <c r="W9" s="5">
        <f t="shared" si="3"/>
        <v>0</v>
      </c>
    </row>
    <row r="10" spans="1:23" ht="16.5" customHeight="1" thickBot="1" x14ac:dyDescent="0.35">
      <c r="A10" s="6"/>
      <c r="B10" s="88">
        <v>5</v>
      </c>
      <c r="C10" s="85">
        <v>45082</v>
      </c>
      <c r="D10" s="86" t="s">
        <v>18</v>
      </c>
      <c r="E10" s="86" t="s">
        <v>846</v>
      </c>
      <c r="F10" s="86">
        <v>150</v>
      </c>
      <c r="G10" s="86">
        <v>160</v>
      </c>
      <c r="H10" s="87">
        <v>10</v>
      </c>
      <c r="I10" s="86">
        <v>100</v>
      </c>
      <c r="J10" s="21">
        <f t="shared" si="0"/>
        <v>1000</v>
      </c>
      <c r="K10" s="7"/>
      <c r="M10" s="218" t="s">
        <v>19</v>
      </c>
      <c r="N10" s="219">
        <f>SUM(N4:N9)</f>
        <v>85</v>
      </c>
      <c r="O10" s="219">
        <f>SUM(O4:O9)</f>
        <v>75</v>
      </c>
      <c r="P10" s="219">
        <f>SUM(P4:P9)</f>
        <v>10</v>
      </c>
      <c r="Q10" s="219">
        <f>SUM(Q4:Q9)</f>
        <v>0</v>
      </c>
      <c r="R10" s="220">
        <f t="shared" si="4"/>
        <v>0.88235294117647056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45083</v>
      </c>
      <c r="D11" s="86" t="s">
        <v>18</v>
      </c>
      <c r="E11" s="86" t="s">
        <v>800</v>
      </c>
      <c r="F11" s="86">
        <v>130</v>
      </c>
      <c r="G11" s="86">
        <v>80</v>
      </c>
      <c r="H11" s="87">
        <v>-50</v>
      </c>
      <c r="I11" s="86">
        <v>100</v>
      </c>
      <c r="J11" s="21">
        <f t="shared" si="0"/>
        <v>-5000</v>
      </c>
      <c r="K11" s="7"/>
      <c r="M11" s="218"/>
      <c r="N11" s="219"/>
      <c r="O11" s="219"/>
      <c r="P11" s="219"/>
      <c r="Q11" s="219"/>
      <c r="R11" s="220"/>
      <c r="V11" s="5">
        <f t="shared" si="2"/>
        <v>0</v>
      </c>
      <c r="W11" s="5">
        <f t="shared" si="3"/>
        <v>1</v>
      </c>
    </row>
    <row r="12" spans="1:23" ht="15" customHeight="1" x14ac:dyDescent="0.3">
      <c r="A12" s="6"/>
      <c r="B12" s="88">
        <v>7</v>
      </c>
      <c r="C12" s="85">
        <v>45083</v>
      </c>
      <c r="D12" s="86" t="s">
        <v>18</v>
      </c>
      <c r="E12" s="86" t="s">
        <v>799</v>
      </c>
      <c r="F12" s="86">
        <v>160</v>
      </c>
      <c r="G12" s="86">
        <v>205</v>
      </c>
      <c r="H12" s="87">
        <f>205-160</f>
        <v>45</v>
      </c>
      <c r="I12" s="86">
        <v>100</v>
      </c>
      <c r="J12" s="21">
        <f t="shared" si="0"/>
        <v>4500</v>
      </c>
      <c r="K12" s="7"/>
      <c r="M12" s="129" t="s">
        <v>20</v>
      </c>
      <c r="N12" s="130"/>
      <c r="O12" s="131"/>
      <c r="P12" s="138">
        <f>R10</f>
        <v>0.88235294117647056</v>
      </c>
      <c r="Q12" s="139"/>
      <c r="R12" s="140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45084</v>
      </c>
      <c r="D13" s="86" t="s">
        <v>18</v>
      </c>
      <c r="E13" s="86" t="s">
        <v>845</v>
      </c>
      <c r="F13" s="86">
        <v>110</v>
      </c>
      <c r="G13" s="86">
        <v>125</v>
      </c>
      <c r="H13" s="87">
        <v>15</v>
      </c>
      <c r="I13" s="86">
        <v>100</v>
      </c>
      <c r="J13" s="21">
        <f t="shared" si="0"/>
        <v>1500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45084</v>
      </c>
      <c r="D14" s="86" t="s">
        <v>18</v>
      </c>
      <c r="E14" s="86" t="s">
        <v>798</v>
      </c>
      <c r="F14" s="86">
        <v>150</v>
      </c>
      <c r="G14" s="86">
        <v>185</v>
      </c>
      <c r="H14" s="87">
        <f>185-150</f>
        <v>35</v>
      </c>
      <c r="I14" s="86">
        <v>100</v>
      </c>
      <c r="J14" s="21">
        <f t="shared" si="0"/>
        <v>3500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45085</v>
      </c>
      <c r="D15" s="86" t="s">
        <v>18</v>
      </c>
      <c r="E15" s="86" t="s">
        <v>847</v>
      </c>
      <c r="F15" s="86">
        <v>150</v>
      </c>
      <c r="G15" s="86">
        <v>215</v>
      </c>
      <c r="H15" s="87">
        <f>215-150</f>
        <v>65</v>
      </c>
      <c r="I15" s="86">
        <v>100</v>
      </c>
      <c r="J15" s="21">
        <f t="shared" si="0"/>
        <v>6500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85">
        <v>45085</v>
      </c>
      <c r="D16" s="86" t="s">
        <v>18</v>
      </c>
      <c r="E16" s="86" t="s">
        <v>798</v>
      </c>
      <c r="F16" s="86">
        <v>150</v>
      </c>
      <c r="G16" s="86">
        <v>250</v>
      </c>
      <c r="H16" s="87">
        <v>100</v>
      </c>
      <c r="I16" s="86">
        <v>100</v>
      </c>
      <c r="J16" s="21">
        <f t="shared" si="0"/>
        <v>10000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85">
        <v>45086</v>
      </c>
      <c r="D17" s="86" t="s">
        <v>18</v>
      </c>
      <c r="E17" s="86" t="s">
        <v>846</v>
      </c>
      <c r="F17" s="86">
        <v>140</v>
      </c>
      <c r="G17" s="86">
        <v>155</v>
      </c>
      <c r="H17" s="87">
        <f>155-140</f>
        <v>15</v>
      </c>
      <c r="I17" s="86">
        <v>100</v>
      </c>
      <c r="J17" s="21">
        <f t="shared" si="0"/>
        <v>1500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85">
        <v>45086</v>
      </c>
      <c r="D18" s="86" t="s">
        <v>18</v>
      </c>
      <c r="E18" s="86" t="s">
        <v>844</v>
      </c>
      <c r="F18" s="86">
        <v>150</v>
      </c>
      <c r="G18" s="86">
        <v>100</v>
      </c>
      <c r="H18" s="87">
        <v>-50</v>
      </c>
      <c r="I18" s="86">
        <v>100</v>
      </c>
      <c r="J18" s="21">
        <f t="shared" si="0"/>
        <v>-5000</v>
      </c>
      <c r="K18" s="7"/>
      <c r="V18" s="5">
        <f t="shared" si="2"/>
        <v>0</v>
      </c>
      <c r="W18" s="5">
        <f t="shared" si="3"/>
        <v>1</v>
      </c>
    </row>
    <row r="19" spans="1:23" x14ac:dyDescent="0.3">
      <c r="A19" s="6"/>
      <c r="B19" s="17">
        <v>14</v>
      </c>
      <c r="C19" s="85">
        <v>45089</v>
      </c>
      <c r="D19" s="86" t="s">
        <v>18</v>
      </c>
      <c r="E19" s="86" t="s">
        <v>798</v>
      </c>
      <c r="F19" s="86">
        <v>140</v>
      </c>
      <c r="G19" s="86">
        <v>150</v>
      </c>
      <c r="H19" s="87">
        <v>10</v>
      </c>
      <c r="I19" s="86">
        <v>100</v>
      </c>
      <c r="J19" s="21">
        <f t="shared" si="0"/>
        <v>1000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85">
        <v>45090</v>
      </c>
      <c r="D20" s="86" t="s">
        <v>18</v>
      </c>
      <c r="E20" s="86" t="s">
        <v>798</v>
      </c>
      <c r="F20" s="86">
        <v>140</v>
      </c>
      <c r="G20" s="86">
        <v>152</v>
      </c>
      <c r="H20" s="87">
        <v>12</v>
      </c>
      <c r="I20" s="86">
        <v>100</v>
      </c>
      <c r="J20" s="21">
        <f t="shared" si="0"/>
        <v>1200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85">
        <v>45091</v>
      </c>
      <c r="D21" s="86" t="s">
        <v>18</v>
      </c>
      <c r="E21" s="86" t="s">
        <v>797</v>
      </c>
      <c r="F21" s="86">
        <v>130</v>
      </c>
      <c r="G21" s="86">
        <v>142</v>
      </c>
      <c r="H21" s="87">
        <v>12</v>
      </c>
      <c r="I21" s="86">
        <v>100</v>
      </c>
      <c r="J21" s="21">
        <f t="shared" si="0"/>
        <v>1200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45091</v>
      </c>
      <c r="D22" s="19" t="s">
        <v>18</v>
      </c>
      <c r="E22" s="19" t="s">
        <v>797</v>
      </c>
      <c r="F22" s="35">
        <v>150</v>
      </c>
      <c r="G22" s="35">
        <v>120</v>
      </c>
      <c r="H22" s="35">
        <v>-30</v>
      </c>
      <c r="I22" s="86">
        <v>100</v>
      </c>
      <c r="J22" s="21">
        <f t="shared" si="0"/>
        <v>-3000</v>
      </c>
      <c r="K22" s="7"/>
      <c r="V22" s="5">
        <f t="shared" si="2"/>
        <v>0</v>
      </c>
      <c r="W22" s="5">
        <f t="shared" si="3"/>
        <v>1</v>
      </c>
    </row>
    <row r="23" spans="1:23" x14ac:dyDescent="0.3">
      <c r="A23" s="6"/>
      <c r="B23" s="17">
        <v>18</v>
      </c>
      <c r="C23" s="18">
        <v>45092</v>
      </c>
      <c r="D23" s="19" t="s">
        <v>18</v>
      </c>
      <c r="E23" s="19" t="s">
        <v>800</v>
      </c>
      <c r="F23" s="35">
        <v>160</v>
      </c>
      <c r="G23" s="35">
        <v>185</v>
      </c>
      <c r="H23" s="35">
        <v>25</v>
      </c>
      <c r="I23" s="86">
        <v>100</v>
      </c>
      <c r="J23" s="21">
        <f t="shared" si="0"/>
        <v>2500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45092</v>
      </c>
      <c r="D24" s="19" t="s">
        <v>18</v>
      </c>
      <c r="E24" s="19" t="s">
        <v>848</v>
      </c>
      <c r="F24" s="35">
        <v>120</v>
      </c>
      <c r="G24" s="35">
        <v>220</v>
      </c>
      <c r="H24" s="35">
        <v>100</v>
      </c>
      <c r="I24" s="20">
        <v>100</v>
      </c>
      <c r="J24" s="21">
        <f t="shared" si="0"/>
        <v>10000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45093</v>
      </c>
      <c r="D25" s="19" t="s">
        <v>18</v>
      </c>
      <c r="E25" s="19" t="s">
        <v>781</v>
      </c>
      <c r="F25" s="35">
        <v>130</v>
      </c>
      <c r="G25" s="35">
        <v>230</v>
      </c>
      <c r="H25" s="35">
        <v>100</v>
      </c>
      <c r="I25" s="20">
        <v>100</v>
      </c>
      <c r="J25" s="21">
        <f t="shared" si="0"/>
        <v>10000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45093</v>
      </c>
      <c r="D26" s="19" t="s">
        <v>18</v>
      </c>
      <c r="E26" s="19" t="s">
        <v>781</v>
      </c>
      <c r="F26" s="35">
        <v>140</v>
      </c>
      <c r="G26" s="35">
        <v>200</v>
      </c>
      <c r="H26" s="35">
        <f>200-140</f>
        <v>60</v>
      </c>
      <c r="I26" s="20">
        <v>100</v>
      </c>
      <c r="J26" s="21">
        <f t="shared" si="0"/>
        <v>6000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45096</v>
      </c>
      <c r="D27" s="19" t="s">
        <v>18</v>
      </c>
      <c r="E27" s="19" t="s">
        <v>797</v>
      </c>
      <c r="F27" s="35">
        <v>140</v>
      </c>
      <c r="G27" s="35">
        <v>90</v>
      </c>
      <c r="H27" s="19">
        <v>-50</v>
      </c>
      <c r="I27" s="20">
        <v>100</v>
      </c>
      <c r="J27" s="21">
        <f t="shared" si="0"/>
        <v>-5000</v>
      </c>
      <c r="K27" s="7"/>
      <c r="V27" s="5">
        <f t="shared" si="2"/>
        <v>0</v>
      </c>
      <c r="W27" s="5">
        <f t="shared" si="3"/>
        <v>1</v>
      </c>
    </row>
    <row r="28" spans="1:23" x14ac:dyDescent="0.3">
      <c r="A28" s="6"/>
      <c r="B28" s="88">
        <v>23</v>
      </c>
      <c r="C28" s="18">
        <v>45096</v>
      </c>
      <c r="D28" s="19" t="s">
        <v>18</v>
      </c>
      <c r="E28" s="19" t="s">
        <v>778</v>
      </c>
      <c r="F28" s="35">
        <v>140</v>
      </c>
      <c r="G28" s="35">
        <v>157</v>
      </c>
      <c r="H28" s="19">
        <f>157-140</f>
        <v>17</v>
      </c>
      <c r="I28" s="20">
        <v>100</v>
      </c>
      <c r="J28" s="21">
        <f t="shared" si="0"/>
        <v>1700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45097</v>
      </c>
      <c r="D29" s="19" t="s">
        <v>18</v>
      </c>
      <c r="E29" s="19" t="s">
        <v>836</v>
      </c>
      <c r="F29" s="20">
        <v>140</v>
      </c>
      <c r="G29" s="20">
        <v>180</v>
      </c>
      <c r="H29" s="19">
        <v>40</v>
      </c>
      <c r="I29" s="20">
        <v>100</v>
      </c>
      <c r="J29" s="21">
        <f t="shared" si="0"/>
        <v>4000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45097</v>
      </c>
      <c r="D30" s="25" t="s">
        <v>18</v>
      </c>
      <c r="E30" s="25" t="s">
        <v>844</v>
      </c>
      <c r="F30" s="26">
        <v>140</v>
      </c>
      <c r="G30" s="61">
        <v>155</v>
      </c>
      <c r="H30" s="61">
        <v>40</v>
      </c>
      <c r="I30" s="26">
        <v>100</v>
      </c>
      <c r="J30" s="21">
        <f t="shared" si="0"/>
        <v>4000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45098</v>
      </c>
      <c r="D31" s="25" t="s">
        <v>18</v>
      </c>
      <c r="E31" s="25" t="s">
        <v>781</v>
      </c>
      <c r="F31" s="26">
        <v>120</v>
      </c>
      <c r="G31" s="61">
        <v>70</v>
      </c>
      <c r="H31" s="61">
        <v>-50</v>
      </c>
      <c r="I31" s="26">
        <v>100</v>
      </c>
      <c r="J31" s="21">
        <f t="shared" si="0"/>
        <v>-5000</v>
      </c>
      <c r="K31" s="7"/>
      <c r="V31" s="5">
        <f t="shared" si="2"/>
        <v>0</v>
      </c>
      <c r="W31" s="5">
        <f t="shared" si="3"/>
        <v>1</v>
      </c>
    </row>
    <row r="32" spans="1:23" x14ac:dyDescent="0.3">
      <c r="A32" s="6"/>
      <c r="B32" s="88">
        <v>27</v>
      </c>
      <c r="C32" s="24">
        <v>45098</v>
      </c>
      <c r="D32" s="25" t="s">
        <v>18</v>
      </c>
      <c r="E32" s="25" t="s">
        <v>848</v>
      </c>
      <c r="F32" s="26">
        <v>150</v>
      </c>
      <c r="G32" s="61">
        <v>163</v>
      </c>
      <c r="H32" s="61">
        <v>13</v>
      </c>
      <c r="I32" s="26">
        <v>100</v>
      </c>
      <c r="J32" s="21">
        <f t="shared" si="0"/>
        <v>1300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45099</v>
      </c>
      <c r="D33" s="25" t="s">
        <v>18</v>
      </c>
      <c r="E33" s="25" t="s">
        <v>784</v>
      </c>
      <c r="F33" s="26">
        <v>130</v>
      </c>
      <c r="G33" s="61">
        <v>142</v>
      </c>
      <c r="H33" s="61">
        <v>12</v>
      </c>
      <c r="I33" s="26">
        <v>100</v>
      </c>
      <c r="J33" s="21">
        <f t="shared" si="0"/>
        <v>1200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45100</v>
      </c>
      <c r="D34" s="25" t="s">
        <v>18</v>
      </c>
      <c r="E34" s="25" t="s">
        <v>782</v>
      </c>
      <c r="F34" s="26">
        <v>140</v>
      </c>
      <c r="G34" s="61">
        <v>155</v>
      </c>
      <c r="H34" s="61">
        <v>15</v>
      </c>
      <c r="I34" s="26">
        <v>100</v>
      </c>
      <c r="J34" s="21">
        <f t="shared" si="0"/>
        <v>1500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45100</v>
      </c>
      <c r="D35" s="25" t="s">
        <v>18</v>
      </c>
      <c r="E35" s="25" t="s">
        <v>778</v>
      </c>
      <c r="F35" s="26">
        <v>160</v>
      </c>
      <c r="G35" s="61">
        <v>182</v>
      </c>
      <c r="H35" s="61">
        <f>182-160</f>
        <v>22</v>
      </c>
      <c r="I35" s="26">
        <v>100</v>
      </c>
      <c r="J35" s="21">
        <f t="shared" si="0"/>
        <v>2200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45103</v>
      </c>
      <c r="D36" s="25" t="s">
        <v>18</v>
      </c>
      <c r="E36" s="25" t="s">
        <v>778</v>
      </c>
      <c r="F36" s="26">
        <v>150</v>
      </c>
      <c r="G36" s="61">
        <v>183</v>
      </c>
      <c r="H36" s="61">
        <f>183-150</f>
        <v>33</v>
      </c>
      <c r="I36" s="26">
        <v>100</v>
      </c>
      <c r="J36" s="21">
        <f t="shared" si="0"/>
        <v>3300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45103</v>
      </c>
      <c r="D37" s="25" t="s">
        <v>18</v>
      </c>
      <c r="E37" s="25" t="s">
        <v>778</v>
      </c>
      <c r="F37" s="26">
        <v>150</v>
      </c>
      <c r="G37" s="61">
        <v>171</v>
      </c>
      <c r="H37" s="61">
        <f>171-150</f>
        <v>21</v>
      </c>
      <c r="I37" s="26">
        <v>100</v>
      </c>
      <c r="J37" s="21">
        <f t="shared" si="0"/>
        <v>2100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45104</v>
      </c>
      <c r="D38" s="25" t="s">
        <v>18</v>
      </c>
      <c r="E38" s="25" t="s">
        <v>783</v>
      </c>
      <c r="F38" s="26">
        <v>130</v>
      </c>
      <c r="G38" s="61">
        <v>230</v>
      </c>
      <c r="H38" s="61">
        <v>100</v>
      </c>
      <c r="I38" s="26">
        <v>100</v>
      </c>
      <c r="J38" s="21">
        <f t="shared" si="0"/>
        <v>10000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45104</v>
      </c>
      <c r="D39" s="25" t="s">
        <v>18</v>
      </c>
      <c r="E39" s="25" t="s">
        <v>781</v>
      </c>
      <c r="F39" s="26">
        <v>110</v>
      </c>
      <c r="G39" s="61">
        <v>210</v>
      </c>
      <c r="H39" s="61">
        <v>100</v>
      </c>
      <c r="I39" s="26">
        <v>100</v>
      </c>
      <c r="J39" s="21">
        <f t="shared" si="0"/>
        <v>10000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45105</v>
      </c>
      <c r="D40" s="25" t="s">
        <v>18</v>
      </c>
      <c r="E40" s="25" t="s">
        <v>845</v>
      </c>
      <c r="F40" s="26">
        <v>130</v>
      </c>
      <c r="G40" s="61">
        <v>178</v>
      </c>
      <c r="H40" s="61">
        <f>178-130</f>
        <v>48</v>
      </c>
      <c r="I40" s="26">
        <v>100</v>
      </c>
      <c r="J40" s="21">
        <f t="shared" si="0"/>
        <v>4800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18">
        <v>45105</v>
      </c>
      <c r="D41" s="19" t="s">
        <v>18</v>
      </c>
      <c r="E41" s="19" t="s">
        <v>798</v>
      </c>
      <c r="F41" s="35">
        <v>130</v>
      </c>
      <c r="G41" s="35">
        <v>230</v>
      </c>
      <c r="H41" s="35">
        <v>100</v>
      </c>
      <c r="I41" s="26">
        <v>100</v>
      </c>
      <c r="J41" s="21">
        <f t="shared" si="0"/>
        <v>10000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18">
        <v>45107</v>
      </c>
      <c r="D42" s="19" t="s">
        <v>18</v>
      </c>
      <c r="E42" s="19" t="s">
        <v>853</v>
      </c>
      <c r="F42" s="35">
        <v>130</v>
      </c>
      <c r="G42" s="35">
        <v>195</v>
      </c>
      <c r="H42" s="35">
        <f>195-130</f>
        <v>65</v>
      </c>
      <c r="I42" s="26">
        <v>100</v>
      </c>
      <c r="J42" s="21">
        <f t="shared" si="0"/>
        <v>6500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17">
        <v>38</v>
      </c>
      <c r="C43" s="24">
        <v>45107</v>
      </c>
      <c r="D43" s="25" t="s">
        <v>18</v>
      </c>
      <c r="E43" s="25" t="s">
        <v>854</v>
      </c>
      <c r="F43" s="26">
        <v>130</v>
      </c>
      <c r="G43" s="61">
        <v>153</v>
      </c>
      <c r="H43" s="61">
        <v>23</v>
      </c>
      <c r="I43" s="26">
        <v>100</v>
      </c>
      <c r="J43" s="21">
        <f t="shared" si="0"/>
        <v>2300</v>
      </c>
      <c r="K43" s="7"/>
      <c r="V43" s="5">
        <f t="shared" si="2"/>
        <v>1</v>
      </c>
      <c r="W43" s="5">
        <f t="shared" si="3"/>
        <v>0</v>
      </c>
    </row>
    <row r="44" spans="1:23" x14ac:dyDescent="0.3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x14ac:dyDescent="0.3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x14ac:dyDescent="0.3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x14ac:dyDescent="0.3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x14ac:dyDescent="0.3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124200</v>
      </c>
      <c r="K59" s="7"/>
      <c r="V59" s="5">
        <f>SUM(V6:V58)</f>
        <v>33</v>
      </c>
      <c r="W59" s="5">
        <f>SUM(W6:W58)</f>
        <v>5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216">
        <v>45078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45079</v>
      </c>
      <c r="D67" s="67" t="s">
        <v>18</v>
      </c>
      <c r="E67" s="67" t="s">
        <v>856</v>
      </c>
      <c r="F67" s="68">
        <v>3510</v>
      </c>
      <c r="G67" s="68">
        <v>3523</v>
      </c>
      <c r="H67" s="97">
        <f>3523-3510</f>
        <v>13</v>
      </c>
      <c r="I67" s="68">
        <v>250</v>
      </c>
      <c r="J67" s="92">
        <f>H67*I67</f>
        <v>3250</v>
      </c>
      <c r="K67" s="7"/>
      <c r="V67" s="5">
        <f t="shared" ref="V67:V120" si="5">IF($J67&gt;0,1,0)</f>
        <v>1</v>
      </c>
      <c r="W67" s="5">
        <f t="shared" ref="W67:W120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45086</v>
      </c>
      <c r="D68" s="67" t="s">
        <v>18</v>
      </c>
      <c r="E68" s="67" t="s">
        <v>857</v>
      </c>
      <c r="F68" s="97">
        <v>977</v>
      </c>
      <c r="G68" s="97">
        <v>979</v>
      </c>
      <c r="H68" s="97">
        <v>2</v>
      </c>
      <c r="I68" s="20">
        <v>1200</v>
      </c>
      <c r="J68" s="21">
        <f>H68*I68</f>
        <v>2400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0" si="7">B68+1</f>
        <v>3</v>
      </c>
      <c r="C69" s="18">
        <v>45093</v>
      </c>
      <c r="D69" s="19" t="s">
        <v>18</v>
      </c>
      <c r="E69" s="19" t="s">
        <v>545</v>
      </c>
      <c r="F69" s="35">
        <v>3830</v>
      </c>
      <c r="G69" s="97">
        <v>3890</v>
      </c>
      <c r="H69" s="35">
        <v>60</v>
      </c>
      <c r="I69" s="20">
        <v>300</v>
      </c>
      <c r="J69" s="21">
        <f>H69*I69</f>
        <v>18000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45097</v>
      </c>
      <c r="D70" s="19" t="s">
        <v>18</v>
      </c>
      <c r="E70" s="19" t="s">
        <v>796</v>
      </c>
      <c r="F70" s="35">
        <v>3925</v>
      </c>
      <c r="G70" s="97">
        <v>3960</v>
      </c>
      <c r="H70" s="35">
        <f>3960-3925</f>
        <v>35</v>
      </c>
      <c r="I70" s="20">
        <v>200</v>
      </c>
      <c r="J70" s="21">
        <f>H70*I70</f>
        <v>7000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45098</v>
      </c>
      <c r="D71" s="19" t="s">
        <v>18</v>
      </c>
      <c r="E71" s="19" t="s">
        <v>858</v>
      </c>
      <c r="F71" s="35">
        <v>2705</v>
      </c>
      <c r="G71" s="97">
        <v>2685</v>
      </c>
      <c r="H71" s="35">
        <f>2705-2685</f>
        <v>20</v>
      </c>
      <c r="I71" s="20">
        <v>300</v>
      </c>
      <c r="J71" s="21">
        <f>H71*I71</f>
        <v>6000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>
        <v>45099</v>
      </c>
      <c r="D72" s="19" t="s">
        <v>18</v>
      </c>
      <c r="E72" s="19" t="s">
        <v>658</v>
      </c>
      <c r="F72" s="20">
        <v>3540</v>
      </c>
      <c r="G72" s="97">
        <v>3551</v>
      </c>
      <c r="H72" s="35">
        <v>11</v>
      </c>
      <c r="I72" s="20">
        <v>150</v>
      </c>
      <c r="J72" s="21">
        <f t="shared" ref="J72:J120" si="8">I72*H72</f>
        <v>1650</v>
      </c>
      <c r="K72" s="7"/>
      <c r="V72" s="5">
        <f t="shared" si="5"/>
        <v>1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>
        <v>45103</v>
      </c>
      <c r="D73" s="19" t="s">
        <v>69</v>
      </c>
      <c r="E73" s="19" t="s">
        <v>75</v>
      </c>
      <c r="F73" s="35">
        <v>925</v>
      </c>
      <c r="G73" s="97">
        <v>923.2</v>
      </c>
      <c r="H73" s="35">
        <f>925-923.2</f>
        <v>1.7999999999999545</v>
      </c>
      <c r="I73" s="20">
        <v>700</v>
      </c>
      <c r="J73" s="21">
        <f t="shared" si="8"/>
        <v>1259.9999999999682</v>
      </c>
      <c r="K73" s="7"/>
      <c r="V73" s="5">
        <f t="shared" si="5"/>
        <v>1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>
        <v>45105</v>
      </c>
      <c r="D74" s="19" t="s">
        <v>18</v>
      </c>
      <c r="E74" s="19" t="s">
        <v>561</v>
      </c>
      <c r="F74" s="35">
        <v>2405</v>
      </c>
      <c r="G74" s="97">
        <v>2415</v>
      </c>
      <c r="H74" s="35">
        <v>10</v>
      </c>
      <c r="I74" s="20">
        <v>250</v>
      </c>
      <c r="J74" s="21">
        <f t="shared" si="8"/>
        <v>2500</v>
      </c>
      <c r="K74" s="7"/>
      <c r="V74" s="5">
        <f t="shared" si="5"/>
        <v>1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>
        <v>45107</v>
      </c>
      <c r="D75" s="19" t="s">
        <v>69</v>
      </c>
      <c r="E75" s="19" t="s">
        <v>86</v>
      </c>
      <c r="F75" s="35">
        <v>7170</v>
      </c>
      <c r="G75" s="97">
        <v>7145</v>
      </c>
      <c r="H75" s="35">
        <f>7170-7145</f>
        <v>25</v>
      </c>
      <c r="I75" s="20">
        <v>125</v>
      </c>
      <c r="J75" s="21">
        <f t="shared" si="8"/>
        <v>3125</v>
      </c>
      <c r="K75" s="7"/>
      <c r="V75" s="5">
        <f t="shared" si="5"/>
        <v>1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/>
      <c r="D76" s="19"/>
      <c r="E76" s="19"/>
      <c r="F76" s="35"/>
      <c r="G76" s="97"/>
      <c r="H76" s="35"/>
      <c r="I76" s="20"/>
      <c r="J76" s="21">
        <f t="shared" si="8"/>
        <v>0</v>
      </c>
      <c r="K76" s="7"/>
      <c r="V76" s="5">
        <f t="shared" si="5"/>
        <v>0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/>
      <c r="D77" s="19"/>
      <c r="E77" s="19"/>
      <c r="F77" s="19"/>
      <c r="G77" s="97"/>
      <c r="H77" s="35"/>
      <c r="I77" s="20"/>
      <c r="J77" s="21">
        <f t="shared" si="8"/>
        <v>0</v>
      </c>
      <c r="K77" s="7"/>
      <c r="V77" s="5">
        <f t="shared" si="5"/>
        <v>0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/>
      <c r="D78" s="19"/>
      <c r="E78" s="19"/>
      <c r="F78" s="35"/>
      <c r="G78" s="97"/>
      <c r="H78" s="35"/>
      <c r="I78" s="20"/>
      <c r="J78" s="21">
        <f t="shared" si="8"/>
        <v>0</v>
      </c>
      <c r="K78" s="7"/>
      <c r="V78" s="5">
        <f t="shared" si="5"/>
        <v>0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/>
      <c r="D79" s="19"/>
      <c r="E79" s="19"/>
      <c r="F79" s="77"/>
      <c r="G79" s="97"/>
      <c r="H79" s="78"/>
      <c r="I79" s="20"/>
      <c r="J79" s="21">
        <f t="shared" si="8"/>
        <v>0</v>
      </c>
      <c r="K79" s="7"/>
      <c r="V79" s="5">
        <f t="shared" si="5"/>
        <v>0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/>
      <c r="D80" s="19"/>
      <c r="E80" s="19"/>
      <c r="F80" s="35"/>
      <c r="G80" s="97"/>
      <c r="H80" s="78"/>
      <c r="I80" s="20"/>
      <c r="J80" s="21">
        <f t="shared" si="8"/>
        <v>0</v>
      </c>
      <c r="K80" s="7"/>
      <c r="V80" s="5">
        <f t="shared" si="5"/>
        <v>0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/>
      <c r="D81" s="19"/>
      <c r="E81" s="19"/>
      <c r="F81" s="35"/>
      <c r="G81" s="97"/>
      <c r="H81" s="78"/>
      <c r="I81" s="20"/>
      <c r="J81" s="21">
        <f t="shared" si="8"/>
        <v>0</v>
      </c>
      <c r="K81" s="7"/>
      <c r="V81" s="5">
        <f t="shared" si="5"/>
        <v>0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/>
      <c r="D82" s="19"/>
      <c r="E82" s="19"/>
      <c r="F82" s="35"/>
      <c r="G82" s="97"/>
      <c r="H82" s="35"/>
      <c r="I82" s="20"/>
      <c r="J82" s="21">
        <f t="shared" si="8"/>
        <v>0</v>
      </c>
      <c r="K82" s="7"/>
      <c r="V82" s="5">
        <f t="shared" si="5"/>
        <v>0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/>
      <c r="D83" s="19"/>
      <c r="E83" s="19"/>
      <c r="F83" s="35"/>
      <c r="G83" s="97"/>
      <c r="H83" s="35"/>
      <c r="I83" s="20"/>
      <c r="J83" s="21">
        <f t="shared" si="8"/>
        <v>0</v>
      </c>
      <c r="K83" s="7"/>
      <c r="V83" s="5">
        <f t="shared" si="5"/>
        <v>0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/>
      <c r="D84" s="19"/>
      <c r="E84" s="19"/>
      <c r="F84" s="35"/>
      <c r="G84" s="97"/>
      <c r="H84" s="35"/>
      <c r="I84" s="20"/>
      <c r="J84" s="21">
        <f t="shared" si="8"/>
        <v>0</v>
      </c>
      <c r="K84" s="7"/>
      <c r="V84" s="5">
        <f t="shared" si="5"/>
        <v>0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/>
      <c r="D85" s="19"/>
      <c r="E85" s="19"/>
      <c r="F85" s="35"/>
      <c r="G85" s="97"/>
      <c r="H85" s="35"/>
      <c r="I85" s="20"/>
      <c r="J85" s="21">
        <f t="shared" si="8"/>
        <v>0</v>
      </c>
      <c r="K85" s="7"/>
      <c r="V85" s="5">
        <f t="shared" si="5"/>
        <v>0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/>
      <c r="D86" s="19"/>
      <c r="E86" s="19"/>
      <c r="F86" s="35"/>
      <c r="G86" s="97"/>
      <c r="H86" s="35"/>
      <c r="I86" s="20"/>
      <c r="J86" s="21">
        <f t="shared" si="8"/>
        <v>0</v>
      </c>
      <c r="K86" s="7"/>
      <c r="V86" s="5">
        <f t="shared" si="5"/>
        <v>0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/>
      <c r="D87" s="19"/>
      <c r="E87" s="19"/>
      <c r="F87" s="35"/>
      <c r="G87" s="97"/>
      <c r="H87" s="35"/>
      <c r="I87" s="20"/>
      <c r="J87" s="21">
        <f t="shared" si="8"/>
        <v>0</v>
      </c>
      <c r="K87" s="7"/>
      <c r="V87" s="5">
        <f t="shared" si="5"/>
        <v>0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/>
      <c r="D88" s="19"/>
      <c r="E88" s="19"/>
      <c r="F88" s="77"/>
      <c r="G88" s="97"/>
      <c r="H88" s="78"/>
      <c r="I88" s="20"/>
      <c r="J88" s="21">
        <f t="shared" si="8"/>
        <v>0</v>
      </c>
      <c r="K88" s="7"/>
      <c r="V88" s="5">
        <f t="shared" si="5"/>
        <v>0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/>
      <c r="D89" s="19"/>
      <c r="E89" s="19"/>
      <c r="F89" s="35"/>
      <c r="G89" s="97"/>
      <c r="H89" s="78"/>
      <c r="I89" s="20"/>
      <c r="J89" s="21">
        <f t="shared" si="8"/>
        <v>0</v>
      </c>
      <c r="K89" s="7"/>
      <c r="V89" s="5">
        <f t="shared" si="5"/>
        <v>0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/>
      <c r="D90" s="19"/>
      <c r="E90" s="19"/>
      <c r="F90" s="35"/>
      <c r="G90" s="97"/>
      <c r="H90" s="78"/>
      <c r="I90" s="20"/>
      <c r="J90" s="21">
        <f t="shared" si="8"/>
        <v>0</v>
      </c>
      <c r="K90" s="7"/>
      <c r="V90" s="5">
        <f t="shared" si="5"/>
        <v>0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/>
      <c r="D91" s="19"/>
      <c r="E91" s="19"/>
      <c r="F91" s="35"/>
      <c r="G91" s="97"/>
      <c r="H91" s="35"/>
      <c r="I91" s="20"/>
      <c r="J91" s="21">
        <f t="shared" si="8"/>
        <v>0</v>
      </c>
      <c r="K91" s="7"/>
      <c r="V91" s="5">
        <f t="shared" si="5"/>
        <v>0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/>
      <c r="D92" s="19"/>
      <c r="E92" s="19"/>
      <c r="F92" s="35"/>
      <c r="G92" s="97"/>
      <c r="H92" s="35"/>
      <c r="I92" s="20"/>
      <c r="J92" s="21">
        <f t="shared" si="8"/>
        <v>0</v>
      </c>
      <c r="K92" s="7"/>
      <c r="V92" s="5">
        <f t="shared" si="5"/>
        <v>0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/>
      <c r="D93" s="19"/>
      <c r="E93" s="19"/>
      <c r="F93" s="35"/>
      <c r="G93" s="97"/>
      <c r="H93" s="35"/>
      <c r="I93" s="20"/>
      <c r="J93" s="21">
        <f t="shared" si="8"/>
        <v>0</v>
      </c>
      <c r="K93" s="7"/>
      <c r="V93" s="5">
        <f t="shared" si="5"/>
        <v>0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/>
      <c r="D94" s="19"/>
      <c r="E94" s="19"/>
      <c r="F94" s="35"/>
      <c r="G94" s="97"/>
      <c r="H94" s="35"/>
      <c r="I94" s="20"/>
      <c r="J94" s="21">
        <f t="shared" si="8"/>
        <v>0</v>
      </c>
      <c r="K94" s="7"/>
      <c r="V94" s="5">
        <f t="shared" si="5"/>
        <v>0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/>
      <c r="D95" s="19"/>
      <c r="E95" s="19"/>
      <c r="F95" s="35"/>
      <c r="G95" s="97"/>
      <c r="H95" s="35"/>
      <c r="I95" s="20"/>
      <c r="J95" s="21">
        <f t="shared" si="8"/>
        <v>0</v>
      </c>
      <c r="K95" s="7"/>
      <c r="V95" s="5">
        <f t="shared" si="5"/>
        <v>0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/>
      <c r="D96" s="19"/>
      <c r="E96" s="19"/>
      <c r="F96" s="35"/>
      <c r="G96" s="97"/>
      <c r="H96" s="35"/>
      <c r="I96" s="20"/>
      <c r="J96" s="21">
        <f t="shared" si="8"/>
        <v>0</v>
      </c>
      <c r="K96" s="7"/>
      <c r="V96" s="5">
        <f t="shared" si="5"/>
        <v>0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/>
      <c r="D97" s="19"/>
      <c r="E97" s="19"/>
      <c r="F97" s="35"/>
      <c r="G97" s="97"/>
      <c r="H97" s="35"/>
      <c r="I97" s="20"/>
      <c r="J97" s="21">
        <f t="shared" si="8"/>
        <v>0</v>
      </c>
      <c r="K97" s="7"/>
      <c r="V97" s="5">
        <f t="shared" si="5"/>
        <v>0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/>
      <c r="D98" s="19"/>
      <c r="E98" s="19"/>
      <c r="F98" s="35"/>
      <c r="G98" s="97"/>
      <c r="H98" s="35"/>
      <c r="I98" s="20"/>
      <c r="J98" s="21">
        <f t="shared" si="8"/>
        <v>0</v>
      </c>
      <c r="K98" s="7"/>
      <c r="V98" s="5">
        <f t="shared" si="5"/>
        <v>0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/>
      <c r="D99" s="19"/>
      <c r="E99" s="19"/>
      <c r="F99" s="35"/>
      <c r="G99" s="97"/>
      <c r="H99" s="35"/>
      <c r="I99" s="20"/>
      <c r="J99" s="21">
        <f t="shared" si="8"/>
        <v>0</v>
      </c>
      <c r="K99" s="7"/>
      <c r="V99" s="5">
        <f t="shared" si="5"/>
        <v>0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x14ac:dyDescent="0.3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x14ac:dyDescent="0.3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x14ac:dyDescent="0.3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x14ac:dyDescent="0.3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x14ac:dyDescent="0.3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x14ac:dyDescent="0.3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x14ac:dyDescent="0.3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x14ac:dyDescent="0.3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x14ac:dyDescent="0.3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x14ac:dyDescent="0.3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x14ac:dyDescent="0.3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24" thickBot="1" x14ac:dyDescent="0.5">
      <c r="A121" s="6"/>
      <c r="B121" s="144" t="s">
        <v>22</v>
      </c>
      <c r="C121" s="145"/>
      <c r="D121" s="145"/>
      <c r="E121" s="145"/>
      <c r="F121" s="145"/>
      <c r="G121" s="145"/>
      <c r="H121" s="146"/>
      <c r="I121" s="83" t="s">
        <v>23</v>
      </c>
      <c r="J121" s="84">
        <f>SUM(J67:J120)</f>
        <v>45184.999999999971</v>
      </c>
      <c r="K121" s="7"/>
      <c r="L121" s="5"/>
      <c r="M121" s="5"/>
      <c r="N121" s="5"/>
      <c r="O121" s="5"/>
      <c r="P121" s="5"/>
      <c r="Q121" s="5"/>
      <c r="R121" s="5"/>
      <c r="V121" s="36">
        <f>SUM(V67:V120)</f>
        <v>9</v>
      </c>
      <c r="W121" s="36">
        <f>SUM(W67:W120)</f>
        <v>0</v>
      </c>
    </row>
    <row r="122" spans="1:23" s="36" customFormat="1" ht="30" customHeight="1" thickBot="1" x14ac:dyDescent="0.35">
      <c r="A122" s="30"/>
      <c r="B122" s="31"/>
      <c r="C122" s="31"/>
      <c r="D122" s="31"/>
      <c r="E122" s="31"/>
      <c r="F122" s="31"/>
      <c r="G122" s="31"/>
      <c r="H122" s="32"/>
      <c r="I122" s="31"/>
      <c r="J122" s="32"/>
      <c r="K122" s="33"/>
      <c r="L122" s="5"/>
      <c r="M122" s="5"/>
      <c r="N122" s="5"/>
      <c r="O122" s="5"/>
      <c r="P122" s="5"/>
      <c r="Q122" s="5"/>
      <c r="R122" s="5"/>
    </row>
    <row r="123" spans="1:23" ht="15" thickBot="1" x14ac:dyDescent="0.35"/>
    <row r="124" spans="1:23" s="36" customFormat="1" ht="30" customHeight="1" thickBot="1" x14ac:dyDescent="0.35">
      <c r="A124" s="1"/>
      <c r="B124" s="2"/>
      <c r="C124" s="2"/>
      <c r="D124" s="2"/>
      <c r="E124" s="2"/>
      <c r="F124" s="2"/>
      <c r="G124" s="2"/>
      <c r="H124" s="3"/>
      <c r="I124" s="2"/>
      <c r="J124" s="3"/>
      <c r="K124" s="4"/>
    </row>
    <row r="125" spans="1:23" s="36" customFormat="1" ht="25.2" thickBot="1" x14ac:dyDescent="0.35">
      <c r="A125" s="6" t="s">
        <v>1</v>
      </c>
      <c r="B125" s="119" t="s">
        <v>2</v>
      </c>
      <c r="C125" s="120"/>
      <c r="D125" s="120"/>
      <c r="E125" s="120"/>
      <c r="F125" s="120"/>
      <c r="G125" s="120"/>
      <c r="H125" s="120"/>
      <c r="I125" s="120"/>
      <c r="J125" s="121"/>
      <c r="K125" s="7"/>
    </row>
    <row r="126" spans="1:23" s="36" customFormat="1" ht="16.2" thickBot="1" x14ac:dyDescent="0.35">
      <c r="A126" s="6"/>
      <c r="B126" s="216">
        <v>45078</v>
      </c>
      <c r="C126" s="169"/>
      <c r="D126" s="169"/>
      <c r="E126" s="169"/>
      <c r="F126" s="169"/>
      <c r="G126" s="169"/>
      <c r="H126" s="169"/>
      <c r="I126" s="169"/>
      <c r="J126" s="170"/>
      <c r="K126" s="7"/>
      <c r="L126" s="22"/>
    </row>
    <row r="127" spans="1:23" s="36" customFormat="1" ht="16.2" thickBot="1" x14ac:dyDescent="0.35">
      <c r="A127" s="6"/>
      <c r="B127" s="106" t="s">
        <v>699</v>
      </c>
      <c r="C127" s="107"/>
      <c r="D127" s="107"/>
      <c r="E127" s="107"/>
      <c r="F127" s="107"/>
      <c r="G127" s="107"/>
      <c r="H127" s="107"/>
      <c r="I127" s="107"/>
      <c r="J127" s="108"/>
      <c r="K127" s="7"/>
    </row>
    <row r="128" spans="1:23" s="22" customFormat="1" ht="15" thickBot="1" x14ac:dyDescent="0.35">
      <c r="A128" s="69"/>
      <c r="B128" s="70" t="s">
        <v>9</v>
      </c>
      <c r="C128" s="71" t="s">
        <v>10</v>
      </c>
      <c r="D128" s="72" t="s">
        <v>11</v>
      </c>
      <c r="E128" s="72" t="s">
        <v>12</v>
      </c>
      <c r="F128" s="73" t="s">
        <v>65</v>
      </c>
      <c r="G128" s="73" t="s">
        <v>66</v>
      </c>
      <c r="H128" s="74" t="s">
        <v>67</v>
      </c>
      <c r="I128" s="73" t="s">
        <v>68</v>
      </c>
      <c r="J128" s="75" t="s">
        <v>17</v>
      </c>
      <c r="K128" s="76"/>
      <c r="L128" s="36"/>
      <c r="M128" s="36"/>
      <c r="N128" s="36"/>
      <c r="O128" s="36" t="s">
        <v>21</v>
      </c>
      <c r="P128" s="36"/>
      <c r="Q128" s="36"/>
      <c r="R128" s="36"/>
      <c r="V128" s="5" t="s">
        <v>5</v>
      </c>
      <c r="W128" s="5" t="s">
        <v>6</v>
      </c>
    </row>
    <row r="129" spans="1:23" s="36" customFormat="1" x14ac:dyDescent="0.3">
      <c r="A129" s="6"/>
      <c r="B129" s="14">
        <v>1</v>
      </c>
      <c r="C129" s="93">
        <v>45078</v>
      </c>
      <c r="D129" s="94" t="s">
        <v>18</v>
      </c>
      <c r="E129" s="94" t="s">
        <v>534</v>
      </c>
      <c r="F129" s="60">
        <v>125</v>
      </c>
      <c r="G129" s="60">
        <v>135</v>
      </c>
      <c r="H129" s="60">
        <v>10</v>
      </c>
      <c r="I129" s="15">
        <v>300</v>
      </c>
      <c r="J129" s="16">
        <f t="shared" ref="J129:J174" si="9">I129*H129</f>
        <v>3000</v>
      </c>
      <c r="K129" s="7"/>
      <c r="V129" s="5">
        <f t="shared" ref="V129:V174" si="10">IF($J129&gt;0,1,0)</f>
        <v>1</v>
      </c>
      <c r="W129" s="5">
        <f t="shared" ref="W129:W174" si="11">IF($J129&lt;0,1,0)</f>
        <v>0</v>
      </c>
    </row>
    <row r="130" spans="1:23" s="36" customFormat="1" x14ac:dyDescent="0.3">
      <c r="A130" s="6"/>
      <c r="B130" s="17">
        <f>B129+1</f>
        <v>2</v>
      </c>
      <c r="C130" s="18">
        <v>45078</v>
      </c>
      <c r="D130" s="19" t="s">
        <v>18</v>
      </c>
      <c r="E130" s="19" t="s">
        <v>794</v>
      </c>
      <c r="F130" s="35">
        <v>120</v>
      </c>
      <c r="G130" s="35">
        <v>153</v>
      </c>
      <c r="H130" s="35">
        <f>153-120</f>
        <v>33</v>
      </c>
      <c r="I130" s="20">
        <v>300</v>
      </c>
      <c r="J130" s="21">
        <f t="shared" si="9"/>
        <v>9900</v>
      </c>
      <c r="K130" s="7"/>
      <c r="L130" s="36" t="s">
        <v>21</v>
      </c>
      <c r="V130" s="5">
        <f t="shared" si="10"/>
        <v>1</v>
      </c>
      <c r="W130" s="5">
        <f t="shared" si="11"/>
        <v>0</v>
      </c>
    </row>
    <row r="131" spans="1:23" s="36" customFormat="1" x14ac:dyDescent="0.3">
      <c r="A131" s="6"/>
      <c r="B131" s="17">
        <f t="shared" ref="B131:B151" si="12">B130+1</f>
        <v>3</v>
      </c>
      <c r="C131" s="18">
        <v>45079</v>
      </c>
      <c r="D131" s="19" t="s">
        <v>18</v>
      </c>
      <c r="E131" s="19" t="s">
        <v>842</v>
      </c>
      <c r="F131" s="35">
        <v>120</v>
      </c>
      <c r="G131" s="35">
        <v>140</v>
      </c>
      <c r="H131" s="35">
        <v>20</v>
      </c>
      <c r="I131" s="20">
        <v>300</v>
      </c>
      <c r="J131" s="21">
        <f t="shared" si="9"/>
        <v>6000</v>
      </c>
      <c r="K131" s="7"/>
      <c r="V131" s="5">
        <f t="shared" si="10"/>
        <v>1</v>
      </c>
      <c r="W131" s="5">
        <f t="shared" si="11"/>
        <v>0</v>
      </c>
    </row>
    <row r="132" spans="1:23" s="36" customFormat="1" x14ac:dyDescent="0.3">
      <c r="A132" s="6"/>
      <c r="B132" s="17">
        <f t="shared" si="12"/>
        <v>4</v>
      </c>
      <c r="C132" s="18">
        <v>45079</v>
      </c>
      <c r="D132" s="19" t="s">
        <v>18</v>
      </c>
      <c r="E132" s="19" t="s">
        <v>531</v>
      </c>
      <c r="F132" s="35">
        <v>100</v>
      </c>
      <c r="G132" s="35">
        <v>115</v>
      </c>
      <c r="H132" s="35">
        <v>15</v>
      </c>
      <c r="I132" s="20">
        <v>300</v>
      </c>
      <c r="J132" s="21">
        <f t="shared" si="9"/>
        <v>4500</v>
      </c>
      <c r="K132" s="7"/>
      <c r="V132" s="5">
        <f t="shared" si="10"/>
        <v>1</v>
      </c>
      <c r="W132" s="5">
        <f t="shared" si="11"/>
        <v>0</v>
      </c>
    </row>
    <row r="133" spans="1:23" s="36" customFormat="1" x14ac:dyDescent="0.3">
      <c r="A133" s="6"/>
      <c r="B133" s="17">
        <f t="shared" si="12"/>
        <v>5</v>
      </c>
      <c r="C133" s="18">
        <v>45082</v>
      </c>
      <c r="D133" s="19" t="s">
        <v>18</v>
      </c>
      <c r="E133" s="19" t="s">
        <v>791</v>
      </c>
      <c r="F133" s="20">
        <v>120</v>
      </c>
      <c r="G133" s="35">
        <v>127</v>
      </c>
      <c r="H133" s="35">
        <v>7</v>
      </c>
      <c r="I133" s="20">
        <v>300</v>
      </c>
      <c r="J133" s="21">
        <f t="shared" ref="J133:J137" si="13">I132*H132</f>
        <v>4500</v>
      </c>
      <c r="K133" s="7"/>
      <c r="V133" s="5">
        <f t="shared" si="10"/>
        <v>1</v>
      </c>
      <c r="W133" s="5">
        <f t="shared" si="11"/>
        <v>0</v>
      </c>
    </row>
    <row r="134" spans="1:23" s="36" customFormat="1" x14ac:dyDescent="0.3">
      <c r="A134" s="6"/>
      <c r="B134" s="17">
        <f t="shared" si="12"/>
        <v>6</v>
      </c>
      <c r="C134" s="18">
        <v>45083</v>
      </c>
      <c r="D134" s="19" t="s">
        <v>18</v>
      </c>
      <c r="E134" s="19" t="s">
        <v>531</v>
      </c>
      <c r="F134" s="35">
        <v>110</v>
      </c>
      <c r="G134" s="35">
        <v>95</v>
      </c>
      <c r="H134" s="35">
        <v>-15</v>
      </c>
      <c r="I134" s="20">
        <v>300</v>
      </c>
      <c r="J134" s="21">
        <f t="shared" si="13"/>
        <v>2100</v>
      </c>
      <c r="K134" s="7"/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si="12"/>
        <v>7</v>
      </c>
      <c r="C135" s="18">
        <v>45083</v>
      </c>
      <c r="D135" s="19" t="s">
        <v>18</v>
      </c>
      <c r="E135" s="19" t="s">
        <v>794</v>
      </c>
      <c r="F135" s="35">
        <v>110</v>
      </c>
      <c r="G135" s="35">
        <v>125</v>
      </c>
      <c r="H135" s="35">
        <f>125-110</f>
        <v>15</v>
      </c>
      <c r="I135" s="20">
        <v>300</v>
      </c>
      <c r="J135" s="21">
        <f t="shared" si="9"/>
        <v>4500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8</v>
      </c>
      <c r="C136" s="18">
        <v>45084</v>
      </c>
      <c r="D136" s="19" t="s">
        <v>18</v>
      </c>
      <c r="E136" s="19" t="s">
        <v>531</v>
      </c>
      <c r="F136" s="35">
        <v>120</v>
      </c>
      <c r="G136" s="35">
        <v>155</v>
      </c>
      <c r="H136" s="35">
        <f>155-120</f>
        <v>35</v>
      </c>
      <c r="I136" s="20">
        <v>300</v>
      </c>
      <c r="J136" s="21">
        <f t="shared" si="13"/>
        <v>4500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9</v>
      </c>
      <c r="C137" s="18">
        <v>45084</v>
      </c>
      <c r="D137" s="19" t="s">
        <v>18</v>
      </c>
      <c r="E137" s="19" t="s">
        <v>792</v>
      </c>
      <c r="F137" s="35">
        <v>110</v>
      </c>
      <c r="G137" s="35">
        <v>130</v>
      </c>
      <c r="H137" s="35">
        <f>130-110</f>
        <v>20</v>
      </c>
      <c r="I137" s="100">
        <v>300</v>
      </c>
      <c r="J137" s="21">
        <f t="shared" si="13"/>
        <v>10500</v>
      </c>
      <c r="K137" s="7"/>
      <c r="V137" s="5">
        <f t="shared" si="10"/>
        <v>1</v>
      </c>
      <c r="W137" s="5">
        <f t="shared" si="11"/>
        <v>0</v>
      </c>
    </row>
    <row r="138" spans="1:23" s="36" customFormat="1" x14ac:dyDescent="0.3">
      <c r="A138" s="6"/>
      <c r="B138" s="17">
        <f t="shared" si="12"/>
        <v>10</v>
      </c>
      <c r="C138" s="18">
        <v>45085</v>
      </c>
      <c r="D138" s="19" t="s">
        <v>18</v>
      </c>
      <c r="E138" s="19" t="s">
        <v>793</v>
      </c>
      <c r="F138" s="35">
        <v>100</v>
      </c>
      <c r="G138" s="35">
        <v>121</v>
      </c>
      <c r="H138" s="35">
        <f>121-100</f>
        <v>21</v>
      </c>
      <c r="I138" s="20">
        <v>300</v>
      </c>
      <c r="J138" s="21">
        <f t="shared" si="9"/>
        <v>6300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11</v>
      </c>
      <c r="C139" s="18">
        <v>45085</v>
      </c>
      <c r="D139" s="19" t="s">
        <v>18</v>
      </c>
      <c r="E139" s="19" t="s">
        <v>790</v>
      </c>
      <c r="F139" s="19">
        <v>90</v>
      </c>
      <c r="G139" s="35">
        <v>118</v>
      </c>
      <c r="H139" s="35">
        <f>118-90</f>
        <v>28</v>
      </c>
      <c r="I139" s="20">
        <v>300</v>
      </c>
      <c r="J139" s="21">
        <f t="shared" si="9"/>
        <v>8400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12</v>
      </c>
      <c r="C140" s="18">
        <v>45086</v>
      </c>
      <c r="D140" s="19" t="s">
        <v>18</v>
      </c>
      <c r="E140" s="19" t="s">
        <v>791</v>
      </c>
      <c r="F140" s="35">
        <v>150</v>
      </c>
      <c r="G140" s="35">
        <v>100</v>
      </c>
      <c r="H140" s="35">
        <v>-50</v>
      </c>
      <c r="I140" s="20">
        <v>300</v>
      </c>
      <c r="J140" s="21">
        <f t="shared" si="9"/>
        <v>-15000</v>
      </c>
      <c r="K140" s="7"/>
      <c r="V140" s="5">
        <f t="shared" si="10"/>
        <v>0</v>
      </c>
      <c r="W140" s="5">
        <f t="shared" si="11"/>
        <v>1</v>
      </c>
    </row>
    <row r="141" spans="1:23" s="36" customFormat="1" x14ac:dyDescent="0.3">
      <c r="A141" s="6"/>
      <c r="B141" s="17">
        <f t="shared" si="12"/>
        <v>13</v>
      </c>
      <c r="C141" s="18">
        <v>45086</v>
      </c>
      <c r="D141" s="19" t="s">
        <v>18</v>
      </c>
      <c r="E141" s="19" t="s">
        <v>794</v>
      </c>
      <c r="F141" s="35">
        <v>105</v>
      </c>
      <c r="G141" s="35">
        <v>123</v>
      </c>
      <c r="H141" s="35">
        <f>123-105</f>
        <v>18</v>
      </c>
      <c r="I141" s="20">
        <v>300</v>
      </c>
      <c r="J141" s="21">
        <f t="shared" si="9"/>
        <v>5400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14</v>
      </c>
      <c r="C142" s="18">
        <v>45089</v>
      </c>
      <c r="D142" s="19" t="s">
        <v>18</v>
      </c>
      <c r="E142" s="19" t="s">
        <v>531</v>
      </c>
      <c r="F142" s="77">
        <v>105</v>
      </c>
      <c r="G142" s="35">
        <v>140</v>
      </c>
      <c r="H142" s="78">
        <f>140-105</f>
        <v>35</v>
      </c>
      <c r="I142" s="20">
        <v>300</v>
      </c>
      <c r="J142" s="21">
        <f t="shared" si="9"/>
        <v>10500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15</v>
      </c>
      <c r="C143" s="18">
        <v>45090</v>
      </c>
      <c r="D143" s="19" t="s">
        <v>18</v>
      </c>
      <c r="E143" s="19" t="s">
        <v>792</v>
      </c>
      <c r="F143" s="35">
        <v>130</v>
      </c>
      <c r="G143" s="35">
        <v>145</v>
      </c>
      <c r="H143" s="78">
        <v>15</v>
      </c>
      <c r="I143" s="20">
        <v>300</v>
      </c>
      <c r="J143" s="21">
        <f t="shared" si="9"/>
        <v>4500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16</v>
      </c>
      <c r="C144" s="18">
        <v>45091</v>
      </c>
      <c r="D144" s="19" t="s">
        <v>18</v>
      </c>
      <c r="E144" s="19" t="s">
        <v>793</v>
      </c>
      <c r="F144" s="35">
        <v>105</v>
      </c>
      <c r="G144" s="35">
        <v>120</v>
      </c>
      <c r="H144" s="78">
        <f>120-105</f>
        <v>15</v>
      </c>
      <c r="I144" s="20">
        <v>300</v>
      </c>
      <c r="J144" s="21">
        <f t="shared" si="9"/>
        <v>4500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17</v>
      </c>
      <c r="C145" s="18">
        <v>45091</v>
      </c>
      <c r="D145" s="19" t="s">
        <v>18</v>
      </c>
      <c r="E145" s="19" t="s">
        <v>793</v>
      </c>
      <c r="F145" s="35">
        <v>105</v>
      </c>
      <c r="G145" s="35">
        <v>85</v>
      </c>
      <c r="H145" s="78">
        <v>-20</v>
      </c>
      <c r="I145" s="20">
        <v>300</v>
      </c>
      <c r="J145" s="21">
        <f t="shared" si="9"/>
        <v>-6000</v>
      </c>
      <c r="K145" s="7"/>
      <c r="V145" s="5">
        <f t="shared" si="10"/>
        <v>0</v>
      </c>
      <c r="W145" s="5">
        <f t="shared" si="11"/>
        <v>1</v>
      </c>
    </row>
    <row r="146" spans="1:23" s="36" customFormat="1" x14ac:dyDescent="0.3">
      <c r="A146" s="6"/>
      <c r="B146" s="17">
        <f t="shared" si="12"/>
        <v>18</v>
      </c>
      <c r="C146" s="18">
        <v>45092</v>
      </c>
      <c r="D146" s="19" t="s">
        <v>18</v>
      </c>
      <c r="E146" s="19" t="s">
        <v>849</v>
      </c>
      <c r="F146" s="35">
        <v>120</v>
      </c>
      <c r="G146" s="35">
        <v>100</v>
      </c>
      <c r="H146" s="78">
        <v>-20</v>
      </c>
      <c r="I146" s="20">
        <v>300</v>
      </c>
      <c r="J146" s="21">
        <f t="shared" si="9"/>
        <v>-6000</v>
      </c>
      <c r="K146" s="7"/>
      <c r="V146" s="5">
        <f t="shared" si="10"/>
        <v>0</v>
      </c>
      <c r="W146" s="5">
        <f t="shared" si="11"/>
        <v>1</v>
      </c>
    </row>
    <row r="147" spans="1:23" s="36" customFormat="1" x14ac:dyDescent="0.3">
      <c r="A147" s="6"/>
      <c r="B147" s="17">
        <f t="shared" si="12"/>
        <v>19</v>
      </c>
      <c r="C147" s="18">
        <v>45092</v>
      </c>
      <c r="D147" s="19" t="s">
        <v>18</v>
      </c>
      <c r="E147" s="19" t="s">
        <v>792</v>
      </c>
      <c r="F147" s="35">
        <v>120</v>
      </c>
      <c r="G147" s="35">
        <v>155</v>
      </c>
      <c r="H147" s="78">
        <f>155-120</f>
        <v>35</v>
      </c>
      <c r="I147" s="20">
        <v>300</v>
      </c>
      <c r="J147" s="21">
        <f t="shared" si="9"/>
        <v>10500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20</v>
      </c>
      <c r="C148" s="18">
        <v>45093</v>
      </c>
      <c r="D148" s="19" t="s">
        <v>18</v>
      </c>
      <c r="E148" s="19" t="s">
        <v>850</v>
      </c>
      <c r="F148" s="35">
        <v>135</v>
      </c>
      <c r="G148" s="35">
        <v>150</v>
      </c>
      <c r="H148" s="35">
        <v>15</v>
      </c>
      <c r="I148" s="20">
        <v>300</v>
      </c>
      <c r="J148" s="21">
        <f t="shared" si="9"/>
        <v>4500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21</v>
      </c>
      <c r="C149" s="18">
        <v>45093</v>
      </c>
      <c r="D149" s="19" t="s">
        <v>18</v>
      </c>
      <c r="E149" s="19" t="s">
        <v>788</v>
      </c>
      <c r="F149" s="35">
        <v>110</v>
      </c>
      <c r="G149" s="35">
        <v>145</v>
      </c>
      <c r="H149" s="35">
        <f>145-110</f>
        <v>35</v>
      </c>
      <c r="I149" s="20">
        <v>300</v>
      </c>
      <c r="J149" s="21">
        <f t="shared" si="9"/>
        <v>10500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22</v>
      </c>
      <c r="C150" s="18">
        <v>45096</v>
      </c>
      <c r="D150" s="19" t="s">
        <v>18</v>
      </c>
      <c r="E150" s="19" t="s">
        <v>851</v>
      </c>
      <c r="F150" s="35">
        <v>125</v>
      </c>
      <c r="G150" s="35">
        <v>105</v>
      </c>
      <c r="H150" s="35">
        <f>125-105</f>
        <v>20</v>
      </c>
      <c r="I150" s="20">
        <v>300</v>
      </c>
      <c r="J150" s="21">
        <f t="shared" si="9"/>
        <v>6000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23</v>
      </c>
      <c r="C151" s="18">
        <v>45096</v>
      </c>
      <c r="D151" s="19" t="s">
        <v>18</v>
      </c>
      <c r="E151" s="19" t="s">
        <v>852</v>
      </c>
      <c r="F151" s="35">
        <v>125</v>
      </c>
      <c r="G151" s="35">
        <v>160</v>
      </c>
      <c r="H151" s="35">
        <f>160-125</f>
        <v>35</v>
      </c>
      <c r="I151" s="20">
        <v>300</v>
      </c>
      <c r="J151" s="21">
        <f t="shared" si="9"/>
        <v>10500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>B151+1</f>
        <v>24</v>
      </c>
      <c r="C152" s="18">
        <v>45097</v>
      </c>
      <c r="D152" s="19" t="s">
        <v>18</v>
      </c>
      <c r="E152" s="19" t="s">
        <v>790</v>
      </c>
      <c r="F152" s="35">
        <v>115</v>
      </c>
      <c r="G152" s="35">
        <v>130</v>
      </c>
      <c r="H152" s="35">
        <v>15</v>
      </c>
      <c r="I152" s="20">
        <v>300</v>
      </c>
      <c r="J152" s="21">
        <f t="shared" si="9"/>
        <v>4500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ref="B153:B174" si="14">B152+1</f>
        <v>25</v>
      </c>
      <c r="C153" s="18">
        <v>45097</v>
      </c>
      <c r="D153" s="19" t="s">
        <v>18</v>
      </c>
      <c r="E153" s="19" t="s">
        <v>790</v>
      </c>
      <c r="F153" s="35">
        <v>100</v>
      </c>
      <c r="G153" s="35">
        <v>80</v>
      </c>
      <c r="H153" s="35">
        <v>-20</v>
      </c>
      <c r="I153" s="20">
        <v>300</v>
      </c>
      <c r="J153" s="21">
        <f t="shared" si="9"/>
        <v>-6000</v>
      </c>
      <c r="K153" s="7"/>
      <c r="V153" s="5">
        <f t="shared" si="10"/>
        <v>0</v>
      </c>
      <c r="W153" s="5">
        <f t="shared" si="11"/>
        <v>1</v>
      </c>
    </row>
    <row r="154" spans="1:23" s="36" customFormat="1" x14ac:dyDescent="0.3">
      <c r="A154" s="6"/>
      <c r="B154" s="17">
        <f t="shared" si="14"/>
        <v>26</v>
      </c>
      <c r="C154" s="18">
        <v>45098</v>
      </c>
      <c r="D154" s="19" t="s">
        <v>18</v>
      </c>
      <c r="E154" s="19" t="s">
        <v>788</v>
      </c>
      <c r="F154" s="35">
        <v>125</v>
      </c>
      <c r="G154" s="35">
        <v>136</v>
      </c>
      <c r="H154" s="35">
        <f>136-125</f>
        <v>11</v>
      </c>
      <c r="I154" s="20">
        <v>300</v>
      </c>
      <c r="J154" s="21">
        <f t="shared" si="9"/>
        <v>3300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4"/>
        <v>27</v>
      </c>
      <c r="C155" s="18">
        <v>45098</v>
      </c>
      <c r="D155" s="19" t="s">
        <v>18</v>
      </c>
      <c r="E155" s="19" t="s">
        <v>852</v>
      </c>
      <c r="F155" s="35">
        <v>95</v>
      </c>
      <c r="G155" s="35">
        <v>100</v>
      </c>
      <c r="H155" s="35">
        <v>5</v>
      </c>
      <c r="I155" s="20">
        <v>300</v>
      </c>
      <c r="J155" s="21">
        <f t="shared" si="9"/>
        <v>1500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4"/>
        <v>28</v>
      </c>
      <c r="C156" s="18">
        <v>45099</v>
      </c>
      <c r="D156" s="19" t="s">
        <v>18</v>
      </c>
      <c r="E156" s="19" t="s">
        <v>852</v>
      </c>
      <c r="F156" s="35">
        <v>105</v>
      </c>
      <c r="G156" s="35">
        <v>85</v>
      </c>
      <c r="H156" s="35">
        <v>-15</v>
      </c>
      <c r="I156" s="20">
        <v>300</v>
      </c>
      <c r="J156" s="21">
        <f t="shared" si="9"/>
        <v>-4500</v>
      </c>
      <c r="K156" s="7"/>
      <c r="V156" s="5">
        <f t="shared" si="10"/>
        <v>0</v>
      </c>
      <c r="W156" s="5">
        <f t="shared" si="11"/>
        <v>1</v>
      </c>
    </row>
    <row r="157" spans="1:23" s="36" customFormat="1" x14ac:dyDescent="0.3">
      <c r="A157" s="6"/>
      <c r="B157" s="17">
        <f t="shared" si="14"/>
        <v>29</v>
      </c>
      <c r="C157" s="18">
        <v>45099</v>
      </c>
      <c r="D157" s="19" t="s">
        <v>18</v>
      </c>
      <c r="E157" s="19" t="s">
        <v>788</v>
      </c>
      <c r="F157" s="35">
        <v>125</v>
      </c>
      <c r="G157" s="35">
        <v>132</v>
      </c>
      <c r="H157" s="35">
        <f>132-125</f>
        <v>7</v>
      </c>
      <c r="I157" s="20">
        <v>300</v>
      </c>
      <c r="J157" s="21">
        <f t="shared" si="9"/>
        <v>2100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4"/>
        <v>30</v>
      </c>
      <c r="C158" s="18">
        <v>45100</v>
      </c>
      <c r="D158" s="19" t="s">
        <v>18</v>
      </c>
      <c r="E158" s="19" t="s">
        <v>789</v>
      </c>
      <c r="F158" s="35">
        <v>105</v>
      </c>
      <c r="G158" s="35">
        <v>120</v>
      </c>
      <c r="H158" s="35">
        <f>120-105</f>
        <v>15</v>
      </c>
      <c r="I158" s="20">
        <v>300</v>
      </c>
      <c r="J158" s="21">
        <f t="shared" si="9"/>
        <v>4500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4"/>
        <v>31</v>
      </c>
      <c r="C159" s="18">
        <v>45103</v>
      </c>
      <c r="D159" s="19" t="s">
        <v>18</v>
      </c>
      <c r="E159" s="19" t="s">
        <v>789</v>
      </c>
      <c r="F159" s="35">
        <v>95</v>
      </c>
      <c r="G159" s="35">
        <v>122</v>
      </c>
      <c r="H159" s="35">
        <f>122-95</f>
        <v>27</v>
      </c>
      <c r="I159" s="20">
        <v>300</v>
      </c>
      <c r="J159" s="21">
        <f t="shared" si="9"/>
        <v>8100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 t="shared" si="14"/>
        <v>32</v>
      </c>
      <c r="C160" s="18">
        <v>45103</v>
      </c>
      <c r="D160" s="19" t="s">
        <v>18</v>
      </c>
      <c r="E160" s="19" t="s">
        <v>793</v>
      </c>
      <c r="F160" s="35">
        <v>125</v>
      </c>
      <c r="G160" s="35">
        <v>131</v>
      </c>
      <c r="H160" s="35">
        <f>131-125</f>
        <v>6</v>
      </c>
      <c r="I160" s="20">
        <v>300</v>
      </c>
      <c r="J160" s="21">
        <f t="shared" si="9"/>
        <v>1800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si="14"/>
        <v>33</v>
      </c>
      <c r="C161" s="18">
        <v>45104</v>
      </c>
      <c r="D161" s="19" t="s">
        <v>18</v>
      </c>
      <c r="E161" s="19" t="s">
        <v>793</v>
      </c>
      <c r="F161" s="35">
        <v>115</v>
      </c>
      <c r="G161" s="35">
        <v>150</v>
      </c>
      <c r="H161" s="35">
        <f>150-115</f>
        <v>35</v>
      </c>
      <c r="I161" s="20">
        <v>300</v>
      </c>
      <c r="J161" s="21">
        <f t="shared" si="9"/>
        <v>10500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4"/>
        <v>34</v>
      </c>
      <c r="C162" s="18">
        <v>45104</v>
      </c>
      <c r="D162" s="19" t="s">
        <v>18</v>
      </c>
      <c r="E162" s="19" t="s">
        <v>793</v>
      </c>
      <c r="F162" s="35">
        <v>125</v>
      </c>
      <c r="G162" s="35">
        <v>134</v>
      </c>
      <c r="H162" s="35">
        <f>134-124</f>
        <v>10</v>
      </c>
      <c r="I162" s="20">
        <v>300</v>
      </c>
      <c r="J162" s="21">
        <f t="shared" si="9"/>
        <v>3000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4"/>
        <v>35</v>
      </c>
      <c r="C163" s="18">
        <v>45105</v>
      </c>
      <c r="D163" s="19" t="s">
        <v>18</v>
      </c>
      <c r="E163" s="19" t="s">
        <v>788</v>
      </c>
      <c r="F163" s="35">
        <v>115</v>
      </c>
      <c r="G163" s="35">
        <v>150</v>
      </c>
      <c r="H163" s="35">
        <f>150-115</f>
        <v>35</v>
      </c>
      <c r="I163" s="20">
        <v>300</v>
      </c>
      <c r="J163" s="21">
        <f t="shared" si="9"/>
        <v>10500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4"/>
        <v>36</v>
      </c>
      <c r="C164" s="18">
        <v>45105</v>
      </c>
      <c r="D164" s="19" t="s">
        <v>18</v>
      </c>
      <c r="E164" s="19" t="s">
        <v>851</v>
      </c>
      <c r="F164" s="35">
        <v>135</v>
      </c>
      <c r="G164" s="35">
        <v>170</v>
      </c>
      <c r="H164" s="35">
        <f>170-135</f>
        <v>35</v>
      </c>
      <c r="I164" s="20">
        <v>300</v>
      </c>
      <c r="J164" s="21">
        <f t="shared" si="9"/>
        <v>10500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4"/>
        <v>37</v>
      </c>
      <c r="C165" s="18">
        <v>45107</v>
      </c>
      <c r="D165" s="19" t="s">
        <v>18</v>
      </c>
      <c r="E165" s="19" t="s">
        <v>855</v>
      </c>
      <c r="F165" s="35">
        <v>110</v>
      </c>
      <c r="G165" s="35">
        <v>131</v>
      </c>
      <c r="H165" s="35">
        <f>131-110</f>
        <v>21</v>
      </c>
      <c r="I165" s="20">
        <v>300</v>
      </c>
      <c r="J165" s="21">
        <f t="shared" si="9"/>
        <v>6300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4"/>
        <v>38</v>
      </c>
      <c r="C166" s="18">
        <v>45107</v>
      </c>
      <c r="D166" s="19" t="s">
        <v>18</v>
      </c>
      <c r="E166" s="19" t="s">
        <v>855</v>
      </c>
      <c r="F166" s="35">
        <v>120</v>
      </c>
      <c r="G166" s="35">
        <v>155</v>
      </c>
      <c r="H166" s="35">
        <f>155-120</f>
        <v>35</v>
      </c>
      <c r="I166" s="20">
        <v>300</v>
      </c>
      <c r="J166" s="21">
        <f t="shared" si="9"/>
        <v>10500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4"/>
        <v>39</v>
      </c>
      <c r="C167" s="18"/>
      <c r="D167" s="19"/>
      <c r="E167" s="19"/>
      <c r="F167" s="35"/>
      <c r="G167" s="35"/>
      <c r="H167" s="35"/>
      <c r="I167" s="20"/>
      <c r="J167" s="21">
        <f t="shared" si="9"/>
        <v>0</v>
      </c>
      <c r="K167" s="7"/>
      <c r="V167" s="5">
        <f t="shared" si="10"/>
        <v>0</v>
      </c>
      <c r="W167" s="5">
        <f t="shared" si="11"/>
        <v>0</v>
      </c>
    </row>
    <row r="168" spans="1:23" s="36" customFormat="1" x14ac:dyDescent="0.3">
      <c r="A168" s="6"/>
      <c r="B168" s="17">
        <f t="shared" si="14"/>
        <v>40</v>
      </c>
      <c r="C168" s="18"/>
      <c r="D168" s="19"/>
      <c r="E168" s="19"/>
      <c r="F168" s="35"/>
      <c r="G168" s="35"/>
      <c r="H168" s="35"/>
      <c r="I168" s="20"/>
      <c r="J168" s="21">
        <f t="shared" si="9"/>
        <v>0</v>
      </c>
      <c r="K168" s="7"/>
      <c r="V168" s="5">
        <f t="shared" si="10"/>
        <v>0</v>
      </c>
      <c r="W168" s="5">
        <f t="shared" si="11"/>
        <v>0</v>
      </c>
    </row>
    <row r="169" spans="1:23" s="36" customFormat="1" x14ac:dyDescent="0.3">
      <c r="A169" s="6"/>
      <c r="B169" s="17">
        <f t="shared" si="14"/>
        <v>41</v>
      </c>
      <c r="C169" s="18"/>
      <c r="D169" s="19"/>
      <c r="E169" s="19"/>
      <c r="F169" s="35"/>
      <c r="G169" s="35"/>
      <c r="H169" s="35"/>
      <c r="I169" s="20"/>
      <c r="J169" s="21">
        <f t="shared" si="9"/>
        <v>0</v>
      </c>
      <c r="K169" s="7"/>
      <c r="V169" s="5">
        <f t="shared" si="10"/>
        <v>0</v>
      </c>
      <c r="W169" s="5">
        <f t="shared" si="11"/>
        <v>0</v>
      </c>
    </row>
    <row r="170" spans="1:23" s="36" customFormat="1" x14ac:dyDescent="0.3">
      <c r="A170" s="6"/>
      <c r="B170" s="17">
        <f t="shared" si="14"/>
        <v>42</v>
      </c>
      <c r="C170" s="18"/>
      <c r="D170" s="19"/>
      <c r="E170" s="19"/>
      <c r="F170" s="35"/>
      <c r="G170" s="35"/>
      <c r="H170" s="35"/>
      <c r="I170" s="20"/>
      <c r="J170" s="21">
        <f t="shared" si="9"/>
        <v>0</v>
      </c>
      <c r="K170" s="7"/>
      <c r="V170" s="5">
        <f t="shared" si="10"/>
        <v>0</v>
      </c>
      <c r="W170" s="5">
        <f t="shared" si="11"/>
        <v>0</v>
      </c>
    </row>
    <row r="171" spans="1:23" s="36" customFormat="1" x14ac:dyDescent="0.3">
      <c r="A171" s="6"/>
      <c r="B171" s="17">
        <f t="shared" si="14"/>
        <v>43</v>
      </c>
      <c r="C171" s="18"/>
      <c r="D171" s="19"/>
      <c r="E171" s="19"/>
      <c r="F171" s="35"/>
      <c r="G171" s="35"/>
      <c r="H171" s="35"/>
      <c r="I171" s="20"/>
      <c r="J171" s="21">
        <f t="shared" si="9"/>
        <v>0</v>
      </c>
      <c r="K171" s="7"/>
      <c r="V171" s="5">
        <f t="shared" si="10"/>
        <v>0</v>
      </c>
      <c r="W171" s="5">
        <f t="shared" si="11"/>
        <v>0</v>
      </c>
    </row>
    <row r="172" spans="1:23" s="36" customFormat="1" x14ac:dyDescent="0.3">
      <c r="A172" s="6"/>
      <c r="B172" s="17">
        <f t="shared" si="14"/>
        <v>44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x14ac:dyDescent="0.3">
      <c r="A173" s="6"/>
      <c r="B173" s="17">
        <f t="shared" si="14"/>
        <v>45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ht="15" thickBot="1" x14ac:dyDescent="0.35">
      <c r="A174" s="6"/>
      <c r="B174" s="95">
        <f t="shared" si="14"/>
        <v>46</v>
      </c>
      <c r="C174" s="79"/>
      <c r="D174" s="80"/>
      <c r="E174" s="80"/>
      <c r="F174" s="96"/>
      <c r="G174" s="96"/>
      <c r="H174" s="96"/>
      <c r="I174" s="81"/>
      <c r="J174" s="82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ht="24" thickBot="1" x14ac:dyDescent="0.5">
      <c r="A175" s="6"/>
      <c r="B175" s="165" t="s">
        <v>22</v>
      </c>
      <c r="C175" s="166"/>
      <c r="D175" s="166"/>
      <c r="E175" s="166"/>
      <c r="F175" s="166"/>
      <c r="G175" s="166"/>
      <c r="H175" s="167"/>
      <c r="I175" s="83" t="s">
        <v>23</v>
      </c>
      <c r="J175" s="84">
        <f>SUM(J129:J174)</f>
        <v>170700</v>
      </c>
      <c r="K175" s="7"/>
      <c r="L175" s="5"/>
      <c r="M175" s="5"/>
      <c r="N175" s="5"/>
      <c r="O175" s="5"/>
      <c r="P175" s="5"/>
      <c r="Q175" s="5"/>
      <c r="R175" s="5"/>
      <c r="V175" s="36">
        <f>SUM(V129:V174)</f>
        <v>33</v>
      </c>
      <c r="W175" s="36">
        <f>SUM(W129:W174)</f>
        <v>5</v>
      </c>
    </row>
    <row r="176" spans="1:23" s="36" customFormat="1" ht="30" customHeight="1" thickBot="1" x14ac:dyDescent="0.35">
      <c r="A176" s="30"/>
      <c r="B176" s="31"/>
      <c r="C176" s="31"/>
      <c r="D176" s="31"/>
      <c r="E176" s="31"/>
      <c r="F176" s="31"/>
      <c r="G176" s="31"/>
      <c r="H176" s="32"/>
      <c r="I176" s="31"/>
      <c r="J176" s="32"/>
      <c r="K176" s="33"/>
      <c r="L176" s="5"/>
      <c r="M176" s="5"/>
      <c r="N176" s="5"/>
      <c r="O176" s="5"/>
      <c r="P176" s="5"/>
      <c r="Q176" s="5"/>
      <c r="R176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B121:H121"/>
    <mergeCell ref="B125:J125"/>
    <mergeCell ref="B126:J126"/>
    <mergeCell ref="B127:J127"/>
    <mergeCell ref="B175:H175"/>
  </mergeCells>
  <hyperlinks>
    <hyperlink ref="B59" r:id="rId1" xr:uid="{00000000-0004-0000-2300-000000000000}"/>
    <hyperlink ref="B121" r:id="rId2" xr:uid="{00000000-0004-0000-2300-000001000000}"/>
    <hyperlink ref="B175" r:id="rId3" xr:uid="{00000000-0004-0000-2300-000002000000}"/>
    <hyperlink ref="M1" location="MASTER!A1" display="Back" xr:uid="{00000000-0004-0000-2300-000003000000}"/>
    <hyperlink ref="M6:M7" location="'APRIL 2023'!A70" display="EXTRA STOCK FUTURE" xr:uid="{00000000-0004-0000-2300-000004000000}"/>
    <hyperlink ref="M8:M9" location="'APRIL 2023'!A140" display="EXTRA NIFTY OPTION" xr:uid="{00000000-0004-0000-2300-000005000000}"/>
    <hyperlink ref="M4:M5" location="'APRIL 2023'!A1" display="EXTRA BANKNIFTY OPTION" xr:uid="{00000000-0004-0000-2300-000006000000}"/>
  </hyperlinks>
  <pageMargins left="0" right="0" top="0" bottom="0" header="0" footer="0"/>
  <pageSetup paperSize="9" orientation="portrait" r:id="rId4"/>
  <ignoredErrors>
    <ignoredError sqref="J135" formula="1"/>
  </ignoredErrors>
  <drawing r:id="rId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W176"/>
  <sheetViews>
    <sheetView topLeftCell="A118" zoomScale="90" zoomScaleNormal="90" workbookViewId="0">
      <selection activeCell="K129" sqref="K129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9.109375" style="5" customWidth="1"/>
    <col min="22" max="23" width="9.109375" style="5" hidden="1" customWidth="1"/>
    <col min="24" max="24" width="9.109375" style="5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225" t="s">
        <v>3</v>
      </c>
      <c r="N2" s="226" t="s">
        <v>4</v>
      </c>
      <c r="O2" s="227" t="s">
        <v>5</v>
      </c>
      <c r="P2" s="227" t="s">
        <v>6</v>
      </c>
      <c r="Q2" s="227" t="s">
        <v>7</v>
      </c>
      <c r="R2" s="224" t="s">
        <v>8</v>
      </c>
    </row>
    <row r="3" spans="1:23" ht="16.2" thickBot="1" x14ac:dyDescent="0.35">
      <c r="A3" s="6"/>
      <c r="B3" s="103">
        <v>45108</v>
      </c>
      <c r="C3" s="104"/>
      <c r="D3" s="104"/>
      <c r="E3" s="104"/>
      <c r="F3" s="104"/>
      <c r="G3" s="104"/>
      <c r="H3" s="104"/>
      <c r="I3" s="104"/>
      <c r="J3" s="105"/>
      <c r="K3" s="7"/>
      <c r="M3" s="225"/>
      <c r="N3" s="226"/>
      <c r="O3" s="227"/>
      <c r="P3" s="227"/>
      <c r="Q3" s="227"/>
      <c r="R3" s="224"/>
    </row>
    <row r="4" spans="1:23" ht="16.5" customHeight="1" thickBot="1" x14ac:dyDescent="0.35">
      <c r="A4" s="6"/>
      <c r="B4" s="106" t="s">
        <v>785</v>
      </c>
      <c r="C4" s="107"/>
      <c r="D4" s="107"/>
      <c r="E4" s="107"/>
      <c r="F4" s="107"/>
      <c r="G4" s="107"/>
      <c r="H4" s="107"/>
      <c r="I4" s="107"/>
      <c r="J4" s="108"/>
      <c r="K4" s="7"/>
      <c r="M4" s="221" t="s">
        <v>107</v>
      </c>
      <c r="N4" s="222">
        <f>COUNT(C6:C58)</f>
        <v>37</v>
      </c>
      <c r="O4" s="222">
        <f>V59</f>
        <v>31</v>
      </c>
      <c r="P4" s="222">
        <f>W59</f>
        <v>6</v>
      </c>
      <c r="Q4" s="222">
        <f>N4-O4-P4</f>
        <v>0</v>
      </c>
      <c r="R4" s="220">
        <f>O4/N4</f>
        <v>0.83783783783783783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221"/>
      <c r="N5" s="222"/>
      <c r="O5" s="222"/>
      <c r="P5" s="222"/>
      <c r="Q5" s="222"/>
      <c r="R5" s="220"/>
      <c r="V5" s="5" t="s">
        <v>5</v>
      </c>
      <c r="W5" s="5" t="s">
        <v>6</v>
      </c>
    </row>
    <row r="6" spans="1:23" ht="15" customHeight="1" thickBot="1" x14ac:dyDescent="0.35">
      <c r="A6" s="6"/>
      <c r="B6" s="88">
        <v>1</v>
      </c>
      <c r="C6" s="89">
        <v>45110</v>
      </c>
      <c r="D6" s="90" t="s">
        <v>18</v>
      </c>
      <c r="E6" s="90" t="s">
        <v>860</v>
      </c>
      <c r="F6" s="90">
        <v>140</v>
      </c>
      <c r="G6" s="90">
        <v>240</v>
      </c>
      <c r="H6" s="91">
        <v>100</v>
      </c>
      <c r="I6" s="90">
        <v>100</v>
      </c>
      <c r="J6" s="92">
        <f t="shared" ref="J6:J58" si="0">H6*I6</f>
        <v>10000</v>
      </c>
      <c r="K6" s="7"/>
      <c r="M6" s="221" t="s">
        <v>108</v>
      </c>
      <c r="N6" s="222">
        <f>COUNT(C67:C120)</f>
        <v>5</v>
      </c>
      <c r="O6" s="222">
        <v>5</v>
      </c>
      <c r="P6" s="222">
        <f>W121</f>
        <v>0</v>
      </c>
      <c r="Q6" s="222">
        <f>N6-O6-P6</f>
        <v>0</v>
      </c>
      <c r="R6" s="220">
        <f t="shared" ref="R6" si="1">O6/N6</f>
        <v>1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ht="15" thickBot="1" x14ac:dyDescent="0.35">
      <c r="A7" s="6"/>
      <c r="B7" s="17">
        <v>2</v>
      </c>
      <c r="C7" s="85">
        <v>45111</v>
      </c>
      <c r="D7" s="86" t="s">
        <v>18</v>
      </c>
      <c r="E7" s="86" t="s">
        <v>863</v>
      </c>
      <c r="F7" s="86">
        <v>140</v>
      </c>
      <c r="G7" s="86">
        <v>210</v>
      </c>
      <c r="H7" s="87">
        <f>210-140</f>
        <v>70</v>
      </c>
      <c r="I7" s="86">
        <v>100</v>
      </c>
      <c r="J7" s="21">
        <f t="shared" si="0"/>
        <v>7000</v>
      </c>
      <c r="K7" s="7"/>
      <c r="M7" s="221"/>
      <c r="N7" s="222"/>
      <c r="O7" s="222"/>
      <c r="P7" s="222"/>
      <c r="Q7" s="222"/>
      <c r="R7" s="220"/>
      <c r="V7" s="5">
        <f t="shared" si="2"/>
        <v>1</v>
      </c>
      <c r="W7" s="5">
        <f t="shared" si="3"/>
        <v>0</v>
      </c>
    </row>
    <row r="8" spans="1:23" ht="15" thickBot="1" x14ac:dyDescent="0.35">
      <c r="A8" s="6"/>
      <c r="B8" s="88">
        <v>3</v>
      </c>
      <c r="C8" s="85">
        <v>45111</v>
      </c>
      <c r="D8" s="86" t="s">
        <v>18</v>
      </c>
      <c r="E8" s="86" t="s">
        <v>864</v>
      </c>
      <c r="F8" s="86">
        <v>150</v>
      </c>
      <c r="G8" s="86">
        <v>250</v>
      </c>
      <c r="H8" s="87">
        <v>100</v>
      </c>
      <c r="I8" s="86">
        <v>100</v>
      </c>
      <c r="J8" s="21">
        <f t="shared" si="0"/>
        <v>10000</v>
      </c>
      <c r="K8" s="7"/>
      <c r="M8" s="223" t="s">
        <v>194</v>
      </c>
      <c r="N8" s="222">
        <f>COUNT(C129:C174)</f>
        <v>38</v>
      </c>
      <c r="O8" s="222">
        <f>V175</f>
        <v>34</v>
      </c>
      <c r="P8" s="222">
        <f>W175</f>
        <v>4</v>
      </c>
      <c r="Q8" s="222">
        <v>0</v>
      </c>
      <c r="R8" s="220">
        <f t="shared" ref="R8:R10" si="4">O8/N8</f>
        <v>0.89473684210526316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45112</v>
      </c>
      <c r="D9" s="86" t="s">
        <v>18</v>
      </c>
      <c r="E9" s="86" t="s">
        <v>865</v>
      </c>
      <c r="F9" s="86">
        <v>140</v>
      </c>
      <c r="G9" s="86">
        <v>160</v>
      </c>
      <c r="H9" s="87">
        <v>20</v>
      </c>
      <c r="I9" s="86">
        <v>100</v>
      </c>
      <c r="J9" s="21">
        <f t="shared" si="0"/>
        <v>2000</v>
      </c>
      <c r="K9" s="7"/>
      <c r="M9" s="223"/>
      <c r="N9" s="222"/>
      <c r="O9" s="222"/>
      <c r="P9" s="222"/>
      <c r="Q9" s="222"/>
      <c r="R9" s="220"/>
      <c r="V9" s="5">
        <f t="shared" si="2"/>
        <v>1</v>
      </c>
      <c r="W9" s="5">
        <f t="shared" si="3"/>
        <v>0</v>
      </c>
    </row>
    <row r="10" spans="1:23" ht="16.5" customHeight="1" thickBot="1" x14ac:dyDescent="0.35">
      <c r="A10" s="6"/>
      <c r="B10" s="88">
        <v>5</v>
      </c>
      <c r="C10" s="85">
        <v>45113</v>
      </c>
      <c r="D10" s="86" t="s">
        <v>18</v>
      </c>
      <c r="E10" s="86" t="s">
        <v>865</v>
      </c>
      <c r="F10" s="86">
        <v>140</v>
      </c>
      <c r="G10" s="86">
        <v>90</v>
      </c>
      <c r="H10" s="87">
        <v>-50</v>
      </c>
      <c r="I10" s="86">
        <v>100</v>
      </c>
      <c r="J10" s="21">
        <f t="shared" si="0"/>
        <v>-5000</v>
      </c>
      <c r="K10" s="7"/>
      <c r="M10" s="218" t="s">
        <v>19</v>
      </c>
      <c r="N10" s="219">
        <f>SUM(N4:N9)</f>
        <v>80</v>
      </c>
      <c r="O10" s="219">
        <f>SUM(O4:O9)</f>
        <v>70</v>
      </c>
      <c r="P10" s="219">
        <f>SUM(P4:P9)</f>
        <v>10</v>
      </c>
      <c r="Q10" s="219">
        <f>SUM(Q4:Q9)</f>
        <v>0</v>
      </c>
      <c r="R10" s="220">
        <f t="shared" si="4"/>
        <v>0.875</v>
      </c>
      <c r="V10" s="5">
        <f t="shared" si="2"/>
        <v>0</v>
      </c>
      <c r="W10" s="5">
        <f t="shared" si="3"/>
        <v>1</v>
      </c>
    </row>
    <row r="11" spans="1:23" ht="15.75" customHeight="1" thickBot="1" x14ac:dyDescent="0.35">
      <c r="A11" s="6"/>
      <c r="B11" s="17">
        <v>6</v>
      </c>
      <c r="C11" s="85">
        <v>45113</v>
      </c>
      <c r="D11" s="86" t="s">
        <v>18</v>
      </c>
      <c r="E11" s="86" t="s">
        <v>860</v>
      </c>
      <c r="F11" s="86">
        <v>130</v>
      </c>
      <c r="G11" s="86">
        <v>230</v>
      </c>
      <c r="H11" s="87">
        <v>100</v>
      </c>
      <c r="I11" s="86">
        <v>100</v>
      </c>
      <c r="J11" s="21">
        <f t="shared" si="0"/>
        <v>10000</v>
      </c>
      <c r="K11" s="7"/>
      <c r="M11" s="218"/>
      <c r="N11" s="219"/>
      <c r="O11" s="219"/>
      <c r="P11" s="219"/>
      <c r="Q11" s="219"/>
      <c r="R11" s="220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45114</v>
      </c>
      <c r="D12" s="86" t="s">
        <v>18</v>
      </c>
      <c r="E12" s="86" t="s">
        <v>868</v>
      </c>
      <c r="F12" s="86">
        <v>140</v>
      </c>
      <c r="G12" s="86">
        <v>155</v>
      </c>
      <c r="H12" s="87">
        <v>15</v>
      </c>
      <c r="I12" s="86">
        <v>100</v>
      </c>
      <c r="J12" s="21">
        <f t="shared" si="0"/>
        <v>1500</v>
      </c>
      <c r="K12" s="7"/>
      <c r="M12" s="129" t="s">
        <v>20</v>
      </c>
      <c r="N12" s="130"/>
      <c r="O12" s="131"/>
      <c r="P12" s="138">
        <f>R10</f>
        <v>0.875</v>
      </c>
      <c r="Q12" s="139"/>
      <c r="R12" s="140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45114</v>
      </c>
      <c r="D13" s="86" t="s">
        <v>18</v>
      </c>
      <c r="E13" s="86" t="s">
        <v>869</v>
      </c>
      <c r="F13" s="86">
        <v>130</v>
      </c>
      <c r="G13" s="86">
        <v>80</v>
      </c>
      <c r="H13" s="87">
        <v>-50</v>
      </c>
      <c r="I13" s="86">
        <v>100</v>
      </c>
      <c r="J13" s="21">
        <f t="shared" si="0"/>
        <v>-5000</v>
      </c>
      <c r="K13" s="7"/>
      <c r="M13" s="129"/>
      <c r="N13" s="130"/>
      <c r="O13" s="131"/>
      <c r="P13" s="138"/>
      <c r="Q13" s="139"/>
      <c r="R13" s="140"/>
      <c r="V13" s="5">
        <f t="shared" si="2"/>
        <v>0</v>
      </c>
      <c r="W13" s="5">
        <f t="shared" si="3"/>
        <v>1</v>
      </c>
    </row>
    <row r="14" spans="1:23" ht="15.75" customHeight="1" thickBot="1" x14ac:dyDescent="0.35">
      <c r="A14" s="6"/>
      <c r="B14" s="88">
        <v>9</v>
      </c>
      <c r="C14" s="85">
        <v>45117</v>
      </c>
      <c r="D14" s="86" t="s">
        <v>18</v>
      </c>
      <c r="E14" s="86" t="s">
        <v>871</v>
      </c>
      <c r="F14" s="86">
        <v>160</v>
      </c>
      <c r="G14" s="86">
        <v>199</v>
      </c>
      <c r="H14" s="87">
        <f>199-170</f>
        <v>29</v>
      </c>
      <c r="I14" s="86">
        <v>100</v>
      </c>
      <c r="J14" s="21">
        <f t="shared" si="0"/>
        <v>2900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45117</v>
      </c>
      <c r="D15" s="86" t="s">
        <v>18</v>
      </c>
      <c r="E15" s="86" t="s">
        <v>863</v>
      </c>
      <c r="F15" s="86">
        <v>130</v>
      </c>
      <c r="G15" s="86">
        <v>174</v>
      </c>
      <c r="H15" s="87">
        <f>174-130</f>
        <v>44</v>
      </c>
      <c r="I15" s="86">
        <v>100</v>
      </c>
      <c r="J15" s="21">
        <f t="shared" si="0"/>
        <v>4400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85">
        <v>45118</v>
      </c>
      <c r="D16" s="86" t="s">
        <v>18</v>
      </c>
      <c r="E16" s="86" t="s">
        <v>872</v>
      </c>
      <c r="F16" s="86">
        <v>150</v>
      </c>
      <c r="G16" s="86">
        <v>179</v>
      </c>
      <c r="H16" s="87">
        <v>29</v>
      </c>
      <c r="I16" s="86">
        <v>100</v>
      </c>
      <c r="J16" s="21">
        <f t="shared" si="0"/>
        <v>2900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85">
        <v>45118</v>
      </c>
      <c r="D17" s="86" t="s">
        <v>18</v>
      </c>
      <c r="E17" s="86" t="s">
        <v>872</v>
      </c>
      <c r="F17" s="86">
        <v>120</v>
      </c>
      <c r="G17" s="86">
        <v>70</v>
      </c>
      <c r="H17" s="87">
        <v>-50</v>
      </c>
      <c r="I17" s="86">
        <v>100</v>
      </c>
      <c r="J17" s="21">
        <f t="shared" si="0"/>
        <v>-5000</v>
      </c>
      <c r="K17" s="7"/>
      <c r="V17" s="5">
        <f t="shared" si="2"/>
        <v>0</v>
      </c>
      <c r="W17" s="5">
        <f t="shared" si="3"/>
        <v>1</v>
      </c>
    </row>
    <row r="18" spans="1:23" x14ac:dyDescent="0.3">
      <c r="A18" s="6"/>
      <c r="B18" s="88">
        <v>13</v>
      </c>
      <c r="C18" s="85">
        <v>45119</v>
      </c>
      <c r="D18" s="86" t="s">
        <v>18</v>
      </c>
      <c r="E18" s="86" t="s">
        <v>854</v>
      </c>
      <c r="F18" s="86">
        <v>140</v>
      </c>
      <c r="G18" s="86">
        <v>183</v>
      </c>
      <c r="H18" s="87">
        <f>183-140</f>
        <v>43</v>
      </c>
      <c r="I18" s="86">
        <v>100</v>
      </c>
      <c r="J18" s="21">
        <f t="shared" si="0"/>
        <v>4300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85">
        <v>45119</v>
      </c>
      <c r="D19" s="86" t="s">
        <v>18</v>
      </c>
      <c r="E19" s="86" t="s">
        <v>873</v>
      </c>
      <c r="F19" s="86">
        <v>140</v>
      </c>
      <c r="G19" s="86">
        <v>230</v>
      </c>
      <c r="H19" s="87">
        <f>230-140</f>
        <v>90</v>
      </c>
      <c r="I19" s="86">
        <v>100</v>
      </c>
      <c r="J19" s="21">
        <f t="shared" si="0"/>
        <v>9000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85">
        <v>45120</v>
      </c>
      <c r="D20" s="86" t="s">
        <v>18</v>
      </c>
      <c r="E20" s="86" t="s">
        <v>854</v>
      </c>
      <c r="F20" s="86">
        <v>120</v>
      </c>
      <c r="G20" s="86">
        <v>210</v>
      </c>
      <c r="H20" s="87">
        <f>210-120</f>
        <v>90</v>
      </c>
      <c r="I20" s="86">
        <v>100</v>
      </c>
      <c r="J20" s="21">
        <f t="shared" si="0"/>
        <v>9000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85">
        <v>45120</v>
      </c>
      <c r="D21" s="86" t="s">
        <v>18</v>
      </c>
      <c r="E21" s="86" t="s">
        <v>854</v>
      </c>
      <c r="F21" s="86">
        <v>140</v>
      </c>
      <c r="G21" s="86">
        <v>174</v>
      </c>
      <c r="H21" s="87">
        <f>174-140</f>
        <v>34</v>
      </c>
      <c r="I21" s="86">
        <v>100</v>
      </c>
      <c r="J21" s="21">
        <f t="shared" si="0"/>
        <v>3400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45121</v>
      </c>
      <c r="D22" s="19" t="s">
        <v>18</v>
      </c>
      <c r="E22" s="19" t="s">
        <v>876</v>
      </c>
      <c r="F22" s="35">
        <v>150</v>
      </c>
      <c r="G22" s="35">
        <v>230</v>
      </c>
      <c r="H22" s="35">
        <f>230-150</f>
        <v>80</v>
      </c>
      <c r="I22" s="86">
        <v>100</v>
      </c>
      <c r="J22" s="21">
        <f t="shared" si="0"/>
        <v>8000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45121</v>
      </c>
      <c r="D23" s="19" t="s">
        <v>18</v>
      </c>
      <c r="E23" s="19" t="s">
        <v>847</v>
      </c>
      <c r="F23" s="35">
        <v>150</v>
      </c>
      <c r="G23" s="35">
        <v>168</v>
      </c>
      <c r="H23" s="35">
        <f>168-150</f>
        <v>18</v>
      </c>
      <c r="I23" s="86">
        <v>100</v>
      </c>
      <c r="J23" s="21">
        <f t="shared" si="0"/>
        <v>1800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45124</v>
      </c>
      <c r="D24" s="19" t="s">
        <v>18</v>
      </c>
      <c r="E24" s="19" t="s">
        <v>876</v>
      </c>
      <c r="F24" s="35">
        <v>150</v>
      </c>
      <c r="G24" s="35">
        <v>179</v>
      </c>
      <c r="H24" s="35">
        <v>29</v>
      </c>
      <c r="I24" s="20">
        <v>100</v>
      </c>
      <c r="J24" s="21">
        <f t="shared" si="0"/>
        <v>2900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45124</v>
      </c>
      <c r="D25" s="19" t="s">
        <v>18</v>
      </c>
      <c r="E25" s="19" t="s">
        <v>880</v>
      </c>
      <c r="F25" s="35">
        <v>140</v>
      </c>
      <c r="G25" s="35">
        <v>240</v>
      </c>
      <c r="H25" s="35">
        <v>100</v>
      </c>
      <c r="I25" s="20">
        <v>100</v>
      </c>
      <c r="J25" s="21">
        <f t="shared" si="0"/>
        <v>10000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45125</v>
      </c>
      <c r="D26" s="19" t="s">
        <v>18</v>
      </c>
      <c r="E26" s="19" t="s">
        <v>882</v>
      </c>
      <c r="F26" s="35">
        <v>130</v>
      </c>
      <c r="G26" s="35">
        <v>145</v>
      </c>
      <c r="H26" s="35">
        <v>15</v>
      </c>
      <c r="I26" s="20">
        <v>100</v>
      </c>
      <c r="J26" s="21">
        <f t="shared" si="0"/>
        <v>1500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45125</v>
      </c>
      <c r="D27" s="19" t="s">
        <v>18</v>
      </c>
      <c r="E27" s="19" t="s">
        <v>883</v>
      </c>
      <c r="F27" s="35">
        <v>140</v>
      </c>
      <c r="G27" s="35">
        <v>190</v>
      </c>
      <c r="H27" s="19">
        <v>50</v>
      </c>
      <c r="I27" s="20">
        <v>100</v>
      </c>
      <c r="J27" s="21">
        <f t="shared" si="0"/>
        <v>5000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45126</v>
      </c>
      <c r="D28" s="19" t="s">
        <v>18</v>
      </c>
      <c r="E28" s="19" t="s">
        <v>884</v>
      </c>
      <c r="F28" s="35">
        <v>140</v>
      </c>
      <c r="G28" s="35">
        <v>169</v>
      </c>
      <c r="H28" s="19">
        <f>169-140</f>
        <v>29</v>
      </c>
      <c r="I28" s="20">
        <v>100</v>
      </c>
      <c r="J28" s="21">
        <f t="shared" si="0"/>
        <v>2900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45126</v>
      </c>
      <c r="D29" s="19" t="s">
        <v>18</v>
      </c>
      <c r="E29" s="19" t="s">
        <v>885</v>
      </c>
      <c r="F29" s="20">
        <v>160</v>
      </c>
      <c r="G29" s="20">
        <v>210</v>
      </c>
      <c r="H29" s="19">
        <f>210-160</f>
        <v>50</v>
      </c>
      <c r="I29" s="20">
        <v>100</v>
      </c>
      <c r="J29" s="21">
        <f t="shared" si="0"/>
        <v>5000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45127</v>
      </c>
      <c r="D30" s="25" t="s">
        <v>18</v>
      </c>
      <c r="E30" s="25" t="s">
        <v>884</v>
      </c>
      <c r="F30" s="26">
        <v>120</v>
      </c>
      <c r="G30" s="61">
        <v>193</v>
      </c>
      <c r="H30" s="61">
        <f>193-120</f>
        <v>73</v>
      </c>
      <c r="I30" s="26">
        <v>100</v>
      </c>
      <c r="J30" s="21">
        <f t="shared" si="0"/>
        <v>7300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45127</v>
      </c>
      <c r="D31" s="25" t="s">
        <v>18</v>
      </c>
      <c r="E31" s="25" t="s">
        <v>884</v>
      </c>
      <c r="F31" s="26">
        <v>160</v>
      </c>
      <c r="G31" s="61">
        <v>260</v>
      </c>
      <c r="H31" s="61">
        <v>100</v>
      </c>
      <c r="I31" s="26">
        <v>100</v>
      </c>
      <c r="J31" s="21">
        <f t="shared" si="0"/>
        <v>10000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45128</v>
      </c>
      <c r="D32" s="25" t="s">
        <v>18</v>
      </c>
      <c r="E32" s="25" t="s">
        <v>889</v>
      </c>
      <c r="F32" s="26">
        <v>140</v>
      </c>
      <c r="G32" s="61">
        <v>170</v>
      </c>
      <c r="H32" s="61">
        <v>30</v>
      </c>
      <c r="I32" s="26">
        <v>60</v>
      </c>
      <c r="J32" s="21">
        <f t="shared" si="0"/>
        <v>1800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45131</v>
      </c>
      <c r="D33" s="25" t="s">
        <v>18</v>
      </c>
      <c r="E33" s="25" t="s">
        <v>891</v>
      </c>
      <c r="F33" s="26">
        <v>140</v>
      </c>
      <c r="G33" s="61">
        <v>204</v>
      </c>
      <c r="H33" s="61">
        <f>204-140</f>
        <v>64</v>
      </c>
      <c r="I33" s="26">
        <v>60</v>
      </c>
      <c r="J33" s="21">
        <f t="shared" si="0"/>
        <v>3840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45131</v>
      </c>
      <c r="D34" s="25" t="s">
        <v>18</v>
      </c>
      <c r="E34" s="25" t="s">
        <v>892</v>
      </c>
      <c r="F34" s="26">
        <v>140</v>
      </c>
      <c r="G34" s="61">
        <v>120</v>
      </c>
      <c r="H34" s="61">
        <v>-20</v>
      </c>
      <c r="I34" s="26">
        <v>60</v>
      </c>
      <c r="J34" s="21">
        <f t="shared" si="0"/>
        <v>-1200</v>
      </c>
      <c r="K34" s="7"/>
      <c r="V34" s="5">
        <f t="shared" si="2"/>
        <v>0</v>
      </c>
      <c r="W34" s="5">
        <f t="shared" si="3"/>
        <v>1</v>
      </c>
    </row>
    <row r="35" spans="1:23" x14ac:dyDescent="0.3">
      <c r="A35" s="6"/>
      <c r="B35" s="17">
        <v>30</v>
      </c>
      <c r="C35" s="24">
        <v>45132</v>
      </c>
      <c r="D35" s="25" t="s">
        <v>18</v>
      </c>
      <c r="E35" s="25" t="s">
        <v>893</v>
      </c>
      <c r="F35" s="26">
        <v>150</v>
      </c>
      <c r="G35" s="61">
        <v>276</v>
      </c>
      <c r="H35" s="61">
        <f>276-150</f>
        <v>126</v>
      </c>
      <c r="I35" s="26">
        <v>60</v>
      </c>
      <c r="J35" s="21">
        <f t="shared" si="0"/>
        <v>7560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45132</v>
      </c>
      <c r="D36" s="25" t="s">
        <v>18</v>
      </c>
      <c r="E36" s="25" t="s">
        <v>892</v>
      </c>
      <c r="F36" s="26">
        <v>130</v>
      </c>
      <c r="G36" s="61">
        <v>204</v>
      </c>
      <c r="H36" s="61">
        <f>204-130</f>
        <v>74</v>
      </c>
      <c r="I36" s="26">
        <v>60</v>
      </c>
      <c r="J36" s="21">
        <f t="shared" si="0"/>
        <v>4440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45133</v>
      </c>
      <c r="D37" s="25" t="s">
        <v>18</v>
      </c>
      <c r="E37" s="25" t="s">
        <v>893</v>
      </c>
      <c r="F37" s="26">
        <v>140</v>
      </c>
      <c r="G37" s="61">
        <v>160</v>
      </c>
      <c r="H37" s="61">
        <v>20</v>
      </c>
      <c r="I37" s="26">
        <v>60</v>
      </c>
      <c r="J37" s="21">
        <f t="shared" si="0"/>
        <v>1200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45134</v>
      </c>
      <c r="D38" s="25" t="s">
        <v>18</v>
      </c>
      <c r="E38" s="25" t="s">
        <v>895</v>
      </c>
      <c r="F38" s="26">
        <v>150</v>
      </c>
      <c r="G38" s="61">
        <v>100</v>
      </c>
      <c r="H38" s="61">
        <v>-50</v>
      </c>
      <c r="I38" s="26">
        <v>60</v>
      </c>
      <c r="J38" s="21">
        <f t="shared" si="0"/>
        <v>-3000</v>
      </c>
      <c r="K38" s="7"/>
      <c r="V38" s="5">
        <f t="shared" si="2"/>
        <v>0</v>
      </c>
      <c r="W38" s="5">
        <f t="shared" si="3"/>
        <v>1</v>
      </c>
    </row>
    <row r="39" spans="1:23" x14ac:dyDescent="0.3">
      <c r="A39" s="6"/>
      <c r="B39" s="17">
        <v>34</v>
      </c>
      <c r="C39" s="24">
        <v>45134</v>
      </c>
      <c r="D39" s="25" t="s">
        <v>18</v>
      </c>
      <c r="E39" s="25" t="s">
        <v>893</v>
      </c>
      <c r="F39" s="26">
        <v>130</v>
      </c>
      <c r="G39" s="61">
        <v>150</v>
      </c>
      <c r="H39" s="61">
        <v>20</v>
      </c>
      <c r="I39" s="26">
        <v>60</v>
      </c>
      <c r="J39" s="21">
        <f t="shared" si="0"/>
        <v>1200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45135</v>
      </c>
      <c r="D40" s="25" t="s">
        <v>18</v>
      </c>
      <c r="E40" s="25" t="s">
        <v>896</v>
      </c>
      <c r="F40" s="26">
        <v>130</v>
      </c>
      <c r="G40" s="61">
        <v>149</v>
      </c>
      <c r="H40" s="61">
        <v>19</v>
      </c>
      <c r="I40" s="26">
        <v>60</v>
      </c>
      <c r="J40" s="21">
        <f t="shared" si="0"/>
        <v>1140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18">
        <v>45138</v>
      </c>
      <c r="D41" s="19" t="s">
        <v>18</v>
      </c>
      <c r="E41" s="19" t="s">
        <v>883</v>
      </c>
      <c r="F41" s="35">
        <v>130</v>
      </c>
      <c r="G41" s="35">
        <v>110</v>
      </c>
      <c r="H41" s="35">
        <v>-20</v>
      </c>
      <c r="I41" s="26">
        <v>60</v>
      </c>
      <c r="J41" s="21">
        <f t="shared" si="0"/>
        <v>-1200</v>
      </c>
      <c r="K41" s="7"/>
      <c r="V41" s="5">
        <f t="shared" si="2"/>
        <v>0</v>
      </c>
      <c r="W41" s="5">
        <f t="shared" si="3"/>
        <v>1</v>
      </c>
    </row>
    <row r="42" spans="1:23" x14ac:dyDescent="0.3">
      <c r="A42" s="6"/>
      <c r="B42" s="17">
        <v>37</v>
      </c>
      <c r="C42" s="18">
        <v>45138</v>
      </c>
      <c r="D42" s="19" t="s">
        <v>18</v>
      </c>
      <c r="E42" s="19" t="s">
        <v>899</v>
      </c>
      <c r="F42" s="35">
        <v>120</v>
      </c>
      <c r="G42" s="35">
        <v>140</v>
      </c>
      <c r="H42" s="35">
        <v>20</v>
      </c>
      <c r="I42" s="26">
        <v>60</v>
      </c>
      <c r="J42" s="21">
        <f t="shared" si="0"/>
        <v>1200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17">
        <v>38</v>
      </c>
      <c r="C43" s="24"/>
      <c r="D43" s="25"/>
      <c r="E43" s="25"/>
      <c r="F43" s="26"/>
      <c r="G43" s="61"/>
      <c r="H43" s="61"/>
      <c r="I43" s="26"/>
      <c r="J43" s="21">
        <f t="shared" si="0"/>
        <v>0</v>
      </c>
      <c r="K43" s="7"/>
      <c r="V43" s="5">
        <f t="shared" si="2"/>
        <v>0</v>
      </c>
      <c r="W43" s="5">
        <f t="shared" si="3"/>
        <v>0</v>
      </c>
    </row>
    <row r="44" spans="1:23" x14ac:dyDescent="0.3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x14ac:dyDescent="0.3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x14ac:dyDescent="0.3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x14ac:dyDescent="0.3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x14ac:dyDescent="0.3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132780</v>
      </c>
      <c r="K59" s="7"/>
      <c r="V59" s="5">
        <f>SUM(V6:V58)</f>
        <v>31</v>
      </c>
      <c r="W59" s="5">
        <f>SUM(W6:W58)</f>
        <v>6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859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45112</v>
      </c>
      <c r="D67" s="67" t="s">
        <v>18</v>
      </c>
      <c r="E67" s="67" t="s">
        <v>110</v>
      </c>
      <c r="F67" s="68">
        <v>2610</v>
      </c>
      <c r="G67" s="68">
        <v>2635</v>
      </c>
      <c r="H67" s="97">
        <f>2635-2610</f>
        <v>25</v>
      </c>
      <c r="I67" s="68">
        <v>250</v>
      </c>
      <c r="J67" s="92">
        <f>H67*I67</f>
        <v>6250</v>
      </c>
      <c r="K67" s="7"/>
      <c r="V67" s="5">
        <f t="shared" ref="V67:V120" si="5">IF($J67&gt;0,1,0)</f>
        <v>1</v>
      </c>
      <c r="W67" s="5">
        <f t="shared" ref="W67:W120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45114</v>
      </c>
      <c r="D68" s="67" t="s">
        <v>69</v>
      </c>
      <c r="E68" s="67" t="s">
        <v>602</v>
      </c>
      <c r="F68" s="97">
        <v>473</v>
      </c>
      <c r="G68" s="97">
        <v>473</v>
      </c>
      <c r="H68" s="97">
        <v>0</v>
      </c>
      <c r="I68" s="20">
        <v>1000</v>
      </c>
      <c r="J68" s="21">
        <f>H68*I68</f>
        <v>0</v>
      </c>
      <c r="K68" s="7"/>
      <c r="L68" s="36" t="s">
        <v>21</v>
      </c>
      <c r="V68" s="5">
        <f t="shared" si="5"/>
        <v>0</v>
      </c>
      <c r="W68" s="5">
        <f t="shared" si="6"/>
        <v>0</v>
      </c>
    </row>
    <row r="69" spans="1:23" s="36" customFormat="1" x14ac:dyDescent="0.3">
      <c r="A69" s="6"/>
      <c r="B69" s="17">
        <f t="shared" ref="B69:B120" si="7">B68+1</f>
        <v>3</v>
      </c>
      <c r="C69" s="18">
        <v>45120</v>
      </c>
      <c r="D69" s="19" t="s">
        <v>18</v>
      </c>
      <c r="E69" s="19" t="s">
        <v>70</v>
      </c>
      <c r="F69" s="35">
        <v>963</v>
      </c>
      <c r="G69" s="97">
        <v>966</v>
      </c>
      <c r="H69" s="35">
        <v>6</v>
      </c>
      <c r="I69" s="20">
        <v>625</v>
      </c>
      <c r="J69" s="21">
        <f>H69*I69</f>
        <v>3750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45127</v>
      </c>
      <c r="D70" s="19" t="s">
        <v>18</v>
      </c>
      <c r="E70" s="19" t="s">
        <v>376</v>
      </c>
      <c r="F70" s="35">
        <v>1930</v>
      </c>
      <c r="G70" s="97">
        <v>1961</v>
      </c>
      <c r="H70" s="35">
        <v>31</v>
      </c>
      <c r="I70" s="20">
        <v>400</v>
      </c>
      <c r="J70" s="21">
        <f>H70*I70</f>
        <v>12400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45128</v>
      </c>
      <c r="D71" s="19" t="s">
        <v>69</v>
      </c>
      <c r="E71" s="19" t="s">
        <v>75</v>
      </c>
      <c r="F71" s="35">
        <v>994</v>
      </c>
      <c r="G71" s="97">
        <v>991.8</v>
      </c>
      <c r="H71" s="35">
        <f>994-991.8</f>
        <v>2.2000000000000455</v>
      </c>
      <c r="I71" s="20">
        <v>700</v>
      </c>
      <c r="J71" s="21">
        <f>H71*I71</f>
        <v>1540.0000000000318</v>
      </c>
      <c r="K71" s="7"/>
      <c r="V71" s="5">
        <f t="shared" si="5"/>
        <v>1</v>
      </c>
      <c r="W71" s="5">
        <f t="shared" si="6"/>
        <v>0</v>
      </c>
    </row>
    <row r="72" spans="1:23" s="36" customFormat="1" x14ac:dyDescent="0.3">
      <c r="A72" s="6"/>
      <c r="B72" s="17">
        <f t="shared" si="7"/>
        <v>6</v>
      </c>
      <c r="C72" s="18"/>
      <c r="D72" s="19"/>
      <c r="E72" s="19"/>
      <c r="F72" s="20"/>
      <c r="G72" s="97"/>
      <c r="H72" s="35"/>
      <c r="I72" s="20"/>
      <c r="J72" s="21">
        <f t="shared" ref="J72:J120" si="8">I72*H72</f>
        <v>0</v>
      </c>
      <c r="K72" s="7"/>
      <c r="V72" s="5">
        <f t="shared" si="5"/>
        <v>0</v>
      </c>
      <c r="W72" s="5">
        <f t="shared" si="6"/>
        <v>0</v>
      </c>
    </row>
    <row r="73" spans="1:23" s="36" customFormat="1" x14ac:dyDescent="0.3">
      <c r="A73" s="6"/>
      <c r="B73" s="17">
        <f t="shared" si="7"/>
        <v>7</v>
      </c>
      <c r="C73" s="18"/>
      <c r="D73" s="19"/>
      <c r="E73" s="19"/>
      <c r="F73" s="35"/>
      <c r="G73" s="97"/>
      <c r="H73" s="35"/>
      <c r="I73" s="20"/>
      <c r="J73" s="21">
        <f t="shared" si="8"/>
        <v>0</v>
      </c>
      <c r="K73" s="7"/>
      <c r="V73" s="5">
        <f t="shared" si="5"/>
        <v>0</v>
      </c>
      <c r="W73" s="5">
        <f t="shared" si="6"/>
        <v>0</v>
      </c>
    </row>
    <row r="74" spans="1:23" s="36" customFormat="1" x14ac:dyDescent="0.3">
      <c r="A74" s="6"/>
      <c r="B74" s="17">
        <f t="shared" si="7"/>
        <v>8</v>
      </c>
      <c r="C74" s="18"/>
      <c r="D74" s="19"/>
      <c r="E74" s="19"/>
      <c r="F74" s="35"/>
      <c r="G74" s="97"/>
      <c r="H74" s="35"/>
      <c r="I74" s="20"/>
      <c r="J74" s="21">
        <f t="shared" si="8"/>
        <v>0</v>
      </c>
      <c r="K74" s="7"/>
      <c r="V74" s="5">
        <f t="shared" si="5"/>
        <v>0</v>
      </c>
      <c r="W74" s="5">
        <f t="shared" si="6"/>
        <v>0</v>
      </c>
    </row>
    <row r="75" spans="1:23" s="36" customFormat="1" x14ac:dyDescent="0.3">
      <c r="A75" s="6"/>
      <c r="B75" s="17">
        <f t="shared" si="7"/>
        <v>9</v>
      </c>
      <c r="C75" s="18"/>
      <c r="D75" s="19"/>
      <c r="E75" s="19"/>
      <c r="F75" s="35"/>
      <c r="G75" s="97"/>
      <c r="H75" s="35"/>
      <c r="I75" s="20"/>
      <c r="J75" s="21">
        <f t="shared" si="8"/>
        <v>0</v>
      </c>
      <c r="K75" s="7"/>
      <c r="V75" s="5">
        <f t="shared" si="5"/>
        <v>0</v>
      </c>
      <c r="W75" s="5">
        <f t="shared" si="6"/>
        <v>0</v>
      </c>
    </row>
    <row r="76" spans="1:23" s="36" customFormat="1" x14ac:dyDescent="0.3">
      <c r="A76" s="6"/>
      <c r="B76" s="17">
        <f t="shared" si="7"/>
        <v>10</v>
      </c>
      <c r="C76" s="18"/>
      <c r="D76" s="19"/>
      <c r="E76" s="19"/>
      <c r="F76" s="35"/>
      <c r="G76" s="97"/>
      <c r="H76" s="35"/>
      <c r="I76" s="20"/>
      <c r="J76" s="21">
        <f t="shared" si="8"/>
        <v>0</v>
      </c>
      <c r="K76" s="7"/>
      <c r="V76" s="5">
        <f t="shared" si="5"/>
        <v>0</v>
      </c>
      <c r="W76" s="5">
        <f t="shared" si="6"/>
        <v>0</v>
      </c>
    </row>
    <row r="77" spans="1:23" s="36" customFormat="1" x14ac:dyDescent="0.3">
      <c r="A77" s="6"/>
      <c r="B77" s="17">
        <f t="shared" si="7"/>
        <v>11</v>
      </c>
      <c r="C77" s="18"/>
      <c r="D77" s="19"/>
      <c r="E77" s="19"/>
      <c r="F77" s="19"/>
      <c r="G77" s="97"/>
      <c r="H77" s="35"/>
      <c r="I77" s="20"/>
      <c r="J77" s="21">
        <f t="shared" si="8"/>
        <v>0</v>
      </c>
      <c r="K77" s="7"/>
      <c r="V77" s="5">
        <f t="shared" si="5"/>
        <v>0</v>
      </c>
      <c r="W77" s="5">
        <f t="shared" si="6"/>
        <v>0</v>
      </c>
    </row>
    <row r="78" spans="1:23" s="36" customFormat="1" x14ac:dyDescent="0.3">
      <c r="A78" s="6"/>
      <c r="B78" s="17">
        <f t="shared" si="7"/>
        <v>12</v>
      </c>
      <c r="C78" s="18"/>
      <c r="D78" s="19"/>
      <c r="E78" s="19"/>
      <c r="F78" s="35"/>
      <c r="G78" s="97"/>
      <c r="H78" s="35"/>
      <c r="I78" s="20"/>
      <c r="J78" s="21">
        <f t="shared" si="8"/>
        <v>0</v>
      </c>
      <c r="K78" s="7"/>
      <c r="V78" s="5">
        <f t="shared" si="5"/>
        <v>0</v>
      </c>
      <c r="W78" s="5">
        <f t="shared" si="6"/>
        <v>0</v>
      </c>
    </row>
    <row r="79" spans="1:23" s="36" customFormat="1" x14ac:dyDescent="0.3">
      <c r="A79" s="6"/>
      <c r="B79" s="17">
        <f t="shared" si="7"/>
        <v>13</v>
      </c>
      <c r="C79" s="18"/>
      <c r="D79" s="19"/>
      <c r="E79" s="19"/>
      <c r="F79" s="77"/>
      <c r="G79" s="97"/>
      <c r="H79" s="78"/>
      <c r="I79" s="20"/>
      <c r="J79" s="21">
        <f t="shared" si="8"/>
        <v>0</v>
      </c>
      <c r="K79" s="7"/>
      <c r="V79" s="5">
        <f t="shared" si="5"/>
        <v>0</v>
      </c>
      <c r="W79" s="5">
        <f t="shared" si="6"/>
        <v>0</v>
      </c>
    </row>
    <row r="80" spans="1:23" s="36" customFormat="1" x14ac:dyDescent="0.3">
      <c r="A80" s="6"/>
      <c r="B80" s="17">
        <f t="shared" si="7"/>
        <v>14</v>
      </c>
      <c r="C80" s="18"/>
      <c r="D80" s="19"/>
      <c r="E80" s="19"/>
      <c r="F80" s="35"/>
      <c r="G80" s="97"/>
      <c r="H80" s="78"/>
      <c r="I80" s="20"/>
      <c r="J80" s="21">
        <f t="shared" si="8"/>
        <v>0</v>
      </c>
      <c r="K80" s="7"/>
      <c r="V80" s="5">
        <f t="shared" si="5"/>
        <v>0</v>
      </c>
      <c r="W80" s="5">
        <f t="shared" si="6"/>
        <v>0</v>
      </c>
    </row>
    <row r="81" spans="1:23" s="36" customFormat="1" x14ac:dyDescent="0.3">
      <c r="A81" s="6"/>
      <c r="B81" s="17">
        <f t="shared" si="7"/>
        <v>15</v>
      </c>
      <c r="C81" s="18"/>
      <c r="D81" s="19"/>
      <c r="E81" s="19"/>
      <c r="F81" s="35"/>
      <c r="G81" s="97"/>
      <c r="H81" s="78"/>
      <c r="I81" s="20"/>
      <c r="J81" s="21">
        <f t="shared" si="8"/>
        <v>0</v>
      </c>
      <c r="K81" s="7"/>
      <c r="V81" s="5">
        <f t="shared" si="5"/>
        <v>0</v>
      </c>
      <c r="W81" s="5">
        <f t="shared" si="6"/>
        <v>0</v>
      </c>
    </row>
    <row r="82" spans="1:23" s="36" customFormat="1" x14ac:dyDescent="0.3">
      <c r="A82" s="6"/>
      <c r="B82" s="17">
        <f t="shared" si="7"/>
        <v>16</v>
      </c>
      <c r="C82" s="18"/>
      <c r="D82" s="19"/>
      <c r="E82" s="19"/>
      <c r="F82" s="35"/>
      <c r="G82" s="97"/>
      <c r="H82" s="35"/>
      <c r="I82" s="20"/>
      <c r="J82" s="21">
        <f t="shared" si="8"/>
        <v>0</v>
      </c>
      <c r="K82" s="7"/>
      <c r="V82" s="5">
        <f t="shared" si="5"/>
        <v>0</v>
      </c>
      <c r="W82" s="5">
        <f t="shared" si="6"/>
        <v>0</v>
      </c>
    </row>
    <row r="83" spans="1:23" s="36" customFormat="1" x14ac:dyDescent="0.3">
      <c r="A83" s="6"/>
      <c r="B83" s="17">
        <f t="shared" si="7"/>
        <v>17</v>
      </c>
      <c r="C83" s="18"/>
      <c r="D83" s="19"/>
      <c r="E83" s="19"/>
      <c r="F83" s="35"/>
      <c r="G83" s="97"/>
      <c r="H83" s="35"/>
      <c r="I83" s="20"/>
      <c r="J83" s="21">
        <f t="shared" si="8"/>
        <v>0</v>
      </c>
      <c r="K83" s="7"/>
      <c r="V83" s="5">
        <f t="shared" si="5"/>
        <v>0</v>
      </c>
      <c r="W83" s="5">
        <f t="shared" si="6"/>
        <v>0</v>
      </c>
    </row>
    <row r="84" spans="1:23" s="36" customFormat="1" x14ac:dyDescent="0.3">
      <c r="A84" s="6"/>
      <c r="B84" s="17">
        <f t="shared" si="7"/>
        <v>18</v>
      </c>
      <c r="C84" s="18"/>
      <c r="D84" s="19"/>
      <c r="E84" s="19"/>
      <c r="F84" s="35"/>
      <c r="G84" s="97"/>
      <c r="H84" s="35"/>
      <c r="I84" s="20"/>
      <c r="J84" s="21">
        <f t="shared" si="8"/>
        <v>0</v>
      </c>
      <c r="K84" s="7"/>
      <c r="V84" s="5">
        <f t="shared" si="5"/>
        <v>0</v>
      </c>
      <c r="W84" s="5">
        <f t="shared" si="6"/>
        <v>0</v>
      </c>
    </row>
    <row r="85" spans="1:23" s="36" customFormat="1" x14ac:dyDescent="0.3">
      <c r="A85" s="6"/>
      <c r="B85" s="17">
        <f t="shared" si="7"/>
        <v>19</v>
      </c>
      <c r="C85" s="18"/>
      <c r="D85" s="19"/>
      <c r="E85" s="19"/>
      <c r="F85" s="35"/>
      <c r="G85" s="97"/>
      <c r="H85" s="35"/>
      <c r="I85" s="20"/>
      <c r="J85" s="21">
        <f t="shared" si="8"/>
        <v>0</v>
      </c>
      <c r="K85" s="7"/>
      <c r="V85" s="5">
        <f t="shared" si="5"/>
        <v>0</v>
      </c>
      <c r="W85" s="5">
        <f t="shared" si="6"/>
        <v>0</v>
      </c>
    </row>
    <row r="86" spans="1:23" s="36" customFormat="1" x14ac:dyDescent="0.3">
      <c r="A86" s="6"/>
      <c r="B86" s="17">
        <f t="shared" si="7"/>
        <v>20</v>
      </c>
      <c r="C86" s="18"/>
      <c r="D86" s="19"/>
      <c r="E86" s="19"/>
      <c r="F86" s="35"/>
      <c r="G86" s="97"/>
      <c r="H86" s="35"/>
      <c r="I86" s="20"/>
      <c r="J86" s="21">
        <f t="shared" si="8"/>
        <v>0</v>
      </c>
      <c r="K86" s="7"/>
      <c r="V86" s="5">
        <f t="shared" si="5"/>
        <v>0</v>
      </c>
      <c r="W86" s="5">
        <f t="shared" si="6"/>
        <v>0</v>
      </c>
    </row>
    <row r="87" spans="1:23" s="36" customFormat="1" x14ac:dyDescent="0.3">
      <c r="A87" s="6"/>
      <c r="B87" s="17">
        <f t="shared" si="7"/>
        <v>21</v>
      </c>
      <c r="C87" s="18"/>
      <c r="D87" s="19"/>
      <c r="E87" s="19"/>
      <c r="F87" s="35"/>
      <c r="G87" s="97"/>
      <c r="H87" s="35"/>
      <c r="I87" s="20"/>
      <c r="J87" s="21">
        <f t="shared" si="8"/>
        <v>0</v>
      </c>
      <c r="K87" s="7"/>
      <c r="V87" s="5">
        <f t="shared" si="5"/>
        <v>0</v>
      </c>
      <c r="W87" s="5">
        <f t="shared" si="6"/>
        <v>0</v>
      </c>
    </row>
    <row r="88" spans="1:23" s="36" customFormat="1" x14ac:dyDescent="0.3">
      <c r="A88" s="6"/>
      <c r="B88" s="17">
        <f t="shared" si="7"/>
        <v>22</v>
      </c>
      <c r="C88" s="18"/>
      <c r="D88" s="19"/>
      <c r="E88" s="19"/>
      <c r="F88" s="77"/>
      <c r="G88" s="97"/>
      <c r="H88" s="78"/>
      <c r="I88" s="20"/>
      <c r="J88" s="21">
        <f t="shared" si="8"/>
        <v>0</v>
      </c>
      <c r="K88" s="7"/>
      <c r="V88" s="5">
        <f t="shared" si="5"/>
        <v>0</v>
      </c>
      <c r="W88" s="5">
        <f t="shared" si="6"/>
        <v>0</v>
      </c>
    </row>
    <row r="89" spans="1:23" s="36" customFormat="1" x14ac:dyDescent="0.3">
      <c r="A89" s="6"/>
      <c r="B89" s="17">
        <f t="shared" si="7"/>
        <v>23</v>
      </c>
      <c r="C89" s="18"/>
      <c r="D89" s="19"/>
      <c r="E89" s="19"/>
      <c r="F89" s="35"/>
      <c r="G89" s="97"/>
      <c r="H89" s="78"/>
      <c r="I89" s="20"/>
      <c r="J89" s="21">
        <f t="shared" si="8"/>
        <v>0</v>
      </c>
      <c r="K89" s="7"/>
      <c r="V89" s="5">
        <f t="shared" si="5"/>
        <v>0</v>
      </c>
      <c r="W89" s="5">
        <f t="shared" si="6"/>
        <v>0</v>
      </c>
    </row>
    <row r="90" spans="1:23" s="36" customFormat="1" x14ac:dyDescent="0.3">
      <c r="A90" s="6"/>
      <c r="B90" s="17">
        <f t="shared" si="7"/>
        <v>24</v>
      </c>
      <c r="C90" s="18"/>
      <c r="D90" s="19"/>
      <c r="E90" s="19"/>
      <c r="F90" s="35"/>
      <c r="G90" s="97"/>
      <c r="H90" s="78"/>
      <c r="I90" s="20"/>
      <c r="J90" s="21">
        <f t="shared" si="8"/>
        <v>0</v>
      </c>
      <c r="K90" s="7"/>
      <c r="V90" s="5">
        <f t="shared" si="5"/>
        <v>0</v>
      </c>
      <c r="W90" s="5">
        <f t="shared" si="6"/>
        <v>0</v>
      </c>
    </row>
    <row r="91" spans="1:23" s="36" customFormat="1" x14ac:dyDescent="0.3">
      <c r="A91" s="6"/>
      <c r="B91" s="17">
        <f t="shared" si="7"/>
        <v>25</v>
      </c>
      <c r="C91" s="18"/>
      <c r="D91" s="19"/>
      <c r="E91" s="19"/>
      <c r="F91" s="35"/>
      <c r="G91" s="97"/>
      <c r="H91" s="35"/>
      <c r="I91" s="20"/>
      <c r="J91" s="21">
        <f t="shared" si="8"/>
        <v>0</v>
      </c>
      <c r="K91" s="7"/>
      <c r="V91" s="5">
        <f t="shared" si="5"/>
        <v>0</v>
      </c>
      <c r="W91" s="5">
        <f t="shared" si="6"/>
        <v>0</v>
      </c>
    </row>
    <row r="92" spans="1:23" s="36" customFormat="1" x14ac:dyDescent="0.3">
      <c r="A92" s="6"/>
      <c r="B92" s="17">
        <f t="shared" si="7"/>
        <v>26</v>
      </c>
      <c r="C92" s="18"/>
      <c r="D92" s="19"/>
      <c r="E92" s="19"/>
      <c r="F92" s="35"/>
      <c r="G92" s="97"/>
      <c r="H92" s="35"/>
      <c r="I92" s="20"/>
      <c r="J92" s="21">
        <f t="shared" si="8"/>
        <v>0</v>
      </c>
      <c r="K92" s="7"/>
      <c r="V92" s="5">
        <f t="shared" si="5"/>
        <v>0</v>
      </c>
      <c r="W92" s="5">
        <f t="shared" si="6"/>
        <v>0</v>
      </c>
    </row>
    <row r="93" spans="1:23" s="36" customFormat="1" x14ac:dyDescent="0.3">
      <c r="A93" s="6"/>
      <c r="B93" s="17">
        <f t="shared" si="7"/>
        <v>27</v>
      </c>
      <c r="C93" s="18"/>
      <c r="D93" s="19"/>
      <c r="E93" s="19"/>
      <c r="F93" s="35"/>
      <c r="G93" s="97"/>
      <c r="H93" s="35"/>
      <c r="I93" s="20"/>
      <c r="J93" s="21">
        <f t="shared" si="8"/>
        <v>0</v>
      </c>
      <c r="K93" s="7"/>
      <c r="V93" s="5">
        <f t="shared" si="5"/>
        <v>0</v>
      </c>
      <c r="W93" s="5">
        <f t="shared" si="6"/>
        <v>0</v>
      </c>
    </row>
    <row r="94" spans="1:23" s="36" customFormat="1" x14ac:dyDescent="0.3">
      <c r="A94" s="6"/>
      <c r="B94" s="17">
        <f t="shared" si="7"/>
        <v>28</v>
      </c>
      <c r="C94" s="18"/>
      <c r="D94" s="19"/>
      <c r="E94" s="19"/>
      <c r="F94" s="35"/>
      <c r="G94" s="97"/>
      <c r="H94" s="35"/>
      <c r="I94" s="20"/>
      <c r="J94" s="21">
        <f t="shared" si="8"/>
        <v>0</v>
      </c>
      <c r="K94" s="7"/>
      <c r="V94" s="5">
        <f t="shared" si="5"/>
        <v>0</v>
      </c>
      <c r="W94" s="5">
        <f t="shared" si="6"/>
        <v>0</v>
      </c>
    </row>
    <row r="95" spans="1:23" s="36" customFormat="1" x14ac:dyDescent="0.3">
      <c r="A95" s="6"/>
      <c r="B95" s="17">
        <f t="shared" si="7"/>
        <v>29</v>
      </c>
      <c r="C95" s="18"/>
      <c r="D95" s="19"/>
      <c r="E95" s="19"/>
      <c r="F95" s="35"/>
      <c r="G95" s="97"/>
      <c r="H95" s="35"/>
      <c r="I95" s="20"/>
      <c r="J95" s="21">
        <f t="shared" si="8"/>
        <v>0</v>
      </c>
      <c r="K95" s="7"/>
      <c r="V95" s="5">
        <f t="shared" si="5"/>
        <v>0</v>
      </c>
      <c r="W95" s="5">
        <f t="shared" si="6"/>
        <v>0</v>
      </c>
    </row>
    <row r="96" spans="1:23" s="36" customFormat="1" x14ac:dyDescent="0.3">
      <c r="A96" s="6"/>
      <c r="B96" s="17">
        <f t="shared" si="7"/>
        <v>30</v>
      </c>
      <c r="C96" s="18"/>
      <c r="D96" s="19"/>
      <c r="E96" s="19"/>
      <c r="F96" s="35"/>
      <c r="G96" s="97"/>
      <c r="H96" s="35"/>
      <c r="I96" s="20"/>
      <c r="J96" s="21">
        <f t="shared" si="8"/>
        <v>0</v>
      </c>
      <c r="K96" s="7"/>
      <c r="V96" s="5">
        <f t="shared" si="5"/>
        <v>0</v>
      </c>
      <c r="W96" s="5">
        <f t="shared" si="6"/>
        <v>0</v>
      </c>
    </row>
    <row r="97" spans="1:23" s="36" customFormat="1" x14ac:dyDescent="0.3">
      <c r="A97" s="6"/>
      <c r="B97" s="17">
        <f t="shared" si="7"/>
        <v>31</v>
      </c>
      <c r="C97" s="18"/>
      <c r="D97" s="19"/>
      <c r="E97" s="19"/>
      <c r="F97" s="35"/>
      <c r="G97" s="97"/>
      <c r="H97" s="35"/>
      <c r="I97" s="20"/>
      <c r="J97" s="21">
        <f t="shared" si="8"/>
        <v>0</v>
      </c>
      <c r="K97" s="7"/>
      <c r="V97" s="5">
        <f t="shared" si="5"/>
        <v>0</v>
      </c>
      <c r="W97" s="5">
        <f t="shared" si="6"/>
        <v>0</v>
      </c>
    </row>
    <row r="98" spans="1:23" s="36" customFormat="1" x14ac:dyDescent="0.3">
      <c r="A98" s="6"/>
      <c r="B98" s="17">
        <f t="shared" si="7"/>
        <v>32</v>
      </c>
      <c r="C98" s="18"/>
      <c r="D98" s="19"/>
      <c r="E98" s="19"/>
      <c r="F98" s="35"/>
      <c r="G98" s="97"/>
      <c r="H98" s="35"/>
      <c r="I98" s="20"/>
      <c r="J98" s="21">
        <f t="shared" si="8"/>
        <v>0</v>
      </c>
      <c r="K98" s="7"/>
      <c r="V98" s="5">
        <f t="shared" si="5"/>
        <v>0</v>
      </c>
      <c r="W98" s="5">
        <f t="shared" si="6"/>
        <v>0</v>
      </c>
    </row>
    <row r="99" spans="1:23" s="36" customFormat="1" x14ac:dyDescent="0.3">
      <c r="A99" s="6"/>
      <c r="B99" s="17">
        <f t="shared" si="7"/>
        <v>33</v>
      </c>
      <c r="C99" s="18"/>
      <c r="D99" s="19"/>
      <c r="E99" s="19"/>
      <c r="F99" s="35"/>
      <c r="G99" s="97"/>
      <c r="H99" s="35"/>
      <c r="I99" s="20"/>
      <c r="J99" s="21">
        <f t="shared" si="8"/>
        <v>0</v>
      </c>
      <c r="K99" s="7"/>
      <c r="V99" s="5">
        <f t="shared" si="5"/>
        <v>0</v>
      </c>
      <c r="W99" s="5">
        <f t="shared" si="6"/>
        <v>0</v>
      </c>
    </row>
    <row r="100" spans="1:23" s="36" customFormat="1" x14ac:dyDescent="0.3">
      <c r="A100" s="6"/>
      <c r="B100" s="17">
        <f t="shared" si="7"/>
        <v>34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x14ac:dyDescent="0.3">
      <c r="A101" s="6"/>
      <c r="B101" s="17">
        <v>35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x14ac:dyDescent="0.3">
      <c r="A102" s="6"/>
      <c r="B102" s="17">
        <v>36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/>
      <c r="W102" s="5"/>
    </row>
    <row r="103" spans="1:23" s="36" customFormat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x14ac:dyDescent="0.3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x14ac:dyDescent="0.3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x14ac:dyDescent="0.3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x14ac:dyDescent="0.3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x14ac:dyDescent="0.3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x14ac:dyDescent="0.3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x14ac:dyDescent="0.3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x14ac:dyDescent="0.3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x14ac:dyDescent="0.3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x14ac:dyDescent="0.3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x14ac:dyDescent="0.3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24" thickBot="1" x14ac:dyDescent="0.5">
      <c r="A121" s="6"/>
      <c r="B121" s="144" t="s">
        <v>22</v>
      </c>
      <c r="C121" s="145"/>
      <c r="D121" s="145"/>
      <c r="E121" s="145"/>
      <c r="F121" s="145"/>
      <c r="G121" s="145"/>
      <c r="H121" s="146"/>
      <c r="I121" s="83" t="s">
        <v>23</v>
      </c>
      <c r="J121" s="84">
        <f>SUM(J67:J120)</f>
        <v>23940.000000000033</v>
      </c>
      <c r="K121" s="7"/>
      <c r="L121" s="5"/>
      <c r="M121" s="5"/>
      <c r="N121" s="5"/>
      <c r="O121" s="5"/>
      <c r="P121" s="5"/>
      <c r="Q121" s="5"/>
      <c r="R121" s="5"/>
      <c r="V121" s="36">
        <f>SUM(V67:V120)</f>
        <v>4</v>
      </c>
      <c r="W121" s="36">
        <f>SUM(W67:W120)</f>
        <v>0</v>
      </c>
    </row>
    <row r="122" spans="1:23" s="36" customFormat="1" ht="30" customHeight="1" thickBot="1" x14ac:dyDescent="0.35">
      <c r="A122" s="30"/>
      <c r="B122" s="31"/>
      <c r="C122" s="31"/>
      <c r="D122" s="31"/>
      <c r="E122" s="31"/>
      <c r="F122" s="31"/>
      <c r="G122" s="31"/>
      <c r="H122" s="32"/>
      <c r="I122" s="31"/>
      <c r="J122" s="32"/>
      <c r="K122" s="33"/>
      <c r="L122" s="5"/>
      <c r="M122" s="5"/>
      <c r="N122" s="5"/>
      <c r="O122" s="5"/>
      <c r="P122" s="5"/>
      <c r="Q122" s="5"/>
      <c r="R122" s="5"/>
    </row>
    <row r="123" spans="1:23" ht="15" thickBot="1" x14ac:dyDescent="0.35"/>
    <row r="124" spans="1:23" s="36" customFormat="1" ht="30" customHeight="1" thickBot="1" x14ac:dyDescent="0.35">
      <c r="A124" s="1"/>
      <c r="B124" s="2"/>
      <c r="C124" s="2"/>
      <c r="D124" s="2"/>
      <c r="E124" s="2"/>
      <c r="F124" s="2"/>
      <c r="G124" s="2"/>
      <c r="H124" s="3"/>
      <c r="I124" s="2"/>
      <c r="J124" s="3"/>
      <c r="K124" s="4"/>
    </row>
    <row r="125" spans="1:23" s="36" customFormat="1" ht="25.2" thickBot="1" x14ac:dyDescent="0.35">
      <c r="A125" s="6" t="s">
        <v>1</v>
      </c>
      <c r="B125" s="119" t="s">
        <v>2</v>
      </c>
      <c r="C125" s="120"/>
      <c r="D125" s="120"/>
      <c r="E125" s="120"/>
      <c r="F125" s="120"/>
      <c r="G125" s="120"/>
      <c r="H125" s="120"/>
      <c r="I125" s="120"/>
      <c r="J125" s="121"/>
      <c r="K125" s="7"/>
    </row>
    <row r="126" spans="1:23" s="36" customFormat="1" ht="16.2" thickBot="1" x14ac:dyDescent="0.35">
      <c r="A126" s="6"/>
      <c r="B126" s="216">
        <v>45108</v>
      </c>
      <c r="C126" s="169"/>
      <c r="D126" s="169"/>
      <c r="E126" s="169"/>
      <c r="F126" s="169"/>
      <c r="G126" s="169"/>
      <c r="H126" s="169"/>
      <c r="I126" s="169"/>
      <c r="J126" s="170"/>
      <c r="K126" s="7"/>
      <c r="L126" s="22"/>
    </row>
    <row r="127" spans="1:23" s="36" customFormat="1" ht="16.2" thickBot="1" x14ac:dyDescent="0.35">
      <c r="A127" s="6"/>
      <c r="B127" s="106" t="s">
        <v>699</v>
      </c>
      <c r="C127" s="107"/>
      <c r="D127" s="107"/>
      <c r="E127" s="107"/>
      <c r="F127" s="107"/>
      <c r="G127" s="107"/>
      <c r="H127" s="107"/>
      <c r="I127" s="107"/>
      <c r="J127" s="108"/>
      <c r="K127" s="7"/>
    </row>
    <row r="128" spans="1:23" s="22" customFormat="1" ht="15" thickBot="1" x14ac:dyDescent="0.35">
      <c r="A128" s="69"/>
      <c r="B128" s="70" t="s">
        <v>9</v>
      </c>
      <c r="C128" s="71" t="s">
        <v>10</v>
      </c>
      <c r="D128" s="72" t="s">
        <v>11</v>
      </c>
      <c r="E128" s="72" t="s">
        <v>12</v>
      </c>
      <c r="F128" s="73" t="s">
        <v>65</v>
      </c>
      <c r="G128" s="73" t="s">
        <v>66</v>
      </c>
      <c r="H128" s="74" t="s">
        <v>67</v>
      </c>
      <c r="I128" s="73" t="s">
        <v>68</v>
      </c>
      <c r="J128" s="75" t="s">
        <v>17</v>
      </c>
      <c r="K128" s="76"/>
      <c r="L128" s="36"/>
      <c r="M128" s="36"/>
      <c r="N128" s="36"/>
      <c r="O128" s="36" t="s">
        <v>21</v>
      </c>
      <c r="P128" s="36"/>
      <c r="Q128" s="36"/>
      <c r="R128" s="36"/>
      <c r="V128" s="5" t="s">
        <v>5</v>
      </c>
      <c r="W128" s="5" t="s">
        <v>6</v>
      </c>
    </row>
    <row r="129" spans="1:23" s="36" customFormat="1" x14ac:dyDescent="0.3">
      <c r="A129" s="6"/>
      <c r="B129" s="14">
        <v>1</v>
      </c>
      <c r="C129" s="93">
        <v>45110</v>
      </c>
      <c r="D129" s="94" t="s">
        <v>18</v>
      </c>
      <c r="E129" s="94" t="s">
        <v>861</v>
      </c>
      <c r="F129" s="60">
        <v>130</v>
      </c>
      <c r="G129" s="60">
        <v>165</v>
      </c>
      <c r="H129" s="60">
        <f>165-130</f>
        <v>35</v>
      </c>
      <c r="I129" s="15">
        <v>300</v>
      </c>
      <c r="J129" s="16">
        <f t="shared" ref="J129:J174" si="9">I129*H129</f>
        <v>10500</v>
      </c>
      <c r="K129" s="7"/>
      <c r="V129" s="5">
        <f t="shared" ref="V129:V174" si="10">IF($J129&gt;0,1,0)</f>
        <v>1</v>
      </c>
      <c r="W129" s="5">
        <f t="shared" ref="W129:W174" si="11">IF($J129&lt;0,1,0)</f>
        <v>0</v>
      </c>
    </row>
    <row r="130" spans="1:23" s="36" customFormat="1" x14ac:dyDescent="0.3">
      <c r="A130" s="6"/>
      <c r="B130" s="17">
        <f>B129+1</f>
        <v>2</v>
      </c>
      <c r="C130" s="18">
        <v>45110</v>
      </c>
      <c r="D130" s="19" t="s">
        <v>18</v>
      </c>
      <c r="E130" s="19" t="s">
        <v>861</v>
      </c>
      <c r="F130" s="35">
        <v>130</v>
      </c>
      <c r="G130" s="35">
        <v>165</v>
      </c>
      <c r="H130" s="35">
        <v>35</v>
      </c>
      <c r="I130" s="20">
        <v>300</v>
      </c>
      <c r="J130" s="21">
        <f t="shared" si="9"/>
        <v>10500</v>
      </c>
      <c r="K130" s="7"/>
      <c r="L130" s="36" t="s">
        <v>21</v>
      </c>
      <c r="V130" s="5">
        <f t="shared" si="10"/>
        <v>1</v>
      </c>
      <c r="W130" s="5">
        <f t="shared" si="11"/>
        <v>0</v>
      </c>
    </row>
    <row r="131" spans="1:23" s="36" customFormat="1" x14ac:dyDescent="0.3">
      <c r="A131" s="6"/>
      <c r="B131" s="17">
        <f t="shared" ref="B131:B151" si="12">B130+1</f>
        <v>3</v>
      </c>
      <c r="C131" s="18">
        <v>45111</v>
      </c>
      <c r="D131" s="19" t="s">
        <v>18</v>
      </c>
      <c r="E131" s="19" t="s">
        <v>862</v>
      </c>
      <c r="F131" s="35">
        <v>100</v>
      </c>
      <c r="G131" s="35">
        <v>108</v>
      </c>
      <c r="H131" s="35">
        <v>8</v>
      </c>
      <c r="I131" s="20">
        <v>300</v>
      </c>
      <c r="J131" s="21">
        <f t="shared" si="9"/>
        <v>2400</v>
      </c>
      <c r="K131" s="7"/>
      <c r="V131" s="5">
        <f t="shared" si="10"/>
        <v>1</v>
      </c>
      <c r="W131" s="5">
        <f t="shared" si="11"/>
        <v>0</v>
      </c>
    </row>
    <row r="132" spans="1:23" s="36" customFormat="1" x14ac:dyDescent="0.3">
      <c r="A132" s="6"/>
      <c r="B132" s="17">
        <f t="shared" si="12"/>
        <v>4</v>
      </c>
      <c r="C132" s="18">
        <v>45111</v>
      </c>
      <c r="D132" s="19" t="s">
        <v>18</v>
      </c>
      <c r="E132" s="19" t="s">
        <v>862</v>
      </c>
      <c r="F132" s="35">
        <v>100</v>
      </c>
      <c r="G132" s="35">
        <v>135</v>
      </c>
      <c r="H132" s="35">
        <v>35</v>
      </c>
      <c r="I132" s="20">
        <v>300</v>
      </c>
      <c r="J132" s="21">
        <f t="shared" si="9"/>
        <v>10500</v>
      </c>
      <c r="K132" s="7"/>
      <c r="V132" s="5">
        <f t="shared" si="10"/>
        <v>1</v>
      </c>
      <c r="W132" s="5">
        <f t="shared" si="11"/>
        <v>0</v>
      </c>
    </row>
    <row r="133" spans="1:23" s="36" customFormat="1" x14ac:dyDescent="0.3">
      <c r="A133" s="6"/>
      <c r="B133" s="17">
        <f t="shared" si="12"/>
        <v>5</v>
      </c>
      <c r="C133" s="18">
        <v>45112</v>
      </c>
      <c r="D133" s="19" t="s">
        <v>18</v>
      </c>
      <c r="E133" s="19" t="s">
        <v>862</v>
      </c>
      <c r="F133" s="20">
        <v>120</v>
      </c>
      <c r="G133" s="35">
        <v>100</v>
      </c>
      <c r="H133" s="35">
        <v>-20</v>
      </c>
      <c r="I133" s="20">
        <v>300</v>
      </c>
      <c r="J133" s="21">
        <f t="shared" ref="J133:J137" si="13">I132*H132</f>
        <v>10500</v>
      </c>
      <c r="K133" s="7"/>
      <c r="V133" s="5">
        <f t="shared" si="10"/>
        <v>1</v>
      </c>
      <c r="W133" s="5">
        <f t="shared" si="11"/>
        <v>0</v>
      </c>
    </row>
    <row r="134" spans="1:23" s="36" customFormat="1" x14ac:dyDescent="0.3">
      <c r="A134" s="6"/>
      <c r="B134" s="17">
        <f t="shared" si="12"/>
        <v>6</v>
      </c>
      <c r="C134" s="18">
        <v>45112</v>
      </c>
      <c r="D134" s="19" t="s">
        <v>18</v>
      </c>
      <c r="E134" s="19" t="s">
        <v>866</v>
      </c>
      <c r="F134" s="35">
        <v>95</v>
      </c>
      <c r="G134" s="35">
        <v>119</v>
      </c>
      <c r="H134" s="35">
        <f>119-95</f>
        <v>24</v>
      </c>
      <c r="I134" s="20">
        <v>300</v>
      </c>
      <c r="J134" s="21">
        <f t="shared" si="13"/>
        <v>-6000</v>
      </c>
      <c r="K134" s="7"/>
      <c r="V134" s="5">
        <f t="shared" si="10"/>
        <v>0</v>
      </c>
      <c r="W134" s="5">
        <f t="shared" si="11"/>
        <v>1</v>
      </c>
    </row>
    <row r="135" spans="1:23" s="36" customFormat="1" x14ac:dyDescent="0.3">
      <c r="A135" s="6"/>
      <c r="B135" s="17">
        <f t="shared" si="12"/>
        <v>7</v>
      </c>
      <c r="C135" s="18">
        <v>45113</v>
      </c>
      <c r="D135" s="19" t="s">
        <v>18</v>
      </c>
      <c r="E135" s="19" t="s">
        <v>867</v>
      </c>
      <c r="F135" s="35">
        <v>110</v>
      </c>
      <c r="G135" s="35">
        <v>144</v>
      </c>
      <c r="H135" s="35">
        <f>144-110</f>
        <v>34</v>
      </c>
      <c r="I135" s="20">
        <v>300</v>
      </c>
      <c r="J135" s="21">
        <f t="shared" si="9"/>
        <v>10200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8</v>
      </c>
      <c r="C136" s="18">
        <v>45114</v>
      </c>
      <c r="D136" s="19" t="s">
        <v>18</v>
      </c>
      <c r="E136" s="19" t="s">
        <v>866</v>
      </c>
      <c r="F136" s="35">
        <v>115</v>
      </c>
      <c r="G136" s="35">
        <v>150</v>
      </c>
      <c r="H136" s="35">
        <f>150-115</f>
        <v>35</v>
      </c>
      <c r="I136" s="20">
        <v>300</v>
      </c>
      <c r="J136" s="21">
        <f t="shared" si="9"/>
        <v>10500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9</v>
      </c>
      <c r="C137" s="18">
        <v>45114</v>
      </c>
      <c r="D137" s="19" t="s">
        <v>18</v>
      </c>
      <c r="E137" s="19" t="s">
        <v>870</v>
      </c>
      <c r="F137" s="35">
        <v>105</v>
      </c>
      <c r="G137" s="35">
        <v>140</v>
      </c>
      <c r="H137" s="35">
        <f>140-105</f>
        <v>35</v>
      </c>
      <c r="I137" s="100">
        <v>300</v>
      </c>
      <c r="J137" s="21">
        <f t="shared" si="13"/>
        <v>10500</v>
      </c>
      <c r="K137" s="7"/>
      <c r="V137" s="5">
        <f t="shared" si="10"/>
        <v>1</v>
      </c>
      <c r="W137" s="5">
        <f t="shared" si="11"/>
        <v>0</v>
      </c>
    </row>
    <row r="138" spans="1:23" s="36" customFormat="1" x14ac:dyDescent="0.3">
      <c r="A138" s="6"/>
      <c r="B138" s="17">
        <f t="shared" si="12"/>
        <v>10</v>
      </c>
      <c r="C138" s="18">
        <v>45117</v>
      </c>
      <c r="D138" s="19" t="s">
        <v>18</v>
      </c>
      <c r="E138" s="19" t="s">
        <v>866</v>
      </c>
      <c r="F138" s="35">
        <v>115</v>
      </c>
      <c r="G138" s="35">
        <v>150</v>
      </c>
      <c r="H138" s="35">
        <f>150-115</f>
        <v>35</v>
      </c>
      <c r="I138" s="20">
        <v>300</v>
      </c>
      <c r="J138" s="21">
        <f t="shared" si="9"/>
        <v>10500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11</v>
      </c>
      <c r="C139" s="18">
        <v>45118</v>
      </c>
      <c r="D139" s="19" t="s">
        <v>18</v>
      </c>
      <c r="E139" s="19" t="s">
        <v>874</v>
      </c>
      <c r="F139" s="19">
        <v>120</v>
      </c>
      <c r="G139" s="35">
        <v>140</v>
      </c>
      <c r="H139" s="35">
        <v>20</v>
      </c>
      <c r="I139" s="20">
        <v>300</v>
      </c>
      <c r="J139" s="21">
        <f t="shared" si="9"/>
        <v>6000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12</v>
      </c>
      <c r="C140" s="18">
        <v>45118</v>
      </c>
      <c r="D140" s="19" t="s">
        <v>18</v>
      </c>
      <c r="E140" s="19" t="s">
        <v>867</v>
      </c>
      <c r="F140" s="35">
        <v>130</v>
      </c>
      <c r="G140" s="35">
        <v>160</v>
      </c>
      <c r="H140" s="35">
        <v>30</v>
      </c>
      <c r="I140" s="20">
        <v>300</v>
      </c>
      <c r="J140" s="21">
        <f t="shared" si="9"/>
        <v>9000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13</v>
      </c>
      <c r="C141" s="18">
        <v>45119</v>
      </c>
      <c r="D141" s="19" t="s">
        <v>18</v>
      </c>
      <c r="E141" s="19" t="s">
        <v>874</v>
      </c>
      <c r="F141" s="35">
        <v>100</v>
      </c>
      <c r="G141" s="35">
        <v>106</v>
      </c>
      <c r="H141" s="35">
        <v>6</v>
      </c>
      <c r="I141" s="20">
        <v>300</v>
      </c>
      <c r="J141" s="21">
        <f t="shared" si="9"/>
        <v>1800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14</v>
      </c>
      <c r="C142" s="18">
        <v>45119</v>
      </c>
      <c r="D142" s="19" t="s">
        <v>18</v>
      </c>
      <c r="E142" s="19" t="s">
        <v>875</v>
      </c>
      <c r="F142" s="77">
        <v>110</v>
      </c>
      <c r="G142" s="35">
        <v>145</v>
      </c>
      <c r="H142" s="78">
        <f>145-110</f>
        <v>35</v>
      </c>
      <c r="I142" s="20">
        <v>300</v>
      </c>
      <c r="J142" s="21">
        <f t="shared" si="9"/>
        <v>10500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15</v>
      </c>
      <c r="C143" s="18">
        <v>45120</v>
      </c>
      <c r="D143" s="19" t="s">
        <v>18</v>
      </c>
      <c r="E143" s="19" t="s">
        <v>874</v>
      </c>
      <c r="F143" s="35">
        <v>105</v>
      </c>
      <c r="G143" s="35">
        <v>139</v>
      </c>
      <c r="H143" s="78">
        <f>139-105</f>
        <v>34</v>
      </c>
      <c r="I143" s="20">
        <v>300</v>
      </c>
      <c r="J143" s="21">
        <f t="shared" si="9"/>
        <v>10200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16</v>
      </c>
      <c r="C144" s="18">
        <v>45121</v>
      </c>
      <c r="D144" s="19" t="s">
        <v>18</v>
      </c>
      <c r="E144" s="19" t="s">
        <v>877</v>
      </c>
      <c r="F144" s="35">
        <v>95</v>
      </c>
      <c r="G144" s="35">
        <v>115</v>
      </c>
      <c r="H144" s="78">
        <f>115-95</f>
        <v>20</v>
      </c>
      <c r="I144" s="20">
        <v>300</v>
      </c>
      <c r="J144" s="21">
        <f t="shared" si="9"/>
        <v>6000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17</v>
      </c>
      <c r="C145" s="18">
        <v>45121</v>
      </c>
      <c r="D145" s="19" t="s">
        <v>18</v>
      </c>
      <c r="E145" s="19" t="s">
        <v>875</v>
      </c>
      <c r="F145" s="35">
        <v>115</v>
      </c>
      <c r="G145" s="35">
        <v>121</v>
      </c>
      <c r="H145" s="78">
        <f>121-115</f>
        <v>6</v>
      </c>
      <c r="I145" s="20">
        <v>300</v>
      </c>
      <c r="J145" s="21">
        <f t="shared" si="9"/>
        <v>1800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18</v>
      </c>
      <c r="C146" s="18">
        <v>45124</v>
      </c>
      <c r="D146" s="19" t="s">
        <v>18</v>
      </c>
      <c r="E146" s="19" t="s">
        <v>878</v>
      </c>
      <c r="F146" s="35">
        <v>120</v>
      </c>
      <c r="G146" s="35">
        <v>126</v>
      </c>
      <c r="H146" s="78">
        <v>6</v>
      </c>
      <c r="I146" s="20">
        <v>300</v>
      </c>
      <c r="J146" s="21">
        <f t="shared" si="9"/>
        <v>1800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19</v>
      </c>
      <c r="C147" s="18">
        <v>45124</v>
      </c>
      <c r="D147" s="19" t="s">
        <v>18</v>
      </c>
      <c r="E147" s="19" t="s">
        <v>879</v>
      </c>
      <c r="F147" s="35">
        <v>125</v>
      </c>
      <c r="G147" s="35">
        <v>148</v>
      </c>
      <c r="H147" s="78">
        <f>148-125</f>
        <v>23</v>
      </c>
      <c r="I147" s="20">
        <v>300</v>
      </c>
      <c r="J147" s="21">
        <f t="shared" si="9"/>
        <v>6900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20</v>
      </c>
      <c r="C148" s="18">
        <v>45125</v>
      </c>
      <c r="D148" s="19" t="s">
        <v>18</v>
      </c>
      <c r="E148" s="19" t="s">
        <v>881</v>
      </c>
      <c r="F148" s="35">
        <v>105</v>
      </c>
      <c r="G148" s="35">
        <v>85</v>
      </c>
      <c r="H148" s="35">
        <v>-15</v>
      </c>
      <c r="I148" s="20">
        <v>300</v>
      </c>
      <c r="J148" s="21">
        <f t="shared" si="9"/>
        <v>-4500</v>
      </c>
      <c r="K148" s="7"/>
      <c r="V148" s="5">
        <f t="shared" si="10"/>
        <v>0</v>
      </c>
      <c r="W148" s="5">
        <f t="shared" si="11"/>
        <v>1</v>
      </c>
    </row>
    <row r="149" spans="1:23" s="36" customFormat="1" x14ac:dyDescent="0.3">
      <c r="A149" s="6"/>
      <c r="B149" s="17">
        <f t="shared" si="12"/>
        <v>21</v>
      </c>
      <c r="C149" s="18">
        <v>45125</v>
      </c>
      <c r="D149" s="19" t="s">
        <v>18</v>
      </c>
      <c r="E149" s="19" t="s">
        <v>881</v>
      </c>
      <c r="F149" s="35">
        <v>130</v>
      </c>
      <c r="G149" s="35">
        <v>145</v>
      </c>
      <c r="H149" s="35">
        <v>15</v>
      </c>
      <c r="I149" s="20">
        <v>300</v>
      </c>
      <c r="J149" s="21">
        <f t="shared" si="9"/>
        <v>4500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22</v>
      </c>
      <c r="C150" s="18">
        <v>45126</v>
      </c>
      <c r="D150" s="19" t="s">
        <v>18</v>
      </c>
      <c r="E150" s="19" t="s">
        <v>886</v>
      </c>
      <c r="F150" s="35">
        <v>100</v>
      </c>
      <c r="G150" s="35">
        <v>113</v>
      </c>
      <c r="H150" s="35">
        <v>13</v>
      </c>
      <c r="I150" s="20">
        <v>300</v>
      </c>
      <c r="J150" s="21">
        <f t="shared" si="9"/>
        <v>3900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23</v>
      </c>
      <c r="C151" s="18">
        <v>45126</v>
      </c>
      <c r="D151" s="19" t="s">
        <v>18</v>
      </c>
      <c r="E151" s="19" t="s">
        <v>887</v>
      </c>
      <c r="F151" s="35">
        <v>125</v>
      </c>
      <c r="G151" s="35">
        <v>140</v>
      </c>
      <c r="H151" s="35">
        <f>140-125</f>
        <v>15</v>
      </c>
      <c r="I151" s="20">
        <v>300</v>
      </c>
      <c r="J151" s="21">
        <f t="shared" si="9"/>
        <v>4500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>B151+1</f>
        <v>24</v>
      </c>
      <c r="C152" s="18">
        <v>45127</v>
      </c>
      <c r="D152" s="19" t="s">
        <v>18</v>
      </c>
      <c r="E152" s="19" t="s">
        <v>888</v>
      </c>
      <c r="F152" s="35">
        <v>130</v>
      </c>
      <c r="G152" s="35">
        <v>140</v>
      </c>
      <c r="H152" s="35">
        <v>10</v>
      </c>
      <c r="I152" s="20">
        <v>300</v>
      </c>
      <c r="J152" s="21">
        <f t="shared" si="9"/>
        <v>3000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ref="B153:B174" si="14">B152+1</f>
        <v>25</v>
      </c>
      <c r="C153" s="18">
        <v>45127</v>
      </c>
      <c r="D153" s="19" t="s">
        <v>18</v>
      </c>
      <c r="E153" s="19" t="s">
        <v>886</v>
      </c>
      <c r="F153" s="35">
        <v>125</v>
      </c>
      <c r="G153" s="35">
        <v>160</v>
      </c>
      <c r="H153" s="35">
        <f>160-125</f>
        <v>35</v>
      </c>
      <c r="I153" s="20">
        <v>300</v>
      </c>
      <c r="J153" s="21">
        <f t="shared" si="9"/>
        <v>10500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4"/>
        <v>26</v>
      </c>
      <c r="C154" s="18">
        <v>45128</v>
      </c>
      <c r="D154" s="19" t="s">
        <v>18</v>
      </c>
      <c r="E154" s="19" t="s">
        <v>890</v>
      </c>
      <c r="F154" s="35">
        <v>100</v>
      </c>
      <c r="G154" s="35">
        <v>102</v>
      </c>
      <c r="H154" s="35">
        <v>5</v>
      </c>
      <c r="I154" s="20">
        <v>300</v>
      </c>
      <c r="J154" s="21">
        <f t="shared" si="9"/>
        <v>1500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4"/>
        <v>27</v>
      </c>
      <c r="C155" s="18">
        <v>45128</v>
      </c>
      <c r="D155" s="19" t="s">
        <v>18</v>
      </c>
      <c r="E155" s="19" t="s">
        <v>881</v>
      </c>
      <c r="F155" s="35">
        <v>120</v>
      </c>
      <c r="G155" s="35">
        <v>125</v>
      </c>
      <c r="H155" s="35">
        <v>5</v>
      </c>
      <c r="I155" s="20">
        <v>300</v>
      </c>
      <c r="J155" s="21">
        <f t="shared" si="9"/>
        <v>1500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4"/>
        <v>28</v>
      </c>
      <c r="C156" s="18">
        <v>45131</v>
      </c>
      <c r="D156" s="19" t="s">
        <v>18</v>
      </c>
      <c r="E156" s="19" t="s">
        <v>894</v>
      </c>
      <c r="F156" s="35">
        <v>110</v>
      </c>
      <c r="G156" s="35">
        <v>115</v>
      </c>
      <c r="H156" s="35">
        <v>5</v>
      </c>
      <c r="I156" s="20">
        <v>300</v>
      </c>
      <c r="J156" s="21">
        <f t="shared" si="9"/>
        <v>1500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4"/>
        <v>29</v>
      </c>
      <c r="C157" s="18">
        <v>45131</v>
      </c>
      <c r="D157" s="19" t="s">
        <v>18</v>
      </c>
      <c r="E157" s="19" t="s">
        <v>886</v>
      </c>
      <c r="F157" s="35">
        <v>105</v>
      </c>
      <c r="G157" s="35">
        <v>116</v>
      </c>
      <c r="H157" s="19">
        <f>116-105</f>
        <v>11</v>
      </c>
      <c r="I157" s="20">
        <v>300</v>
      </c>
      <c r="J157" s="21">
        <f t="shared" si="9"/>
        <v>3300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4"/>
        <v>30</v>
      </c>
      <c r="C158" s="18">
        <v>45132</v>
      </c>
      <c r="D158" s="19" t="s">
        <v>18</v>
      </c>
      <c r="E158" s="19" t="s">
        <v>894</v>
      </c>
      <c r="F158" s="35">
        <v>105</v>
      </c>
      <c r="G158" s="35">
        <v>127</v>
      </c>
      <c r="H158" s="35">
        <f>127-105</f>
        <v>22</v>
      </c>
      <c r="I158" s="20">
        <v>300</v>
      </c>
      <c r="J158" s="21">
        <f t="shared" si="9"/>
        <v>6600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4"/>
        <v>31</v>
      </c>
      <c r="C159" s="18">
        <v>45132</v>
      </c>
      <c r="D159" s="19" t="s">
        <v>18</v>
      </c>
      <c r="E159" s="19" t="s">
        <v>894</v>
      </c>
      <c r="F159" s="35">
        <v>110</v>
      </c>
      <c r="G159" s="35">
        <v>145</v>
      </c>
      <c r="H159" s="35">
        <f>145-110</f>
        <v>35</v>
      </c>
      <c r="I159" s="20">
        <v>300</v>
      </c>
      <c r="J159" s="21">
        <f t="shared" si="9"/>
        <v>10500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 t="shared" si="14"/>
        <v>32</v>
      </c>
      <c r="C160" s="18">
        <v>45133</v>
      </c>
      <c r="D160" s="19" t="s">
        <v>18</v>
      </c>
      <c r="E160" s="19" t="s">
        <v>888</v>
      </c>
      <c r="F160" s="35">
        <v>120</v>
      </c>
      <c r="G160" s="35">
        <v>142</v>
      </c>
      <c r="H160" s="35">
        <f>142-120</f>
        <v>22</v>
      </c>
      <c r="I160" s="20">
        <v>300</v>
      </c>
      <c r="J160" s="21">
        <f t="shared" si="9"/>
        <v>6600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si="14"/>
        <v>33</v>
      </c>
      <c r="C161" s="18">
        <v>45134</v>
      </c>
      <c r="D161" s="19" t="s">
        <v>18</v>
      </c>
      <c r="E161" s="19" t="s">
        <v>888</v>
      </c>
      <c r="F161" s="35">
        <v>120</v>
      </c>
      <c r="G161" s="35">
        <v>100</v>
      </c>
      <c r="H161" s="35">
        <v>-20</v>
      </c>
      <c r="I161" s="20">
        <v>300</v>
      </c>
      <c r="J161" s="21">
        <f t="shared" si="9"/>
        <v>-6000</v>
      </c>
      <c r="K161" s="7"/>
      <c r="V161" s="5">
        <f t="shared" si="10"/>
        <v>0</v>
      </c>
      <c r="W161" s="5">
        <f t="shared" si="11"/>
        <v>1</v>
      </c>
    </row>
    <row r="162" spans="1:23" s="36" customFormat="1" x14ac:dyDescent="0.3">
      <c r="A162" s="6"/>
      <c r="B162" s="17">
        <f t="shared" si="14"/>
        <v>34</v>
      </c>
      <c r="C162" s="18">
        <v>45134</v>
      </c>
      <c r="D162" s="19" t="s">
        <v>18</v>
      </c>
      <c r="E162" s="19" t="s">
        <v>881</v>
      </c>
      <c r="F162" s="35">
        <v>90</v>
      </c>
      <c r="G162" s="35">
        <v>70</v>
      </c>
      <c r="H162" s="35">
        <v>-20</v>
      </c>
      <c r="I162" s="20">
        <v>300</v>
      </c>
      <c r="J162" s="21">
        <f t="shared" si="9"/>
        <v>-6000</v>
      </c>
      <c r="K162" s="7"/>
      <c r="V162" s="5">
        <f t="shared" si="10"/>
        <v>0</v>
      </c>
      <c r="W162" s="5">
        <f t="shared" si="11"/>
        <v>1</v>
      </c>
    </row>
    <row r="163" spans="1:23" s="36" customFormat="1" x14ac:dyDescent="0.3">
      <c r="A163" s="6"/>
      <c r="B163" s="17">
        <f t="shared" si="14"/>
        <v>35</v>
      </c>
      <c r="C163" s="18">
        <v>45135</v>
      </c>
      <c r="D163" s="19" t="s">
        <v>18</v>
      </c>
      <c r="E163" s="19" t="s">
        <v>878</v>
      </c>
      <c r="F163" s="35">
        <v>105</v>
      </c>
      <c r="G163" s="35">
        <v>129</v>
      </c>
      <c r="H163" s="35">
        <f>129-105</f>
        <v>24</v>
      </c>
      <c r="I163" s="20">
        <v>300</v>
      </c>
      <c r="J163" s="21">
        <f t="shared" si="9"/>
        <v>7200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4"/>
        <v>36</v>
      </c>
      <c r="C164" s="18">
        <v>45135</v>
      </c>
      <c r="D164" s="19" t="s">
        <v>18</v>
      </c>
      <c r="E164" s="19" t="s">
        <v>897</v>
      </c>
      <c r="F164" s="35">
        <v>100</v>
      </c>
      <c r="G164" s="35">
        <v>106</v>
      </c>
      <c r="H164" s="35">
        <v>6</v>
      </c>
      <c r="I164" s="20">
        <v>300</v>
      </c>
      <c r="J164" s="21">
        <f t="shared" si="9"/>
        <v>1800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4"/>
        <v>37</v>
      </c>
      <c r="C165" s="18">
        <v>45138</v>
      </c>
      <c r="D165" s="19" t="s">
        <v>18</v>
      </c>
      <c r="E165" s="19" t="s">
        <v>898</v>
      </c>
      <c r="F165" s="35">
        <v>105</v>
      </c>
      <c r="G165" s="35">
        <v>140</v>
      </c>
      <c r="H165" s="35">
        <f>140-105</f>
        <v>35</v>
      </c>
      <c r="I165" s="20">
        <v>300</v>
      </c>
      <c r="J165" s="21">
        <f t="shared" si="9"/>
        <v>10500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4"/>
        <v>38</v>
      </c>
      <c r="C166" s="18">
        <v>45138</v>
      </c>
      <c r="D166" s="19" t="s">
        <v>18</v>
      </c>
      <c r="E166" s="19" t="s">
        <v>898</v>
      </c>
      <c r="F166" s="35">
        <v>120</v>
      </c>
      <c r="G166" s="35">
        <v>155</v>
      </c>
      <c r="H166" s="35">
        <f>155-120</f>
        <v>35</v>
      </c>
      <c r="I166" s="20">
        <v>300</v>
      </c>
      <c r="J166" s="21">
        <f t="shared" si="9"/>
        <v>10500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4"/>
        <v>39</v>
      </c>
      <c r="C167" s="18"/>
      <c r="D167" s="19"/>
      <c r="E167" s="19"/>
      <c r="F167" s="35"/>
      <c r="G167" s="35"/>
      <c r="H167" s="35"/>
      <c r="I167" s="20"/>
      <c r="J167" s="21">
        <f t="shared" si="9"/>
        <v>0</v>
      </c>
      <c r="K167" s="7"/>
      <c r="V167" s="5">
        <f t="shared" si="10"/>
        <v>0</v>
      </c>
      <c r="W167" s="5">
        <f t="shared" si="11"/>
        <v>0</v>
      </c>
    </row>
    <row r="168" spans="1:23" s="36" customFormat="1" x14ac:dyDescent="0.3">
      <c r="A168" s="6"/>
      <c r="B168" s="17">
        <f t="shared" si="14"/>
        <v>40</v>
      </c>
      <c r="C168" s="18"/>
      <c r="D168" s="19"/>
      <c r="E168" s="19"/>
      <c r="F168" s="35"/>
      <c r="G168" s="35"/>
      <c r="H168" s="35"/>
      <c r="I168" s="20"/>
      <c r="J168" s="21">
        <f t="shared" si="9"/>
        <v>0</v>
      </c>
      <c r="K168" s="7"/>
      <c r="V168" s="5">
        <f t="shared" si="10"/>
        <v>0</v>
      </c>
      <c r="W168" s="5">
        <f t="shared" si="11"/>
        <v>0</v>
      </c>
    </row>
    <row r="169" spans="1:23" s="36" customFormat="1" x14ac:dyDescent="0.3">
      <c r="A169" s="6"/>
      <c r="B169" s="17">
        <f t="shared" si="14"/>
        <v>41</v>
      </c>
      <c r="C169" s="18"/>
      <c r="D169" s="19"/>
      <c r="E169" s="19"/>
      <c r="F169" s="35"/>
      <c r="G169" s="35"/>
      <c r="H169" s="35"/>
      <c r="I169" s="20"/>
      <c r="J169" s="21">
        <f t="shared" si="9"/>
        <v>0</v>
      </c>
      <c r="K169" s="7"/>
      <c r="V169" s="5">
        <f t="shared" si="10"/>
        <v>0</v>
      </c>
      <c r="W169" s="5">
        <f t="shared" si="11"/>
        <v>0</v>
      </c>
    </row>
    <row r="170" spans="1:23" s="36" customFormat="1" x14ac:dyDescent="0.3">
      <c r="A170" s="6"/>
      <c r="B170" s="17">
        <f t="shared" si="14"/>
        <v>42</v>
      </c>
      <c r="C170" s="18"/>
      <c r="D170" s="19"/>
      <c r="E170" s="19"/>
      <c r="F170" s="35"/>
      <c r="G170" s="35"/>
      <c r="H170" s="35"/>
      <c r="I170" s="20"/>
      <c r="J170" s="21">
        <f t="shared" si="9"/>
        <v>0</v>
      </c>
      <c r="K170" s="7"/>
      <c r="V170" s="5">
        <f t="shared" si="10"/>
        <v>0</v>
      </c>
      <c r="W170" s="5">
        <f t="shared" si="11"/>
        <v>0</v>
      </c>
    </row>
    <row r="171" spans="1:23" s="36" customFormat="1" x14ac:dyDescent="0.3">
      <c r="A171" s="6"/>
      <c r="B171" s="17">
        <f t="shared" si="14"/>
        <v>43</v>
      </c>
      <c r="C171" s="18"/>
      <c r="D171" s="19"/>
      <c r="E171" s="19"/>
      <c r="F171" s="35"/>
      <c r="G171" s="35"/>
      <c r="H171" s="35"/>
      <c r="I171" s="20"/>
      <c r="J171" s="21">
        <f t="shared" si="9"/>
        <v>0</v>
      </c>
      <c r="K171" s="7"/>
      <c r="V171" s="5">
        <f t="shared" si="10"/>
        <v>0</v>
      </c>
      <c r="W171" s="5">
        <f t="shared" si="11"/>
        <v>0</v>
      </c>
    </row>
    <row r="172" spans="1:23" s="36" customFormat="1" x14ac:dyDescent="0.3">
      <c r="A172" s="6"/>
      <c r="B172" s="17">
        <f t="shared" si="14"/>
        <v>44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x14ac:dyDescent="0.3">
      <c r="A173" s="6"/>
      <c r="B173" s="17">
        <f t="shared" si="14"/>
        <v>45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ht="15" thickBot="1" x14ac:dyDescent="0.35">
      <c r="A174" s="6"/>
      <c r="B174" s="95">
        <f t="shared" si="14"/>
        <v>46</v>
      </c>
      <c r="C174" s="79"/>
      <c r="D174" s="80"/>
      <c r="E174" s="80"/>
      <c r="F174" s="96"/>
      <c r="G174" s="96"/>
      <c r="H174" s="96"/>
      <c r="I174" s="81"/>
      <c r="J174" s="82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ht="24" thickBot="1" x14ac:dyDescent="0.5">
      <c r="A175" s="6"/>
      <c r="B175" s="165" t="s">
        <v>22</v>
      </c>
      <c r="C175" s="166"/>
      <c r="D175" s="166"/>
      <c r="E175" s="166"/>
      <c r="F175" s="166"/>
      <c r="G175" s="166"/>
      <c r="H175" s="167"/>
      <c r="I175" s="83" t="s">
        <v>23</v>
      </c>
      <c r="J175" s="84">
        <f>SUM(J129:J174)</f>
        <v>205500</v>
      </c>
      <c r="K175" s="7"/>
      <c r="L175" s="5"/>
      <c r="M175" s="5"/>
      <c r="N175" s="5"/>
      <c r="O175" s="5"/>
      <c r="P175" s="5"/>
      <c r="Q175" s="5"/>
      <c r="R175" s="5"/>
      <c r="V175" s="36">
        <f>SUM(V129:V174)</f>
        <v>34</v>
      </c>
      <c r="W175" s="36">
        <f>SUM(W129:W174)</f>
        <v>4</v>
      </c>
    </row>
    <row r="176" spans="1:23" s="36" customFormat="1" ht="30" customHeight="1" thickBot="1" x14ac:dyDescent="0.35">
      <c r="A176" s="30"/>
      <c r="B176" s="31"/>
      <c r="C176" s="31"/>
      <c r="D176" s="31"/>
      <c r="E176" s="31"/>
      <c r="F176" s="31"/>
      <c r="G176" s="31"/>
      <c r="H176" s="32"/>
      <c r="I176" s="31"/>
      <c r="J176" s="32"/>
      <c r="K176" s="33"/>
      <c r="L176" s="5"/>
      <c r="M176" s="5"/>
      <c r="N176" s="5"/>
      <c r="O176" s="5"/>
      <c r="P176" s="5"/>
      <c r="Q176" s="5"/>
      <c r="R176" s="5"/>
    </row>
  </sheetData>
  <mergeCells count="44">
    <mergeCell ref="B121:H121"/>
    <mergeCell ref="B125:J125"/>
    <mergeCell ref="B126:J126"/>
    <mergeCell ref="B127:J127"/>
    <mergeCell ref="B175:H175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59" r:id="rId1" xr:uid="{00000000-0004-0000-2400-000000000000}"/>
    <hyperlink ref="B121" r:id="rId2" xr:uid="{00000000-0004-0000-2400-000001000000}"/>
    <hyperlink ref="B175" r:id="rId3" xr:uid="{00000000-0004-0000-2400-000002000000}"/>
    <hyperlink ref="M1" location="MASTER!A1" display="Back" xr:uid="{00000000-0004-0000-2400-000003000000}"/>
    <hyperlink ref="M6:M7" location="'APRIL 2023'!A70" display="EXTRA STOCK FUTURE" xr:uid="{00000000-0004-0000-2400-000004000000}"/>
    <hyperlink ref="M8:M9" location="'APRIL 2023'!A140" display="EXTRA NIFTY OPTION" xr:uid="{00000000-0004-0000-2400-000005000000}"/>
    <hyperlink ref="M4:M5" location="'APRIL 2023'!A1" display="EXTRA BANKNIFTY OPTION" xr:uid="{00000000-0004-0000-2400-000006000000}"/>
  </hyperlinks>
  <pageMargins left="0" right="0" top="0" bottom="0" header="0" footer="0"/>
  <pageSetup paperSize="9" orientation="portrait" r:id="rId4"/>
  <ignoredErrors>
    <ignoredError sqref="J135 J137 H137" formula="1"/>
  </ignoredErrors>
  <drawing r:id="rId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176"/>
  <sheetViews>
    <sheetView topLeftCell="A13" zoomScaleNormal="100" workbookViewId="0">
      <selection activeCell="M18" sqref="M18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9.109375" style="5" customWidth="1"/>
    <col min="22" max="23" width="9.109375" style="5" hidden="1" customWidth="1"/>
    <col min="24" max="24" width="9.109375" style="5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225" t="s">
        <v>3</v>
      </c>
      <c r="N2" s="226" t="s">
        <v>4</v>
      </c>
      <c r="O2" s="227" t="s">
        <v>5</v>
      </c>
      <c r="P2" s="227" t="s">
        <v>6</v>
      </c>
      <c r="Q2" s="227" t="s">
        <v>7</v>
      </c>
      <c r="R2" s="224" t="s">
        <v>8</v>
      </c>
    </row>
    <row r="3" spans="1:23" ht="16.2" thickBot="1" x14ac:dyDescent="0.35">
      <c r="A3" s="6"/>
      <c r="B3" s="103">
        <v>45139</v>
      </c>
      <c r="C3" s="104"/>
      <c r="D3" s="104"/>
      <c r="E3" s="104"/>
      <c r="F3" s="104"/>
      <c r="G3" s="104"/>
      <c r="H3" s="104"/>
      <c r="I3" s="104"/>
      <c r="J3" s="105"/>
      <c r="K3" s="7"/>
      <c r="M3" s="225"/>
      <c r="N3" s="226"/>
      <c r="O3" s="227"/>
      <c r="P3" s="227"/>
      <c r="Q3" s="227"/>
      <c r="R3" s="224"/>
    </row>
    <row r="4" spans="1:23" ht="16.5" customHeight="1" thickBot="1" x14ac:dyDescent="0.35">
      <c r="A4" s="6"/>
      <c r="B4" s="106" t="s">
        <v>900</v>
      </c>
      <c r="C4" s="107"/>
      <c r="D4" s="107"/>
      <c r="E4" s="107"/>
      <c r="F4" s="107"/>
      <c r="G4" s="107"/>
      <c r="H4" s="107"/>
      <c r="I4" s="107"/>
      <c r="J4" s="108"/>
      <c r="K4" s="7"/>
      <c r="M4" s="221" t="s">
        <v>107</v>
      </c>
      <c r="N4" s="222">
        <f>COUNT(C6:C58)</f>
        <v>37</v>
      </c>
      <c r="O4" s="222">
        <f>V59</f>
        <v>29</v>
      </c>
      <c r="P4" s="222">
        <f>W59</f>
        <v>8</v>
      </c>
      <c r="Q4" s="222">
        <f>N4-O4-P4</f>
        <v>0</v>
      </c>
      <c r="R4" s="220">
        <f>O4/N4</f>
        <v>0.78378378378378377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221"/>
      <c r="N5" s="222"/>
      <c r="O5" s="222"/>
      <c r="P5" s="222"/>
      <c r="Q5" s="222"/>
      <c r="R5" s="220"/>
      <c r="V5" s="5" t="s">
        <v>5</v>
      </c>
      <c r="W5" s="5" t="s">
        <v>6</v>
      </c>
    </row>
    <row r="6" spans="1:23" ht="15" customHeight="1" thickBot="1" x14ac:dyDescent="0.35">
      <c r="A6" s="6"/>
      <c r="B6" s="88">
        <v>1</v>
      </c>
      <c r="C6" s="89">
        <v>45139</v>
      </c>
      <c r="D6" s="90" t="s">
        <v>18</v>
      </c>
      <c r="E6" s="90" t="s">
        <v>892</v>
      </c>
      <c r="F6" s="90">
        <v>140</v>
      </c>
      <c r="G6" s="90">
        <v>190</v>
      </c>
      <c r="H6" s="91">
        <v>50</v>
      </c>
      <c r="I6" s="90">
        <v>120</v>
      </c>
      <c r="J6" s="92">
        <f t="shared" ref="J6:J58" si="0">H6*I6</f>
        <v>6000</v>
      </c>
      <c r="K6" s="7"/>
      <c r="M6" s="221" t="s">
        <v>108</v>
      </c>
      <c r="N6" s="222">
        <f>COUNT(C67:C120)</f>
        <v>3</v>
      </c>
      <c r="O6" s="222">
        <v>2</v>
      </c>
      <c r="P6" s="222">
        <f>W121</f>
        <v>1</v>
      </c>
      <c r="Q6" s="222">
        <v>0</v>
      </c>
      <c r="R6" s="220">
        <f t="shared" ref="R6" si="1">O6/N6</f>
        <v>0.66666666666666663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ht="15" thickBot="1" x14ac:dyDescent="0.35">
      <c r="A7" s="6"/>
      <c r="B7" s="17">
        <v>2</v>
      </c>
      <c r="C7" s="85">
        <v>46600</v>
      </c>
      <c r="D7" s="86" t="s">
        <v>18</v>
      </c>
      <c r="E7" s="86" t="s">
        <v>902</v>
      </c>
      <c r="F7" s="86">
        <v>150</v>
      </c>
      <c r="G7" s="86">
        <v>200</v>
      </c>
      <c r="H7" s="87">
        <v>50</v>
      </c>
      <c r="I7" s="86">
        <v>120</v>
      </c>
      <c r="J7" s="21">
        <f t="shared" si="0"/>
        <v>6000</v>
      </c>
      <c r="K7" s="7"/>
      <c r="M7" s="221"/>
      <c r="N7" s="222"/>
      <c r="O7" s="222"/>
      <c r="P7" s="222"/>
      <c r="Q7" s="222"/>
      <c r="R7" s="220"/>
      <c r="V7" s="5">
        <f t="shared" si="2"/>
        <v>1</v>
      </c>
      <c r="W7" s="5">
        <f t="shared" si="3"/>
        <v>0</v>
      </c>
    </row>
    <row r="8" spans="1:23" ht="15" thickBot="1" x14ac:dyDescent="0.35">
      <c r="A8" s="6"/>
      <c r="B8" s="88">
        <v>3</v>
      </c>
      <c r="C8" s="85">
        <v>45140</v>
      </c>
      <c r="D8" s="86" t="s">
        <v>18</v>
      </c>
      <c r="E8" s="86" t="s">
        <v>904</v>
      </c>
      <c r="F8" s="86">
        <v>140</v>
      </c>
      <c r="G8" s="86">
        <v>240</v>
      </c>
      <c r="H8" s="87">
        <v>100</v>
      </c>
      <c r="I8" s="86">
        <v>120</v>
      </c>
      <c r="J8" s="21">
        <f t="shared" si="0"/>
        <v>12000</v>
      </c>
      <c r="K8" s="7"/>
      <c r="M8" s="223" t="s">
        <v>194</v>
      </c>
      <c r="N8" s="222">
        <f>COUNT(C129:C174)</f>
        <v>33</v>
      </c>
      <c r="O8" s="222">
        <f>V175</f>
        <v>27</v>
      </c>
      <c r="P8" s="222">
        <v>6</v>
      </c>
      <c r="Q8" s="222">
        <v>0</v>
      </c>
      <c r="R8" s="220">
        <f t="shared" ref="R8:R10" si="4">O8/N8</f>
        <v>0.81818181818181823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45140</v>
      </c>
      <c r="D9" s="86" t="s">
        <v>18</v>
      </c>
      <c r="E9" s="86" t="s">
        <v>896</v>
      </c>
      <c r="F9" s="86">
        <v>150</v>
      </c>
      <c r="G9" s="86">
        <v>250</v>
      </c>
      <c r="H9" s="87">
        <v>100</v>
      </c>
      <c r="I9" s="86">
        <v>120</v>
      </c>
      <c r="J9" s="21">
        <f t="shared" si="0"/>
        <v>12000</v>
      </c>
      <c r="K9" s="7"/>
      <c r="M9" s="223"/>
      <c r="N9" s="222"/>
      <c r="O9" s="222"/>
      <c r="P9" s="222"/>
      <c r="Q9" s="222"/>
      <c r="R9" s="220"/>
      <c r="V9" s="5">
        <f t="shared" si="2"/>
        <v>1</v>
      </c>
      <c r="W9" s="5">
        <f t="shared" si="3"/>
        <v>0</v>
      </c>
    </row>
    <row r="10" spans="1:23" ht="16.5" customHeight="1" thickBot="1" x14ac:dyDescent="0.35">
      <c r="A10" s="6"/>
      <c r="B10" s="88">
        <v>5</v>
      </c>
      <c r="C10" s="85">
        <v>45141</v>
      </c>
      <c r="D10" s="86" t="s">
        <v>18</v>
      </c>
      <c r="E10" s="86" t="s">
        <v>905</v>
      </c>
      <c r="F10" s="86">
        <v>130</v>
      </c>
      <c r="G10" s="86">
        <v>230</v>
      </c>
      <c r="H10" s="87">
        <v>100</v>
      </c>
      <c r="I10" s="86">
        <v>120</v>
      </c>
      <c r="J10" s="21">
        <f t="shared" si="0"/>
        <v>12000</v>
      </c>
      <c r="K10" s="7"/>
      <c r="M10" s="218" t="s">
        <v>19</v>
      </c>
      <c r="N10" s="219">
        <f>SUM(N4:N9)</f>
        <v>73</v>
      </c>
      <c r="O10" s="219">
        <f>SUM(O4:O9)</f>
        <v>58</v>
      </c>
      <c r="P10" s="219">
        <f>SUM(P4:P9)</f>
        <v>15</v>
      </c>
      <c r="Q10" s="219">
        <f>SUM(Q4:Q9)</f>
        <v>0</v>
      </c>
      <c r="R10" s="220">
        <f t="shared" si="4"/>
        <v>0.79452054794520544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45141</v>
      </c>
      <c r="D11" s="86" t="s">
        <v>18</v>
      </c>
      <c r="E11" s="86" t="s">
        <v>905</v>
      </c>
      <c r="F11" s="86">
        <v>160</v>
      </c>
      <c r="G11" s="86">
        <v>260</v>
      </c>
      <c r="H11" s="87">
        <v>100</v>
      </c>
      <c r="I11" s="86">
        <v>120</v>
      </c>
      <c r="J11" s="21">
        <f t="shared" si="0"/>
        <v>12000</v>
      </c>
      <c r="K11" s="7"/>
      <c r="M11" s="218"/>
      <c r="N11" s="219"/>
      <c r="O11" s="219"/>
      <c r="P11" s="219"/>
      <c r="Q11" s="219"/>
      <c r="R11" s="220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45142</v>
      </c>
      <c r="D12" s="86" t="s">
        <v>18</v>
      </c>
      <c r="E12" s="86" t="s">
        <v>880</v>
      </c>
      <c r="F12" s="86">
        <v>150</v>
      </c>
      <c r="G12" s="86">
        <v>250</v>
      </c>
      <c r="H12" s="87">
        <v>100</v>
      </c>
      <c r="I12" s="86">
        <v>120</v>
      </c>
      <c r="J12" s="21">
        <f t="shared" si="0"/>
        <v>12000</v>
      </c>
      <c r="K12" s="7"/>
      <c r="M12" s="129" t="s">
        <v>20</v>
      </c>
      <c r="N12" s="130"/>
      <c r="O12" s="131"/>
      <c r="P12" s="138">
        <f>R10</f>
        <v>0.79452054794520544</v>
      </c>
      <c r="Q12" s="139"/>
      <c r="R12" s="140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45142</v>
      </c>
      <c r="D13" s="86" t="s">
        <v>18</v>
      </c>
      <c r="E13" s="86" t="s">
        <v>864</v>
      </c>
      <c r="F13" s="86">
        <v>140</v>
      </c>
      <c r="G13" s="86">
        <v>90</v>
      </c>
      <c r="H13" s="87">
        <v>-50</v>
      </c>
      <c r="I13" s="86">
        <v>120</v>
      </c>
      <c r="J13" s="21">
        <f t="shared" si="0"/>
        <v>-6000</v>
      </c>
      <c r="K13" s="7"/>
      <c r="M13" s="129"/>
      <c r="N13" s="130"/>
      <c r="O13" s="131"/>
      <c r="P13" s="138"/>
      <c r="Q13" s="139"/>
      <c r="R13" s="140"/>
      <c r="V13" s="5">
        <f t="shared" si="2"/>
        <v>0</v>
      </c>
      <c r="W13" s="5">
        <f t="shared" si="3"/>
        <v>1</v>
      </c>
    </row>
    <row r="14" spans="1:23" ht="15.75" customHeight="1" thickBot="1" x14ac:dyDescent="0.35">
      <c r="A14" s="6"/>
      <c r="B14" s="88">
        <v>9</v>
      </c>
      <c r="C14" s="85">
        <v>45145</v>
      </c>
      <c r="D14" s="86" t="s">
        <v>18</v>
      </c>
      <c r="E14" s="86" t="s">
        <v>872</v>
      </c>
      <c r="F14" s="86">
        <v>150</v>
      </c>
      <c r="G14" s="86">
        <v>200</v>
      </c>
      <c r="H14" s="87">
        <v>50</v>
      </c>
      <c r="I14" s="86">
        <v>120</v>
      </c>
      <c r="J14" s="21">
        <f t="shared" si="0"/>
        <v>6000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45146</v>
      </c>
      <c r="D15" s="86" t="s">
        <v>18</v>
      </c>
      <c r="E15" s="86" t="s">
        <v>880</v>
      </c>
      <c r="F15" s="86">
        <v>150</v>
      </c>
      <c r="G15" s="86">
        <v>250</v>
      </c>
      <c r="H15" s="87">
        <v>100</v>
      </c>
      <c r="I15" s="86">
        <v>120</v>
      </c>
      <c r="J15" s="21">
        <f t="shared" si="0"/>
        <v>12000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85">
        <v>45146</v>
      </c>
      <c r="D16" s="86" t="s">
        <v>18</v>
      </c>
      <c r="E16" s="86" t="s">
        <v>872</v>
      </c>
      <c r="F16" s="86">
        <v>190</v>
      </c>
      <c r="G16" s="86">
        <v>140</v>
      </c>
      <c r="H16" s="87">
        <v>-50</v>
      </c>
      <c r="I16" s="86">
        <v>120</v>
      </c>
      <c r="J16" s="21">
        <f t="shared" si="0"/>
        <v>-6000</v>
      </c>
      <c r="K16" s="7"/>
      <c r="V16" s="5">
        <f t="shared" si="2"/>
        <v>0</v>
      </c>
      <c r="W16" s="5">
        <f t="shared" si="3"/>
        <v>1</v>
      </c>
    </row>
    <row r="17" spans="1:23" x14ac:dyDescent="0.3">
      <c r="A17" s="6"/>
      <c r="B17" s="17">
        <v>12</v>
      </c>
      <c r="C17" s="85">
        <v>45147</v>
      </c>
      <c r="D17" s="86" t="s">
        <v>18</v>
      </c>
      <c r="E17" s="86" t="s">
        <v>876</v>
      </c>
      <c r="F17" s="86">
        <v>130</v>
      </c>
      <c r="G17" s="86">
        <v>210</v>
      </c>
      <c r="H17" s="87">
        <f>210-130</f>
        <v>80</v>
      </c>
      <c r="I17" s="86">
        <v>120</v>
      </c>
      <c r="J17" s="21">
        <f t="shared" si="0"/>
        <v>9600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85">
        <v>45147</v>
      </c>
      <c r="D18" s="86" t="s">
        <v>18</v>
      </c>
      <c r="E18" s="86" t="s">
        <v>869</v>
      </c>
      <c r="F18" s="86">
        <v>160</v>
      </c>
      <c r="G18" s="86">
        <v>110</v>
      </c>
      <c r="H18" s="87">
        <v>-50</v>
      </c>
      <c r="I18" s="86">
        <v>120</v>
      </c>
      <c r="J18" s="21">
        <f t="shared" si="0"/>
        <v>-6000</v>
      </c>
      <c r="K18" s="7"/>
      <c r="V18" s="5">
        <f t="shared" si="2"/>
        <v>0</v>
      </c>
      <c r="W18" s="5">
        <f t="shared" si="3"/>
        <v>1</v>
      </c>
    </row>
    <row r="19" spans="1:23" x14ac:dyDescent="0.3">
      <c r="A19" s="6"/>
      <c r="B19" s="17">
        <v>14</v>
      </c>
      <c r="C19" s="85">
        <v>45148</v>
      </c>
      <c r="D19" s="86" t="s">
        <v>18</v>
      </c>
      <c r="E19" s="86" t="s">
        <v>876</v>
      </c>
      <c r="F19" s="86">
        <v>110</v>
      </c>
      <c r="G19" s="86">
        <v>60</v>
      </c>
      <c r="H19" s="87">
        <v>-50</v>
      </c>
      <c r="I19" s="86">
        <v>120</v>
      </c>
      <c r="J19" s="21">
        <f t="shared" si="0"/>
        <v>-6000</v>
      </c>
      <c r="K19" s="7"/>
      <c r="V19" s="5">
        <f t="shared" si="2"/>
        <v>0</v>
      </c>
      <c r="W19" s="5">
        <f t="shared" si="3"/>
        <v>1</v>
      </c>
    </row>
    <row r="20" spans="1:23" x14ac:dyDescent="0.3">
      <c r="A20" s="6"/>
      <c r="B20" s="88">
        <v>15</v>
      </c>
      <c r="C20" s="85">
        <v>45149</v>
      </c>
      <c r="D20" s="86" t="s">
        <v>18</v>
      </c>
      <c r="E20" s="86" t="s">
        <v>799</v>
      </c>
      <c r="F20" s="86">
        <v>150</v>
      </c>
      <c r="G20" s="86">
        <v>100</v>
      </c>
      <c r="H20" s="87">
        <v>-50</v>
      </c>
      <c r="I20" s="86">
        <v>120</v>
      </c>
      <c r="J20" s="21">
        <f t="shared" si="0"/>
        <v>-6000</v>
      </c>
      <c r="K20" s="7"/>
      <c r="V20" s="5">
        <f t="shared" si="2"/>
        <v>0</v>
      </c>
      <c r="W20" s="5">
        <f t="shared" si="3"/>
        <v>1</v>
      </c>
    </row>
    <row r="21" spans="1:23" x14ac:dyDescent="0.3">
      <c r="A21" s="6"/>
      <c r="B21" s="17">
        <v>16</v>
      </c>
      <c r="C21" s="85">
        <v>45152</v>
      </c>
      <c r="D21" s="86" t="s">
        <v>18</v>
      </c>
      <c r="E21" s="86" t="s">
        <v>844</v>
      </c>
      <c r="F21" s="86">
        <v>140</v>
      </c>
      <c r="G21" s="86">
        <v>90</v>
      </c>
      <c r="H21" s="87">
        <v>-50</v>
      </c>
      <c r="I21" s="86">
        <v>120</v>
      </c>
      <c r="J21" s="21">
        <f t="shared" si="0"/>
        <v>-6000</v>
      </c>
      <c r="K21" s="7"/>
      <c r="O21" s="22"/>
      <c r="P21" s="22"/>
      <c r="Q21" s="22"/>
      <c r="R21" s="22"/>
      <c r="V21" s="5">
        <f t="shared" si="2"/>
        <v>0</v>
      </c>
      <c r="W21" s="5">
        <f t="shared" si="3"/>
        <v>1</v>
      </c>
    </row>
    <row r="22" spans="1:23" x14ac:dyDescent="0.3">
      <c r="A22" s="6"/>
      <c r="B22" s="88">
        <v>17</v>
      </c>
      <c r="C22" s="18">
        <v>45154</v>
      </c>
      <c r="D22" s="19" t="s">
        <v>18</v>
      </c>
      <c r="E22" s="19" t="s">
        <v>783</v>
      </c>
      <c r="F22" s="35">
        <v>140</v>
      </c>
      <c r="G22" s="35">
        <v>240</v>
      </c>
      <c r="H22" s="35">
        <v>100</v>
      </c>
      <c r="I22" s="86">
        <v>120</v>
      </c>
      <c r="J22" s="21">
        <f t="shared" si="0"/>
        <v>12000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45154</v>
      </c>
      <c r="D23" s="19" t="s">
        <v>18</v>
      </c>
      <c r="E23" s="19" t="s">
        <v>783</v>
      </c>
      <c r="F23" s="35">
        <v>160</v>
      </c>
      <c r="G23" s="35">
        <v>254</v>
      </c>
      <c r="H23" s="35">
        <f>254-160</f>
        <v>94</v>
      </c>
      <c r="I23" s="86">
        <v>120</v>
      </c>
      <c r="J23" s="21">
        <f t="shared" si="0"/>
        <v>11280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45155</v>
      </c>
      <c r="D24" s="19" t="s">
        <v>18</v>
      </c>
      <c r="E24" s="19" t="s">
        <v>800</v>
      </c>
      <c r="F24" s="35">
        <v>170</v>
      </c>
      <c r="G24" s="35">
        <v>220</v>
      </c>
      <c r="H24" s="35">
        <f>220-170</f>
        <v>50</v>
      </c>
      <c r="I24" s="20">
        <v>120</v>
      </c>
      <c r="J24" s="21">
        <f t="shared" si="0"/>
        <v>6000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45155</v>
      </c>
      <c r="D25" s="19" t="s">
        <v>18</v>
      </c>
      <c r="E25" s="19" t="s">
        <v>784</v>
      </c>
      <c r="F25" s="35">
        <v>150</v>
      </c>
      <c r="G25" s="35">
        <v>199</v>
      </c>
      <c r="H25" s="35">
        <v>49</v>
      </c>
      <c r="I25" s="20">
        <v>120</v>
      </c>
      <c r="J25" s="21">
        <f t="shared" si="0"/>
        <v>5880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45156</v>
      </c>
      <c r="D26" s="19" t="s">
        <v>18</v>
      </c>
      <c r="E26" s="19" t="s">
        <v>844</v>
      </c>
      <c r="F26" s="35">
        <v>170</v>
      </c>
      <c r="G26" s="35">
        <v>203</v>
      </c>
      <c r="H26" s="35">
        <f>203-170</f>
        <v>33</v>
      </c>
      <c r="I26" s="20">
        <v>120</v>
      </c>
      <c r="J26" s="21">
        <f t="shared" si="0"/>
        <v>3960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45156</v>
      </c>
      <c r="D27" s="19" t="s">
        <v>18</v>
      </c>
      <c r="E27" s="19" t="s">
        <v>802</v>
      </c>
      <c r="F27" s="35">
        <v>150</v>
      </c>
      <c r="G27" s="35">
        <v>165</v>
      </c>
      <c r="H27" s="19">
        <v>15</v>
      </c>
      <c r="I27" s="20">
        <v>120</v>
      </c>
      <c r="J27" s="21">
        <f t="shared" si="0"/>
        <v>1800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45159</v>
      </c>
      <c r="D28" s="19" t="s">
        <v>18</v>
      </c>
      <c r="E28" s="19" t="s">
        <v>797</v>
      </c>
      <c r="F28" s="35">
        <v>140</v>
      </c>
      <c r="G28" s="35">
        <v>215</v>
      </c>
      <c r="H28" s="19">
        <f>215-140</f>
        <v>75</v>
      </c>
      <c r="I28" s="20">
        <v>120</v>
      </c>
      <c r="J28" s="21">
        <f t="shared" si="0"/>
        <v>9000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45159</v>
      </c>
      <c r="D29" s="19" t="s">
        <v>18</v>
      </c>
      <c r="E29" s="19" t="s">
        <v>798</v>
      </c>
      <c r="F29" s="20">
        <v>130</v>
      </c>
      <c r="G29" s="20">
        <v>165</v>
      </c>
      <c r="H29" s="19">
        <f>165-130</f>
        <v>35</v>
      </c>
      <c r="I29" s="20">
        <v>120</v>
      </c>
      <c r="J29" s="21">
        <f t="shared" si="0"/>
        <v>4200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45160</v>
      </c>
      <c r="D30" s="25" t="s">
        <v>18</v>
      </c>
      <c r="E30" s="25" t="s">
        <v>798</v>
      </c>
      <c r="F30" s="26">
        <v>130</v>
      </c>
      <c r="G30" s="61">
        <v>80</v>
      </c>
      <c r="H30" s="61">
        <v>-50</v>
      </c>
      <c r="I30" s="26">
        <v>120</v>
      </c>
      <c r="J30" s="21">
        <f t="shared" si="0"/>
        <v>-6000</v>
      </c>
      <c r="K30" s="7"/>
      <c r="V30" s="5">
        <f t="shared" si="2"/>
        <v>0</v>
      </c>
      <c r="W30" s="5">
        <f t="shared" si="3"/>
        <v>1</v>
      </c>
    </row>
    <row r="31" spans="1:23" x14ac:dyDescent="0.3">
      <c r="A31" s="6"/>
      <c r="B31" s="17">
        <v>26</v>
      </c>
      <c r="C31" s="24">
        <v>45161</v>
      </c>
      <c r="D31" s="25" t="s">
        <v>18</v>
      </c>
      <c r="E31" s="25" t="s">
        <v>800</v>
      </c>
      <c r="F31" s="26">
        <v>140</v>
      </c>
      <c r="G31" s="61">
        <v>155</v>
      </c>
      <c r="H31" s="61">
        <v>15</v>
      </c>
      <c r="I31" s="26">
        <v>120</v>
      </c>
      <c r="J31" s="21">
        <f t="shared" si="0"/>
        <v>1800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45161</v>
      </c>
      <c r="D32" s="25" t="s">
        <v>18</v>
      </c>
      <c r="E32" s="25" t="s">
        <v>798</v>
      </c>
      <c r="F32" s="26">
        <v>140</v>
      </c>
      <c r="G32" s="61">
        <v>240</v>
      </c>
      <c r="H32" s="61">
        <v>100</v>
      </c>
      <c r="I32" s="26">
        <v>120</v>
      </c>
      <c r="J32" s="21">
        <f t="shared" si="0"/>
        <v>12000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45162</v>
      </c>
      <c r="D33" s="25" t="s">
        <v>18</v>
      </c>
      <c r="E33" s="25" t="s">
        <v>907</v>
      </c>
      <c r="F33" s="26">
        <v>130</v>
      </c>
      <c r="G33" s="61">
        <v>230</v>
      </c>
      <c r="H33" s="61">
        <v>100</v>
      </c>
      <c r="I33" s="26">
        <v>120</v>
      </c>
      <c r="J33" s="21">
        <f t="shared" si="0"/>
        <v>12000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45162</v>
      </c>
      <c r="D34" s="25" t="s">
        <v>18</v>
      </c>
      <c r="E34" s="25" t="s">
        <v>871</v>
      </c>
      <c r="F34" s="26">
        <v>140</v>
      </c>
      <c r="G34" s="61">
        <v>240</v>
      </c>
      <c r="H34" s="61">
        <v>100</v>
      </c>
      <c r="I34" s="26">
        <v>120</v>
      </c>
      <c r="J34" s="21">
        <f t="shared" si="0"/>
        <v>12000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45163</v>
      </c>
      <c r="D35" s="25" t="s">
        <v>18</v>
      </c>
      <c r="E35" s="25" t="s">
        <v>800</v>
      </c>
      <c r="F35" s="26">
        <v>140</v>
      </c>
      <c r="G35" s="61">
        <v>240</v>
      </c>
      <c r="H35" s="61">
        <v>100</v>
      </c>
      <c r="I35" s="26">
        <v>120</v>
      </c>
      <c r="J35" s="21">
        <f t="shared" si="0"/>
        <v>12000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45163</v>
      </c>
      <c r="D36" s="25" t="s">
        <v>18</v>
      </c>
      <c r="E36" s="25" t="s">
        <v>800</v>
      </c>
      <c r="F36" s="26">
        <v>140</v>
      </c>
      <c r="G36" s="61">
        <v>190</v>
      </c>
      <c r="H36" s="61">
        <v>50</v>
      </c>
      <c r="I36" s="26">
        <v>120</v>
      </c>
      <c r="J36" s="21">
        <f t="shared" si="0"/>
        <v>6000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45166</v>
      </c>
      <c r="D37" s="25" t="s">
        <v>18</v>
      </c>
      <c r="E37" s="25" t="s">
        <v>800</v>
      </c>
      <c r="F37" s="26">
        <v>130</v>
      </c>
      <c r="G37" s="61">
        <v>80</v>
      </c>
      <c r="H37" s="61">
        <v>-50</v>
      </c>
      <c r="I37" s="26">
        <v>120</v>
      </c>
      <c r="J37" s="21">
        <f t="shared" si="0"/>
        <v>-6000</v>
      </c>
      <c r="K37" s="7"/>
      <c r="V37" s="5">
        <f t="shared" si="2"/>
        <v>0</v>
      </c>
      <c r="W37" s="5">
        <f t="shared" si="3"/>
        <v>1</v>
      </c>
    </row>
    <row r="38" spans="1:23" x14ac:dyDescent="0.3">
      <c r="A38" s="6"/>
      <c r="B38" s="88">
        <v>33</v>
      </c>
      <c r="C38" s="24">
        <v>45166</v>
      </c>
      <c r="D38" s="25" t="s">
        <v>18</v>
      </c>
      <c r="E38" s="25" t="s">
        <v>907</v>
      </c>
      <c r="F38" s="26">
        <v>130</v>
      </c>
      <c r="G38" s="61">
        <v>167</v>
      </c>
      <c r="H38" s="61">
        <f>167-130</f>
        <v>37</v>
      </c>
      <c r="I38" s="26">
        <v>120</v>
      </c>
      <c r="J38" s="21">
        <f t="shared" si="0"/>
        <v>4440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45167</v>
      </c>
      <c r="D39" s="25" t="s">
        <v>18</v>
      </c>
      <c r="E39" s="25" t="s">
        <v>907</v>
      </c>
      <c r="F39" s="26">
        <v>120</v>
      </c>
      <c r="G39" s="61">
        <v>140</v>
      </c>
      <c r="H39" s="61">
        <v>20</v>
      </c>
      <c r="I39" s="26">
        <v>120</v>
      </c>
      <c r="J39" s="21">
        <f t="shared" si="0"/>
        <v>2400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45168</v>
      </c>
      <c r="D40" s="25" t="s">
        <v>18</v>
      </c>
      <c r="E40" s="25" t="s">
        <v>907</v>
      </c>
      <c r="F40" s="26">
        <v>130</v>
      </c>
      <c r="G40" s="61">
        <v>176</v>
      </c>
      <c r="H40" s="61">
        <f>176-130</f>
        <v>46</v>
      </c>
      <c r="I40" s="26">
        <v>120</v>
      </c>
      <c r="J40" s="21">
        <f t="shared" si="0"/>
        <v>5520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18">
        <v>45168</v>
      </c>
      <c r="D41" s="19" t="s">
        <v>18</v>
      </c>
      <c r="E41" s="19" t="s">
        <v>876</v>
      </c>
      <c r="F41" s="35">
        <v>150</v>
      </c>
      <c r="G41" s="35">
        <v>250</v>
      </c>
      <c r="H41" s="35">
        <v>100</v>
      </c>
      <c r="I41" s="26">
        <v>120</v>
      </c>
      <c r="J41" s="21">
        <f t="shared" si="0"/>
        <v>12000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18">
        <v>45169</v>
      </c>
      <c r="D42" s="19" t="s">
        <v>18</v>
      </c>
      <c r="E42" s="19" t="s">
        <v>843</v>
      </c>
      <c r="F42" s="35">
        <v>120</v>
      </c>
      <c r="G42" s="35">
        <v>199</v>
      </c>
      <c r="H42" s="35">
        <f>199-120</f>
        <v>79</v>
      </c>
      <c r="I42" s="26">
        <v>120</v>
      </c>
      <c r="J42" s="21">
        <f t="shared" si="0"/>
        <v>9480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17">
        <v>38</v>
      </c>
      <c r="C43" s="24"/>
      <c r="D43" s="25"/>
      <c r="E43" s="25"/>
      <c r="F43" s="26"/>
      <c r="G43" s="61"/>
      <c r="H43" s="61"/>
      <c r="I43" s="26"/>
      <c r="J43" s="21">
        <f t="shared" si="0"/>
        <v>0</v>
      </c>
      <c r="K43" s="7"/>
      <c r="V43" s="5">
        <f t="shared" si="2"/>
        <v>0</v>
      </c>
      <c r="W43" s="5">
        <f t="shared" si="3"/>
        <v>0</v>
      </c>
    </row>
    <row r="44" spans="1:23" ht="15" thickBot="1" x14ac:dyDescent="0.35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hidden="1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hidden="1" x14ac:dyDescent="0.3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hidden="1" x14ac:dyDescent="0.3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hidden="1" x14ac:dyDescent="0.3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hidden="1" x14ac:dyDescent="0.3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hidden="1" x14ac:dyDescent="0.3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hidden="1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195360</v>
      </c>
      <c r="K59" s="7"/>
      <c r="V59" s="5">
        <f>SUM(V6:V58)</f>
        <v>29</v>
      </c>
      <c r="W59" s="5">
        <f>SUM(W6:W58)</f>
        <v>8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901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45156</v>
      </c>
      <c r="D67" s="67" t="s">
        <v>18</v>
      </c>
      <c r="E67" s="67" t="s">
        <v>596</v>
      </c>
      <c r="F67" s="68">
        <v>4700</v>
      </c>
      <c r="G67" s="68">
        <v>4780</v>
      </c>
      <c r="H67" s="97">
        <v>80</v>
      </c>
      <c r="I67" s="68">
        <v>200</v>
      </c>
      <c r="J67" s="92">
        <f>H67*I67</f>
        <v>16000</v>
      </c>
      <c r="K67" s="7"/>
      <c r="V67" s="5">
        <f t="shared" ref="V67:V120" si="5">IF($J67&gt;0,1,0)</f>
        <v>1</v>
      </c>
      <c r="W67" s="5">
        <f t="shared" ref="W67:W120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45159</v>
      </c>
      <c r="D68" s="67" t="s">
        <v>69</v>
      </c>
      <c r="E68" s="67" t="s">
        <v>373</v>
      </c>
      <c r="F68" s="97">
        <v>3060</v>
      </c>
      <c r="G68" s="97">
        <v>3080</v>
      </c>
      <c r="H68" s="97">
        <v>-20</v>
      </c>
      <c r="I68" s="20">
        <v>375</v>
      </c>
      <c r="J68" s="21">
        <f>H68*I68</f>
        <v>-7500</v>
      </c>
      <c r="K68" s="7"/>
      <c r="L68" s="36" t="s">
        <v>21</v>
      </c>
      <c r="V68" s="5">
        <f t="shared" si="5"/>
        <v>0</v>
      </c>
      <c r="W68" s="5">
        <f t="shared" si="6"/>
        <v>1</v>
      </c>
    </row>
    <row r="69" spans="1:23" s="36" customFormat="1" x14ac:dyDescent="0.3">
      <c r="A69" s="6"/>
      <c r="B69" s="17">
        <f t="shared" ref="B69:B120" si="7">B68+1</f>
        <v>3</v>
      </c>
      <c r="C69" s="18">
        <v>45168</v>
      </c>
      <c r="D69" s="19" t="s">
        <v>18</v>
      </c>
      <c r="E69" s="19" t="s">
        <v>796</v>
      </c>
      <c r="F69" s="35">
        <v>4410</v>
      </c>
      <c r="G69" s="97">
        <v>4425</v>
      </c>
      <c r="H69" s="35">
        <f>4425-4410</f>
        <v>15</v>
      </c>
      <c r="I69" s="20">
        <v>200</v>
      </c>
      <c r="J69" s="21">
        <f>H69*I69</f>
        <v>3000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/>
      <c r="D70" s="19"/>
      <c r="E70" s="19"/>
      <c r="F70" s="35"/>
      <c r="G70" s="97"/>
      <c r="H70" s="35"/>
      <c r="I70" s="20"/>
      <c r="J70" s="21">
        <f>H70*I70</f>
        <v>0</v>
      </c>
      <c r="K70" s="7"/>
      <c r="V70" s="5">
        <f t="shared" si="5"/>
        <v>0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/>
      <c r="D71" s="19"/>
      <c r="E71" s="19"/>
      <c r="F71" s="35"/>
      <c r="G71" s="97"/>
      <c r="H71" s="35"/>
      <c r="I71" s="20"/>
      <c r="J71" s="21">
        <f>H71*I71</f>
        <v>0</v>
      </c>
      <c r="K71" s="7"/>
      <c r="V71" s="5">
        <f t="shared" si="5"/>
        <v>0</v>
      </c>
      <c r="W71" s="5">
        <f t="shared" si="6"/>
        <v>0</v>
      </c>
    </row>
    <row r="72" spans="1:23" s="36" customFormat="1" hidden="1" x14ac:dyDescent="0.3">
      <c r="A72" s="6"/>
      <c r="B72" s="17">
        <f t="shared" si="7"/>
        <v>6</v>
      </c>
      <c r="C72" s="18"/>
      <c r="D72" s="19"/>
      <c r="E72" s="19"/>
      <c r="F72" s="20"/>
      <c r="G72" s="97"/>
      <c r="H72" s="35"/>
      <c r="I72" s="20"/>
      <c r="J72" s="21">
        <f t="shared" ref="J72:J120" si="8">I72*H72</f>
        <v>0</v>
      </c>
      <c r="K72" s="7"/>
      <c r="V72" s="5">
        <f t="shared" si="5"/>
        <v>0</v>
      </c>
      <c r="W72" s="5">
        <f t="shared" si="6"/>
        <v>0</v>
      </c>
    </row>
    <row r="73" spans="1:23" s="36" customFormat="1" hidden="1" x14ac:dyDescent="0.3">
      <c r="A73" s="6"/>
      <c r="B73" s="17">
        <f t="shared" si="7"/>
        <v>7</v>
      </c>
      <c r="C73" s="18"/>
      <c r="D73" s="19"/>
      <c r="E73" s="19"/>
      <c r="F73" s="35"/>
      <c r="G73" s="97"/>
      <c r="H73" s="35"/>
      <c r="I73" s="20"/>
      <c r="J73" s="21">
        <f t="shared" si="8"/>
        <v>0</v>
      </c>
      <c r="K73" s="7"/>
      <c r="V73" s="5">
        <f t="shared" si="5"/>
        <v>0</v>
      </c>
      <c r="W73" s="5">
        <f t="shared" si="6"/>
        <v>0</v>
      </c>
    </row>
    <row r="74" spans="1:23" s="36" customFormat="1" hidden="1" x14ac:dyDescent="0.3">
      <c r="A74" s="6"/>
      <c r="B74" s="17">
        <f t="shared" si="7"/>
        <v>8</v>
      </c>
      <c r="C74" s="18"/>
      <c r="D74" s="19"/>
      <c r="E74" s="19"/>
      <c r="F74" s="35"/>
      <c r="G74" s="97"/>
      <c r="H74" s="35"/>
      <c r="I74" s="20"/>
      <c r="J74" s="21">
        <f t="shared" si="8"/>
        <v>0</v>
      </c>
      <c r="K74" s="7"/>
      <c r="V74" s="5">
        <f t="shared" si="5"/>
        <v>0</v>
      </c>
      <c r="W74" s="5">
        <f t="shared" si="6"/>
        <v>0</v>
      </c>
    </row>
    <row r="75" spans="1:23" s="36" customFormat="1" hidden="1" x14ac:dyDescent="0.3">
      <c r="A75" s="6"/>
      <c r="B75" s="17">
        <f t="shared" si="7"/>
        <v>9</v>
      </c>
      <c r="C75" s="18"/>
      <c r="D75" s="19"/>
      <c r="E75" s="19"/>
      <c r="F75" s="35"/>
      <c r="G75" s="97"/>
      <c r="H75" s="35"/>
      <c r="I75" s="20"/>
      <c r="J75" s="21">
        <f t="shared" si="8"/>
        <v>0</v>
      </c>
      <c r="K75" s="7"/>
      <c r="V75" s="5">
        <f t="shared" si="5"/>
        <v>0</v>
      </c>
      <c r="W75" s="5">
        <f t="shared" si="6"/>
        <v>0</v>
      </c>
    </row>
    <row r="76" spans="1:23" s="36" customFormat="1" hidden="1" x14ac:dyDescent="0.3">
      <c r="A76" s="6"/>
      <c r="B76" s="17">
        <f t="shared" si="7"/>
        <v>10</v>
      </c>
      <c r="C76" s="18"/>
      <c r="D76" s="19"/>
      <c r="E76" s="19"/>
      <c r="F76" s="35"/>
      <c r="G76" s="97"/>
      <c r="H76" s="35"/>
      <c r="I76" s="20"/>
      <c r="J76" s="21">
        <f t="shared" si="8"/>
        <v>0</v>
      </c>
      <c r="K76" s="7"/>
      <c r="V76" s="5">
        <f t="shared" si="5"/>
        <v>0</v>
      </c>
      <c r="W76" s="5">
        <f t="shared" si="6"/>
        <v>0</v>
      </c>
    </row>
    <row r="77" spans="1:23" s="36" customFormat="1" hidden="1" x14ac:dyDescent="0.3">
      <c r="A77" s="6"/>
      <c r="B77" s="17">
        <f t="shared" si="7"/>
        <v>11</v>
      </c>
      <c r="C77" s="18"/>
      <c r="D77" s="19"/>
      <c r="E77" s="19"/>
      <c r="F77" s="19"/>
      <c r="G77" s="97"/>
      <c r="H77" s="35"/>
      <c r="I77" s="20"/>
      <c r="J77" s="21">
        <f t="shared" si="8"/>
        <v>0</v>
      </c>
      <c r="K77" s="7"/>
      <c r="V77" s="5">
        <f t="shared" si="5"/>
        <v>0</v>
      </c>
      <c r="W77" s="5">
        <f t="shared" si="6"/>
        <v>0</v>
      </c>
    </row>
    <row r="78" spans="1:23" s="36" customFormat="1" hidden="1" x14ac:dyDescent="0.3">
      <c r="A78" s="6"/>
      <c r="B78" s="17">
        <f t="shared" si="7"/>
        <v>12</v>
      </c>
      <c r="C78" s="18"/>
      <c r="D78" s="19"/>
      <c r="E78" s="19"/>
      <c r="F78" s="35"/>
      <c r="G78" s="97"/>
      <c r="H78" s="35"/>
      <c r="I78" s="20"/>
      <c r="J78" s="21">
        <f t="shared" si="8"/>
        <v>0</v>
      </c>
      <c r="K78" s="7"/>
      <c r="V78" s="5">
        <f t="shared" si="5"/>
        <v>0</v>
      </c>
      <c r="W78" s="5">
        <f t="shared" si="6"/>
        <v>0</v>
      </c>
    </row>
    <row r="79" spans="1:23" s="36" customFormat="1" hidden="1" x14ac:dyDescent="0.3">
      <c r="A79" s="6"/>
      <c r="B79" s="17">
        <f t="shared" si="7"/>
        <v>13</v>
      </c>
      <c r="C79" s="18"/>
      <c r="D79" s="19"/>
      <c r="E79" s="19"/>
      <c r="F79" s="77"/>
      <c r="G79" s="97"/>
      <c r="H79" s="78"/>
      <c r="I79" s="20"/>
      <c r="J79" s="21">
        <f t="shared" si="8"/>
        <v>0</v>
      </c>
      <c r="K79" s="7"/>
      <c r="V79" s="5">
        <f t="shared" si="5"/>
        <v>0</v>
      </c>
      <c r="W79" s="5">
        <f t="shared" si="6"/>
        <v>0</v>
      </c>
    </row>
    <row r="80" spans="1:23" s="36" customFormat="1" hidden="1" x14ac:dyDescent="0.3">
      <c r="A80" s="6"/>
      <c r="B80" s="17">
        <f t="shared" si="7"/>
        <v>14</v>
      </c>
      <c r="C80" s="18"/>
      <c r="D80" s="19"/>
      <c r="E80" s="19"/>
      <c r="F80" s="35"/>
      <c r="G80" s="97"/>
      <c r="H80" s="78"/>
      <c r="I80" s="20"/>
      <c r="J80" s="21">
        <f t="shared" si="8"/>
        <v>0</v>
      </c>
      <c r="K80" s="7"/>
      <c r="V80" s="5">
        <f t="shared" si="5"/>
        <v>0</v>
      </c>
      <c r="W80" s="5">
        <f t="shared" si="6"/>
        <v>0</v>
      </c>
    </row>
    <row r="81" spans="1:23" s="36" customFormat="1" hidden="1" x14ac:dyDescent="0.3">
      <c r="A81" s="6"/>
      <c r="B81" s="17">
        <f t="shared" si="7"/>
        <v>15</v>
      </c>
      <c r="C81" s="18"/>
      <c r="D81" s="19"/>
      <c r="E81" s="19"/>
      <c r="F81" s="35"/>
      <c r="G81" s="97"/>
      <c r="H81" s="78"/>
      <c r="I81" s="20"/>
      <c r="J81" s="21">
        <f t="shared" si="8"/>
        <v>0</v>
      </c>
      <c r="K81" s="7"/>
      <c r="V81" s="5">
        <f t="shared" si="5"/>
        <v>0</v>
      </c>
      <c r="W81" s="5">
        <f t="shared" si="6"/>
        <v>0</v>
      </c>
    </row>
    <row r="82" spans="1:23" s="36" customFormat="1" hidden="1" x14ac:dyDescent="0.3">
      <c r="A82" s="6"/>
      <c r="B82" s="17">
        <f t="shared" si="7"/>
        <v>16</v>
      </c>
      <c r="C82" s="18"/>
      <c r="D82" s="19"/>
      <c r="E82" s="19"/>
      <c r="F82" s="35"/>
      <c r="G82" s="97"/>
      <c r="H82" s="35"/>
      <c r="I82" s="20"/>
      <c r="J82" s="21">
        <f t="shared" si="8"/>
        <v>0</v>
      </c>
      <c r="K82" s="7"/>
      <c r="V82" s="5">
        <f t="shared" si="5"/>
        <v>0</v>
      </c>
      <c r="W82" s="5">
        <f t="shared" si="6"/>
        <v>0</v>
      </c>
    </row>
    <row r="83" spans="1:23" s="36" customFormat="1" hidden="1" x14ac:dyDescent="0.3">
      <c r="A83" s="6"/>
      <c r="B83" s="17">
        <f t="shared" si="7"/>
        <v>17</v>
      </c>
      <c r="C83" s="18"/>
      <c r="D83" s="19"/>
      <c r="E83" s="19"/>
      <c r="F83" s="35"/>
      <c r="G83" s="97"/>
      <c r="H83" s="35"/>
      <c r="I83" s="20"/>
      <c r="J83" s="21">
        <f t="shared" si="8"/>
        <v>0</v>
      </c>
      <c r="K83" s="7"/>
      <c r="V83" s="5">
        <f t="shared" si="5"/>
        <v>0</v>
      </c>
      <c r="W83" s="5">
        <f t="shared" si="6"/>
        <v>0</v>
      </c>
    </row>
    <row r="84" spans="1:23" s="36" customFormat="1" hidden="1" x14ac:dyDescent="0.3">
      <c r="A84" s="6"/>
      <c r="B84" s="17">
        <f t="shared" si="7"/>
        <v>18</v>
      </c>
      <c r="C84" s="18"/>
      <c r="D84" s="19"/>
      <c r="E84" s="19"/>
      <c r="F84" s="35"/>
      <c r="G84" s="97"/>
      <c r="H84" s="35"/>
      <c r="I84" s="20"/>
      <c r="J84" s="21">
        <f t="shared" si="8"/>
        <v>0</v>
      </c>
      <c r="K84" s="7"/>
      <c r="V84" s="5">
        <f t="shared" si="5"/>
        <v>0</v>
      </c>
      <c r="W84" s="5">
        <f t="shared" si="6"/>
        <v>0</v>
      </c>
    </row>
    <row r="85" spans="1:23" s="36" customFormat="1" hidden="1" x14ac:dyDescent="0.3">
      <c r="A85" s="6"/>
      <c r="B85" s="17">
        <f t="shared" si="7"/>
        <v>19</v>
      </c>
      <c r="C85" s="18"/>
      <c r="D85" s="19"/>
      <c r="E85" s="19"/>
      <c r="F85" s="35"/>
      <c r="G85" s="97"/>
      <c r="H85" s="35"/>
      <c r="I85" s="20"/>
      <c r="J85" s="21">
        <f t="shared" si="8"/>
        <v>0</v>
      </c>
      <c r="K85" s="7"/>
      <c r="V85" s="5">
        <f t="shared" si="5"/>
        <v>0</v>
      </c>
      <c r="W85" s="5">
        <f t="shared" si="6"/>
        <v>0</v>
      </c>
    </row>
    <row r="86" spans="1:23" s="36" customFormat="1" hidden="1" x14ac:dyDescent="0.3">
      <c r="A86" s="6"/>
      <c r="B86" s="17">
        <f t="shared" si="7"/>
        <v>20</v>
      </c>
      <c r="C86" s="18"/>
      <c r="D86" s="19"/>
      <c r="E86" s="19"/>
      <c r="F86" s="35"/>
      <c r="G86" s="97"/>
      <c r="H86" s="35"/>
      <c r="I86" s="20"/>
      <c r="J86" s="21">
        <f t="shared" si="8"/>
        <v>0</v>
      </c>
      <c r="K86" s="7"/>
      <c r="V86" s="5">
        <f t="shared" si="5"/>
        <v>0</v>
      </c>
      <c r="W86" s="5">
        <f t="shared" si="6"/>
        <v>0</v>
      </c>
    </row>
    <row r="87" spans="1:23" s="36" customFormat="1" hidden="1" x14ac:dyDescent="0.3">
      <c r="A87" s="6"/>
      <c r="B87" s="17">
        <f t="shared" si="7"/>
        <v>21</v>
      </c>
      <c r="C87" s="18"/>
      <c r="D87" s="19"/>
      <c r="E87" s="19"/>
      <c r="F87" s="35"/>
      <c r="G87" s="97"/>
      <c r="H87" s="35"/>
      <c r="I87" s="20"/>
      <c r="J87" s="21">
        <f t="shared" si="8"/>
        <v>0</v>
      </c>
      <c r="K87" s="7"/>
      <c r="V87" s="5">
        <f t="shared" si="5"/>
        <v>0</v>
      </c>
      <c r="W87" s="5">
        <f t="shared" si="6"/>
        <v>0</v>
      </c>
    </row>
    <row r="88" spans="1:23" s="36" customFormat="1" hidden="1" x14ac:dyDescent="0.3">
      <c r="A88" s="6"/>
      <c r="B88" s="17">
        <f t="shared" si="7"/>
        <v>22</v>
      </c>
      <c r="C88" s="18"/>
      <c r="D88" s="19"/>
      <c r="E88" s="19"/>
      <c r="F88" s="77"/>
      <c r="G88" s="97"/>
      <c r="H88" s="78"/>
      <c r="I88" s="20"/>
      <c r="J88" s="21">
        <f t="shared" si="8"/>
        <v>0</v>
      </c>
      <c r="K88" s="7"/>
      <c r="V88" s="5">
        <f t="shared" si="5"/>
        <v>0</v>
      </c>
      <c r="W88" s="5">
        <f t="shared" si="6"/>
        <v>0</v>
      </c>
    </row>
    <row r="89" spans="1:23" s="36" customFormat="1" hidden="1" x14ac:dyDescent="0.3">
      <c r="A89" s="6"/>
      <c r="B89" s="17">
        <f t="shared" si="7"/>
        <v>23</v>
      </c>
      <c r="C89" s="18"/>
      <c r="D89" s="19"/>
      <c r="E89" s="19"/>
      <c r="F89" s="35"/>
      <c r="G89" s="97"/>
      <c r="H89" s="78"/>
      <c r="I89" s="20"/>
      <c r="J89" s="21">
        <f t="shared" si="8"/>
        <v>0</v>
      </c>
      <c r="K89" s="7"/>
      <c r="V89" s="5">
        <f t="shared" si="5"/>
        <v>0</v>
      </c>
      <c r="W89" s="5">
        <f t="shared" si="6"/>
        <v>0</v>
      </c>
    </row>
    <row r="90" spans="1:23" s="36" customFormat="1" hidden="1" x14ac:dyDescent="0.3">
      <c r="A90" s="6"/>
      <c r="B90" s="17">
        <f t="shared" si="7"/>
        <v>24</v>
      </c>
      <c r="C90" s="18"/>
      <c r="D90" s="19"/>
      <c r="E90" s="19"/>
      <c r="F90" s="35"/>
      <c r="G90" s="97"/>
      <c r="H90" s="78"/>
      <c r="I90" s="20"/>
      <c r="J90" s="21">
        <f t="shared" si="8"/>
        <v>0</v>
      </c>
      <c r="K90" s="7"/>
      <c r="V90" s="5">
        <f t="shared" si="5"/>
        <v>0</v>
      </c>
      <c r="W90" s="5">
        <f t="shared" si="6"/>
        <v>0</v>
      </c>
    </row>
    <row r="91" spans="1:23" s="36" customFormat="1" hidden="1" x14ac:dyDescent="0.3">
      <c r="A91" s="6"/>
      <c r="B91" s="17">
        <f t="shared" si="7"/>
        <v>25</v>
      </c>
      <c r="C91" s="18"/>
      <c r="D91" s="19"/>
      <c r="E91" s="19"/>
      <c r="F91" s="35"/>
      <c r="G91" s="97"/>
      <c r="H91" s="35"/>
      <c r="I91" s="20"/>
      <c r="J91" s="21">
        <f t="shared" si="8"/>
        <v>0</v>
      </c>
      <c r="K91" s="7"/>
      <c r="V91" s="5">
        <f t="shared" si="5"/>
        <v>0</v>
      </c>
      <c r="W91" s="5">
        <f t="shared" si="6"/>
        <v>0</v>
      </c>
    </row>
    <row r="92" spans="1:23" s="36" customFormat="1" hidden="1" x14ac:dyDescent="0.3">
      <c r="A92" s="6"/>
      <c r="B92" s="17">
        <f t="shared" si="7"/>
        <v>26</v>
      </c>
      <c r="C92" s="18"/>
      <c r="D92" s="19"/>
      <c r="E92" s="19"/>
      <c r="F92" s="35"/>
      <c r="G92" s="97"/>
      <c r="H92" s="35"/>
      <c r="I92" s="20"/>
      <c r="J92" s="21">
        <f t="shared" si="8"/>
        <v>0</v>
      </c>
      <c r="K92" s="7"/>
      <c r="V92" s="5">
        <f t="shared" si="5"/>
        <v>0</v>
      </c>
      <c r="W92" s="5">
        <f t="shared" si="6"/>
        <v>0</v>
      </c>
    </row>
    <row r="93" spans="1:23" s="36" customFormat="1" hidden="1" x14ac:dyDescent="0.3">
      <c r="A93" s="6"/>
      <c r="B93" s="17">
        <f t="shared" si="7"/>
        <v>27</v>
      </c>
      <c r="C93" s="18"/>
      <c r="D93" s="19"/>
      <c r="E93" s="19"/>
      <c r="F93" s="35"/>
      <c r="G93" s="97"/>
      <c r="H93" s="35"/>
      <c r="I93" s="20"/>
      <c r="J93" s="21">
        <f t="shared" si="8"/>
        <v>0</v>
      </c>
      <c r="K93" s="7"/>
      <c r="V93" s="5">
        <f t="shared" si="5"/>
        <v>0</v>
      </c>
      <c r="W93" s="5">
        <f t="shared" si="6"/>
        <v>0</v>
      </c>
    </row>
    <row r="94" spans="1:23" s="36" customFormat="1" hidden="1" x14ac:dyDescent="0.3">
      <c r="A94" s="6"/>
      <c r="B94" s="17">
        <f t="shared" si="7"/>
        <v>28</v>
      </c>
      <c r="C94" s="18"/>
      <c r="D94" s="19"/>
      <c r="E94" s="19"/>
      <c r="F94" s="35"/>
      <c r="G94" s="97"/>
      <c r="H94" s="35"/>
      <c r="I94" s="20"/>
      <c r="J94" s="21">
        <f t="shared" si="8"/>
        <v>0</v>
      </c>
      <c r="K94" s="7"/>
      <c r="V94" s="5">
        <f t="shared" si="5"/>
        <v>0</v>
      </c>
      <c r="W94" s="5">
        <f t="shared" si="6"/>
        <v>0</v>
      </c>
    </row>
    <row r="95" spans="1:23" s="36" customFormat="1" hidden="1" x14ac:dyDescent="0.3">
      <c r="A95" s="6"/>
      <c r="B95" s="17">
        <f t="shared" si="7"/>
        <v>29</v>
      </c>
      <c r="C95" s="18"/>
      <c r="D95" s="19"/>
      <c r="E95" s="19"/>
      <c r="F95" s="35"/>
      <c r="G95" s="97"/>
      <c r="H95" s="35"/>
      <c r="I95" s="20"/>
      <c r="J95" s="21">
        <f t="shared" si="8"/>
        <v>0</v>
      </c>
      <c r="K95" s="7"/>
      <c r="V95" s="5">
        <f t="shared" si="5"/>
        <v>0</v>
      </c>
      <c r="W95" s="5">
        <f t="shared" si="6"/>
        <v>0</v>
      </c>
    </row>
    <row r="96" spans="1:23" s="36" customFormat="1" hidden="1" x14ac:dyDescent="0.3">
      <c r="A96" s="6"/>
      <c r="B96" s="17">
        <f t="shared" si="7"/>
        <v>30</v>
      </c>
      <c r="C96" s="18"/>
      <c r="D96" s="19"/>
      <c r="E96" s="19"/>
      <c r="F96" s="35"/>
      <c r="G96" s="97"/>
      <c r="H96" s="35"/>
      <c r="I96" s="20"/>
      <c r="J96" s="21">
        <f t="shared" si="8"/>
        <v>0</v>
      </c>
      <c r="K96" s="7"/>
      <c r="V96" s="5">
        <f t="shared" si="5"/>
        <v>0</v>
      </c>
      <c r="W96" s="5">
        <f t="shared" si="6"/>
        <v>0</v>
      </c>
    </row>
    <row r="97" spans="1:23" s="36" customFormat="1" hidden="1" x14ac:dyDescent="0.3">
      <c r="A97" s="6"/>
      <c r="B97" s="17">
        <f t="shared" si="7"/>
        <v>31</v>
      </c>
      <c r="C97" s="18"/>
      <c r="D97" s="19"/>
      <c r="E97" s="19"/>
      <c r="F97" s="35"/>
      <c r="G97" s="97"/>
      <c r="H97" s="35"/>
      <c r="I97" s="20"/>
      <c r="J97" s="21">
        <f t="shared" si="8"/>
        <v>0</v>
      </c>
      <c r="K97" s="7"/>
      <c r="V97" s="5">
        <f t="shared" si="5"/>
        <v>0</v>
      </c>
      <c r="W97" s="5">
        <f t="shared" si="6"/>
        <v>0</v>
      </c>
    </row>
    <row r="98" spans="1:23" s="36" customFormat="1" hidden="1" x14ac:dyDescent="0.3">
      <c r="A98" s="6"/>
      <c r="B98" s="17">
        <f t="shared" si="7"/>
        <v>32</v>
      </c>
      <c r="C98" s="18"/>
      <c r="D98" s="19"/>
      <c r="E98" s="19"/>
      <c r="F98" s="35"/>
      <c r="G98" s="97"/>
      <c r="H98" s="35"/>
      <c r="I98" s="20"/>
      <c r="J98" s="21">
        <f t="shared" si="8"/>
        <v>0</v>
      </c>
      <c r="K98" s="7"/>
      <c r="V98" s="5">
        <f t="shared" si="5"/>
        <v>0</v>
      </c>
      <c r="W98" s="5">
        <f t="shared" si="6"/>
        <v>0</v>
      </c>
    </row>
    <row r="99" spans="1:23" s="36" customFormat="1" hidden="1" x14ac:dyDescent="0.3">
      <c r="A99" s="6"/>
      <c r="B99" s="17">
        <f t="shared" si="7"/>
        <v>33</v>
      </c>
      <c r="C99" s="18"/>
      <c r="D99" s="19"/>
      <c r="E99" s="19"/>
      <c r="F99" s="35"/>
      <c r="G99" s="97"/>
      <c r="H99" s="35"/>
      <c r="I99" s="20"/>
      <c r="J99" s="21">
        <f t="shared" si="8"/>
        <v>0</v>
      </c>
      <c r="K99" s="7"/>
      <c r="V99" s="5">
        <f t="shared" si="5"/>
        <v>0</v>
      </c>
      <c r="W99" s="5">
        <f t="shared" si="6"/>
        <v>0</v>
      </c>
    </row>
    <row r="100" spans="1:23" s="36" customFormat="1" hidden="1" x14ac:dyDescent="0.3">
      <c r="A100" s="6"/>
      <c r="B100" s="17">
        <f t="shared" si="7"/>
        <v>34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hidden="1" x14ac:dyDescent="0.3">
      <c r="A101" s="6"/>
      <c r="B101" s="17">
        <v>35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hidden="1" x14ac:dyDescent="0.3">
      <c r="A102" s="6"/>
      <c r="B102" s="17">
        <v>36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/>
      <c r="W102" s="5"/>
    </row>
    <row r="103" spans="1:23" s="36" customFormat="1" hidden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hidden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hidden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hidden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hidden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hidden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hidden="1" x14ac:dyDescent="0.3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hidden="1" x14ac:dyDescent="0.3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idden="1" x14ac:dyDescent="0.3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idden="1" x14ac:dyDescent="0.3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idden="1" x14ac:dyDescent="0.3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idden="1" x14ac:dyDescent="0.3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idden="1" x14ac:dyDescent="0.3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idden="1" x14ac:dyDescent="0.3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idden="1" x14ac:dyDescent="0.3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idden="1" x14ac:dyDescent="0.3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x14ac:dyDescent="0.3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24" thickBot="1" x14ac:dyDescent="0.5">
      <c r="A121" s="6"/>
      <c r="B121" s="144" t="s">
        <v>22</v>
      </c>
      <c r="C121" s="145"/>
      <c r="D121" s="145"/>
      <c r="E121" s="145"/>
      <c r="F121" s="145"/>
      <c r="G121" s="145"/>
      <c r="H121" s="146"/>
      <c r="I121" s="83" t="s">
        <v>23</v>
      </c>
      <c r="J121" s="84">
        <f>SUM(J67:J120)</f>
        <v>11500</v>
      </c>
      <c r="K121" s="7"/>
      <c r="L121" s="5"/>
      <c r="M121" s="5"/>
      <c r="N121" s="5"/>
      <c r="O121" s="5"/>
      <c r="P121" s="5"/>
      <c r="Q121" s="5"/>
      <c r="R121" s="5"/>
      <c r="V121" s="36">
        <f>SUM(V67:V120)</f>
        <v>2</v>
      </c>
      <c r="W121" s="36">
        <f>SUM(W67:W120)</f>
        <v>1</v>
      </c>
    </row>
    <row r="122" spans="1:23" s="36" customFormat="1" ht="30" customHeight="1" thickBot="1" x14ac:dyDescent="0.35">
      <c r="A122" s="30"/>
      <c r="B122" s="31"/>
      <c r="C122" s="31"/>
      <c r="D122" s="31"/>
      <c r="E122" s="31"/>
      <c r="F122" s="31"/>
      <c r="G122" s="31"/>
      <c r="H122" s="32"/>
      <c r="I122" s="31"/>
      <c r="J122" s="32"/>
      <c r="K122" s="33"/>
      <c r="L122" s="5"/>
      <c r="M122" s="5"/>
      <c r="N122" s="5"/>
      <c r="O122" s="5"/>
      <c r="P122" s="5"/>
      <c r="Q122" s="5"/>
      <c r="R122" s="5"/>
    </row>
    <row r="123" spans="1:23" ht="15" thickBot="1" x14ac:dyDescent="0.35"/>
    <row r="124" spans="1:23" s="36" customFormat="1" ht="30" customHeight="1" thickBot="1" x14ac:dyDescent="0.35">
      <c r="A124" s="1"/>
      <c r="B124" s="2"/>
      <c r="C124" s="2"/>
      <c r="D124" s="2"/>
      <c r="E124" s="2"/>
      <c r="F124" s="2"/>
      <c r="G124" s="2"/>
      <c r="H124" s="3"/>
      <c r="I124" s="2"/>
      <c r="J124" s="3"/>
      <c r="K124" s="4"/>
    </row>
    <row r="125" spans="1:23" s="36" customFormat="1" ht="25.2" thickBot="1" x14ac:dyDescent="0.35">
      <c r="A125" s="6" t="s">
        <v>1</v>
      </c>
      <c r="B125" s="119" t="s">
        <v>2</v>
      </c>
      <c r="C125" s="120"/>
      <c r="D125" s="120"/>
      <c r="E125" s="120"/>
      <c r="F125" s="120"/>
      <c r="G125" s="120"/>
      <c r="H125" s="120"/>
      <c r="I125" s="120"/>
      <c r="J125" s="121"/>
      <c r="K125" s="7"/>
    </row>
    <row r="126" spans="1:23" s="36" customFormat="1" ht="16.2" thickBot="1" x14ac:dyDescent="0.35">
      <c r="A126" s="6"/>
      <c r="B126" s="216">
        <v>45139</v>
      </c>
      <c r="C126" s="169"/>
      <c r="D126" s="169"/>
      <c r="E126" s="169"/>
      <c r="F126" s="169"/>
      <c r="G126" s="169"/>
      <c r="H126" s="169"/>
      <c r="I126" s="169"/>
      <c r="J126" s="170"/>
      <c r="K126" s="7"/>
      <c r="L126" s="22"/>
    </row>
    <row r="127" spans="1:23" s="36" customFormat="1" ht="16.2" thickBot="1" x14ac:dyDescent="0.35">
      <c r="A127" s="6"/>
      <c r="B127" s="106" t="s">
        <v>699</v>
      </c>
      <c r="C127" s="107"/>
      <c r="D127" s="107"/>
      <c r="E127" s="107"/>
      <c r="F127" s="107"/>
      <c r="G127" s="107"/>
      <c r="H127" s="107"/>
      <c r="I127" s="107"/>
      <c r="J127" s="108"/>
      <c r="K127" s="7"/>
    </row>
    <row r="128" spans="1:23" s="22" customFormat="1" ht="15" thickBot="1" x14ac:dyDescent="0.35">
      <c r="A128" s="69"/>
      <c r="B128" s="70" t="s">
        <v>9</v>
      </c>
      <c r="C128" s="71" t="s">
        <v>10</v>
      </c>
      <c r="D128" s="72" t="s">
        <v>11</v>
      </c>
      <c r="E128" s="72" t="s">
        <v>12</v>
      </c>
      <c r="F128" s="73" t="s">
        <v>65</v>
      </c>
      <c r="G128" s="73" t="s">
        <v>66</v>
      </c>
      <c r="H128" s="74" t="s">
        <v>67</v>
      </c>
      <c r="I128" s="73" t="s">
        <v>68</v>
      </c>
      <c r="J128" s="75" t="s">
        <v>17</v>
      </c>
      <c r="K128" s="76"/>
      <c r="L128" s="36"/>
      <c r="M128" s="36"/>
      <c r="N128" s="36"/>
      <c r="O128" s="36" t="s">
        <v>21</v>
      </c>
      <c r="P128" s="36"/>
      <c r="Q128" s="36"/>
      <c r="R128" s="36"/>
      <c r="V128" s="5" t="s">
        <v>5</v>
      </c>
      <c r="W128" s="5" t="s">
        <v>6</v>
      </c>
    </row>
    <row r="129" spans="1:23" s="36" customFormat="1" x14ac:dyDescent="0.3">
      <c r="A129" s="6"/>
      <c r="B129" s="14">
        <v>1</v>
      </c>
      <c r="C129" s="93">
        <v>45139</v>
      </c>
      <c r="D129" s="94" t="s">
        <v>18</v>
      </c>
      <c r="E129" s="94" t="s">
        <v>887</v>
      </c>
      <c r="F129" s="60">
        <v>120</v>
      </c>
      <c r="G129" s="60">
        <v>154</v>
      </c>
      <c r="H129" s="60">
        <f>154-120</f>
        <v>34</v>
      </c>
      <c r="I129" s="15">
        <v>300</v>
      </c>
      <c r="J129" s="16">
        <f t="shared" ref="J129:J174" si="9">I129*H129</f>
        <v>10200</v>
      </c>
      <c r="K129" s="7"/>
      <c r="V129" s="5">
        <f t="shared" ref="V129:V174" si="10">IF($J129&gt;0,1,0)</f>
        <v>1</v>
      </c>
      <c r="W129" s="5">
        <f t="shared" ref="W129:W174" si="11">IF($J129&lt;0,1,0)</f>
        <v>0</v>
      </c>
    </row>
    <row r="130" spans="1:23" s="36" customFormat="1" x14ac:dyDescent="0.3">
      <c r="A130" s="6"/>
      <c r="B130" s="17">
        <f>B129+1</f>
        <v>2</v>
      </c>
      <c r="C130" s="18">
        <v>45139</v>
      </c>
      <c r="D130" s="19" t="s">
        <v>18</v>
      </c>
      <c r="E130" s="19" t="s">
        <v>881</v>
      </c>
      <c r="F130" s="35">
        <v>105</v>
      </c>
      <c r="G130" s="35">
        <v>120</v>
      </c>
      <c r="H130" s="35">
        <f>120-105</f>
        <v>15</v>
      </c>
      <c r="I130" s="20">
        <v>300</v>
      </c>
      <c r="J130" s="21">
        <f t="shared" si="9"/>
        <v>4500</v>
      </c>
      <c r="K130" s="7"/>
      <c r="L130" s="36" t="s">
        <v>21</v>
      </c>
      <c r="V130" s="5">
        <f t="shared" si="10"/>
        <v>1</v>
      </c>
      <c r="W130" s="5">
        <f t="shared" si="11"/>
        <v>0</v>
      </c>
    </row>
    <row r="131" spans="1:23" s="36" customFormat="1" x14ac:dyDescent="0.3">
      <c r="A131" s="6"/>
      <c r="B131" s="17">
        <f t="shared" ref="B131:B151" si="12">B130+1</f>
        <v>3</v>
      </c>
      <c r="C131" s="18">
        <v>45140</v>
      </c>
      <c r="D131" s="19" t="s">
        <v>18</v>
      </c>
      <c r="E131" s="19" t="s">
        <v>903</v>
      </c>
      <c r="F131" s="35">
        <v>95</v>
      </c>
      <c r="G131" s="35">
        <v>130</v>
      </c>
      <c r="H131" s="35">
        <f>130-95</f>
        <v>35</v>
      </c>
      <c r="I131" s="20">
        <v>300</v>
      </c>
      <c r="J131" s="21">
        <f t="shared" si="9"/>
        <v>10500</v>
      </c>
      <c r="K131" s="7"/>
      <c r="V131" s="5">
        <f t="shared" si="10"/>
        <v>1</v>
      </c>
      <c r="W131" s="5">
        <f t="shared" si="11"/>
        <v>0</v>
      </c>
    </row>
    <row r="132" spans="1:23" s="36" customFormat="1" x14ac:dyDescent="0.3">
      <c r="A132" s="6"/>
      <c r="B132" s="17">
        <f t="shared" si="12"/>
        <v>4</v>
      </c>
      <c r="C132" s="18">
        <v>45140</v>
      </c>
      <c r="D132" s="19" t="s">
        <v>18</v>
      </c>
      <c r="E132" s="19" t="s">
        <v>897</v>
      </c>
      <c r="F132" s="35">
        <v>105</v>
      </c>
      <c r="G132" s="35">
        <v>85</v>
      </c>
      <c r="H132" s="35">
        <v>-20</v>
      </c>
      <c r="I132" s="20">
        <v>300</v>
      </c>
      <c r="J132" s="21">
        <f t="shared" si="9"/>
        <v>-6000</v>
      </c>
      <c r="K132" s="7"/>
      <c r="V132" s="5">
        <f t="shared" si="10"/>
        <v>0</v>
      </c>
      <c r="W132" s="5">
        <f t="shared" si="11"/>
        <v>1</v>
      </c>
    </row>
    <row r="133" spans="1:23" s="36" customFormat="1" x14ac:dyDescent="0.3">
      <c r="A133" s="6"/>
      <c r="B133" s="17">
        <f t="shared" si="12"/>
        <v>5</v>
      </c>
      <c r="C133" s="18">
        <v>45141</v>
      </c>
      <c r="D133" s="19" t="s">
        <v>18</v>
      </c>
      <c r="E133" s="19" t="s">
        <v>897</v>
      </c>
      <c r="F133" s="20">
        <v>130</v>
      </c>
      <c r="G133" s="35">
        <v>110</v>
      </c>
      <c r="H133" s="35">
        <v>-20</v>
      </c>
      <c r="I133" s="20">
        <v>300</v>
      </c>
      <c r="J133" s="21">
        <f t="shared" ref="J133:J137" si="13">I132*H132</f>
        <v>-6000</v>
      </c>
      <c r="K133" s="7"/>
      <c r="V133" s="5">
        <f t="shared" si="10"/>
        <v>0</v>
      </c>
      <c r="W133" s="5">
        <f t="shared" si="11"/>
        <v>1</v>
      </c>
    </row>
    <row r="134" spans="1:23" s="36" customFormat="1" x14ac:dyDescent="0.3">
      <c r="A134" s="6"/>
      <c r="B134" s="17">
        <f t="shared" si="12"/>
        <v>6</v>
      </c>
      <c r="C134" s="18">
        <v>45142</v>
      </c>
      <c r="D134" s="19" t="s">
        <v>18</v>
      </c>
      <c r="E134" s="19" t="s">
        <v>870</v>
      </c>
      <c r="F134" s="35">
        <v>120</v>
      </c>
      <c r="G134" s="35">
        <v>126</v>
      </c>
      <c r="H134" s="35">
        <v>6</v>
      </c>
      <c r="I134" s="20">
        <v>300</v>
      </c>
      <c r="J134" s="21">
        <f t="shared" si="13"/>
        <v>-6000</v>
      </c>
      <c r="K134" s="7"/>
      <c r="V134" s="5">
        <f t="shared" si="10"/>
        <v>0</v>
      </c>
      <c r="W134" s="5">
        <f t="shared" si="11"/>
        <v>1</v>
      </c>
    </row>
    <row r="135" spans="1:23" s="36" customFormat="1" x14ac:dyDescent="0.3">
      <c r="A135" s="6"/>
      <c r="B135" s="17">
        <f t="shared" si="12"/>
        <v>7</v>
      </c>
      <c r="C135" s="18">
        <v>45142</v>
      </c>
      <c r="D135" s="19" t="s">
        <v>18</v>
      </c>
      <c r="E135" s="19" t="s">
        <v>906</v>
      </c>
      <c r="F135" s="35">
        <v>110</v>
      </c>
      <c r="G135" s="35">
        <v>116</v>
      </c>
      <c r="H135" s="35">
        <v>6</v>
      </c>
      <c r="I135" s="20">
        <v>300</v>
      </c>
      <c r="J135" s="21">
        <f t="shared" si="9"/>
        <v>1800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8</v>
      </c>
      <c r="C136" s="18">
        <v>45145</v>
      </c>
      <c r="D136" s="19" t="s">
        <v>18</v>
      </c>
      <c r="E136" s="19" t="s">
        <v>906</v>
      </c>
      <c r="F136" s="35">
        <v>110</v>
      </c>
      <c r="G136" s="35">
        <v>145</v>
      </c>
      <c r="H136" s="35">
        <f>145-110</f>
        <v>35</v>
      </c>
      <c r="I136" s="20">
        <v>300</v>
      </c>
      <c r="J136" s="21">
        <f t="shared" si="9"/>
        <v>10500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9</v>
      </c>
      <c r="C137" s="18">
        <v>45146</v>
      </c>
      <c r="D137" s="19" t="s">
        <v>18</v>
      </c>
      <c r="E137" s="19" t="s">
        <v>879</v>
      </c>
      <c r="F137" s="35">
        <v>95</v>
      </c>
      <c r="G137" s="35">
        <v>105</v>
      </c>
      <c r="H137" s="35">
        <v>10</v>
      </c>
      <c r="I137" s="100">
        <v>300</v>
      </c>
      <c r="J137" s="21">
        <f t="shared" si="13"/>
        <v>10500</v>
      </c>
      <c r="K137" s="7"/>
      <c r="V137" s="5">
        <f t="shared" si="10"/>
        <v>1</v>
      </c>
      <c r="W137" s="5">
        <f t="shared" si="11"/>
        <v>0</v>
      </c>
    </row>
    <row r="138" spans="1:23" s="36" customFormat="1" x14ac:dyDescent="0.3">
      <c r="A138" s="6"/>
      <c r="B138" s="17">
        <f t="shared" si="12"/>
        <v>10</v>
      </c>
      <c r="C138" s="18">
        <v>45147</v>
      </c>
      <c r="D138" s="19" t="s">
        <v>18</v>
      </c>
      <c r="E138" s="19" t="s">
        <v>897</v>
      </c>
      <c r="F138" s="35">
        <v>110</v>
      </c>
      <c r="G138" s="35">
        <v>145</v>
      </c>
      <c r="H138" s="35">
        <f>145-110</f>
        <v>35</v>
      </c>
      <c r="I138" s="20">
        <v>300</v>
      </c>
      <c r="J138" s="21">
        <f t="shared" si="9"/>
        <v>10500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11</v>
      </c>
      <c r="C139" s="18">
        <v>45148</v>
      </c>
      <c r="D139" s="19" t="s">
        <v>18</v>
      </c>
      <c r="E139" s="19" t="s">
        <v>878</v>
      </c>
      <c r="F139" s="19">
        <v>100</v>
      </c>
      <c r="G139" s="35">
        <v>80</v>
      </c>
      <c r="H139" s="35">
        <v>-20</v>
      </c>
      <c r="I139" s="20">
        <v>300</v>
      </c>
      <c r="J139" s="21">
        <f t="shared" si="9"/>
        <v>-6000</v>
      </c>
      <c r="K139" s="7"/>
      <c r="V139" s="5">
        <f t="shared" si="10"/>
        <v>0</v>
      </c>
      <c r="W139" s="5">
        <f t="shared" si="11"/>
        <v>1</v>
      </c>
    </row>
    <row r="140" spans="1:23" s="36" customFormat="1" x14ac:dyDescent="0.3">
      <c r="A140" s="6"/>
      <c r="B140" s="17">
        <f t="shared" si="12"/>
        <v>12</v>
      </c>
      <c r="C140" s="18">
        <v>45149</v>
      </c>
      <c r="D140" s="19" t="s">
        <v>18</v>
      </c>
      <c r="E140" s="19" t="s">
        <v>875</v>
      </c>
      <c r="F140" s="35">
        <v>120</v>
      </c>
      <c r="G140" s="35">
        <v>130</v>
      </c>
      <c r="H140" s="35">
        <v>10</v>
      </c>
      <c r="I140" s="20">
        <v>300</v>
      </c>
      <c r="J140" s="21">
        <f t="shared" si="9"/>
        <v>3000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13</v>
      </c>
      <c r="C141" s="18">
        <v>45154</v>
      </c>
      <c r="D141" s="19" t="s">
        <v>18</v>
      </c>
      <c r="E141" s="19" t="s">
        <v>862</v>
      </c>
      <c r="F141" s="35">
        <v>100</v>
      </c>
      <c r="G141" s="35">
        <v>123</v>
      </c>
      <c r="H141" s="35">
        <f>123-100</f>
        <v>23</v>
      </c>
      <c r="I141" s="20">
        <v>300</v>
      </c>
      <c r="J141" s="21">
        <f t="shared" si="9"/>
        <v>6900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14</v>
      </c>
      <c r="C142" s="18">
        <v>45154</v>
      </c>
      <c r="D142" s="19" t="s">
        <v>18</v>
      </c>
      <c r="E142" s="19" t="s">
        <v>862</v>
      </c>
      <c r="F142" s="77">
        <v>105</v>
      </c>
      <c r="G142" s="35">
        <v>140</v>
      </c>
      <c r="H142" s="78">
        <f>140-105</f>
        <v>35</v>
      </c>
      <c r="I142" s="20">
        <v>300</v>
      </c>
      <c r="J142" s="21">
        <f t="shared" si="9"/>
        <v>10500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15</v>
      </c>
      <c r="C143" s="18">
        <v>45155</v>
      </c>
      <c r="D143" s="19" t="s">
        <v>18</v>
      </c>
      <c r="E143" s="19" t="s">
        <v>877</v>
      </c>
      <c r="F143" s="35">
        <v>95</v>
      </c>
      <c r="G143" s="35">
        <v>126</v>
      </c>
      <c r="H143" s="78">
        <f>126-95</f>
        <v>31</v>
      </c>
      <c r="I143" s="20">
        <v>300</v>
      </c>
      <c r="J143" s="21">
        <f t="shared" si="9"/>
        <v>9300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16</v>
      </c>
      <c r="C144" s="18">
        <v>45156</v>
      </c>
      <c r="D144" s="19" t="s">
        <v>18</v>
      </c>
      <c r="E144" s="19" t="s">
        <v>908</v>
      </c>
      <c r="F144" s="35">
        <v>115</v>
      </c>
      <c r="G144" s="35">
        <v>130</v>
      </c>
      <c r="H144" s="78">
        <v>15</v>
      </c>
      <c r="I144" s="20">
        <v>300</v>
      </c>
      <c r="J144" s="21">
        <f t="shared" si="9"/>
        <v>4500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17</v>
      </c>
      <c r="C145" s="18">
        <v>45156</v>
      </c>
      <c r="D145" s="19" t="s">
        <v>18</v>
      </c>
      <c r="E145" s="19" t="s">
        <v>908</v>
      </c>
      <c r="F145" s="35">
        <v>125</v>
      </c>
      <c r="G145" s="35">
        <v>140</v>
      </c>
      <c r="H145" s="78">
        <f>140-125</f>
        <v>15</v>
      </c>
      <c r="I145" s="20">
        <v>300</v>
      </c>
      <c r="J145" s="21">
        <f t="shared" si="9"/>
        <v>4500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18</v>
      </c>
      <c r="C146" s="18">
        <v>45159</v>
      </c>
      <c r="D146" s="19" t="s">
        <v>18</v>
      </c>
      <c r="E146" s="19" t="s">
        <v>862</v>
      </c>
      <c r="F146" s="35">
        <v>100</v>
      </c>
      <c r="G146" s="35">
        <v>108</v>
      </c>
      <c r="H146" s="78">
        <v>8</v>
      </c>
      <c r="I146" s="20">
        <v>300</v>
      </c>
      <c r="J146" s="21">
        <f t="shared" si="9"/>
        <v>2400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19</v>
      </c>
      <c r="C147" s="18">
        <v>45159</v>
      </c>
      <c r="D147" s="19" t="s">
        <v>18</v>
      </c>
      <c r="E147" s="19" t="s">
        <v>862</v>
      </c>
      <c r="F147" s="35">
        <v>120</v>
      </c>
      <c r="G147" s="35">
        <v>126</v>
      </c>
      <c r="H147" s="78">
        <v>6</v>
      </c>
      <c r="I147" s="20">
        <v>300</v>
      </c>
      <c r="J147" s="21">
        <f t="shared" si="9"/>
        <v>1800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20</v>
      </c>
      <c r="C148" s="18">
        <v>45160</v>
      </c>
      <c r="D148" s="19" t="s">
        <v>18</v>
      </c>
      <c r="E148" s="19" t="s">
        <v>867</v>
      </c>
      <c r="F148" s="35">
        <v>100</v>
      </c>
      <c r="G148" s="35">
        <v>80</v>
      </c>
      <c r="H148" s="35">
        <v>-20</v>
      </c>
      <c r="I148" s="20">
        <v>300</v>
      </c>
      <c r="J148" s="21">
        <f t="shared" si="9"/>
        <v>-6000</v>
      </c>
      <c r="K148" s="7"/>
      <c r="V148" s="5">
        <f t="shared" si="10"/>
        <v>0</v>
      </c>
      <c r="W148" s="5">
        <f t="shared" si="11"/>
        <v>1</v>
      </c>
    </row>
    <row r="149" spans="1:23" s="36" customFormat="1" x14ac:dyDescent="0.3">
      <c r="A149" s="6"/>
      <c r="B149" s="17">
        <f t="shared" si="12"/>
        <v>21</v>
      </c>
      <c r="C149" s="18">
        <v>45160</v>
      </c>
      <c r="D149" s="19" t="s">
        <v>18</v>
      </c>
      <c r="E149" s="19" t="s">
        <v>866</v>
      </c>
      <c r="F149" s="35">
        <v>115</v>
      </c>
      <c r="G149" s="35">
        <v>95</v>
      </c>
      <c r="H149" s="35">
        <v>-20</v>
      </c>
      <c r="I149" s="20">
        <v>300</v>
      </c>
      <c r="J149" s="21">
        <f t="shared" si="9"/>
        <v>-6000</v>
      </c>
      <c r="K149" s="7"/>
      <c r="V149" s="5">
        <f t="shared" si="10"/>
        <v>0</v>
      </c>
      <c r="W149" s="5">
        <f t="shared" si="11"/>
        <v>1</v>
      </c>
    </row>
    <row r="150" spans="1:23" s="36" customFormat="1" x14ac:dyDescent="0.3">
      <c r="A150" s="6"/>
      <c r="B150" s="17">
        <f t="shared" si="12"/>
        <v>22</v>
      </c>
      <c r="C150" s="18">
        <v>45161</v>
      </c>
      <c r="D150" s="19" t="s">
        <v>18</v>
      </c>
      <c r="E150" s="19" t="s">
        <v>866</v>
      </c>
      <c r="F150" s="35">
        <v>100</v>
      </c>
      <c r="G150" s="35">
        <v>119</v>
      </c>
      <c r="H150" s="35">
        <v>19</v>
      </c>
      <c r="I150" s="20">
        <v>300</v>
      </c>
      <c r="J150" s="21">
        <f t="shared" si="9"/>
        <v>5700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23</v>
      </c>
      <c r="C151" s="18">
        <v>45161</v>
      </c>
      <c r="D151" s="19" t="s">
        <v>18</v>
      </c>
      <c r="E151" s="19" t="s">
        <v>867</v>
      </c>
      <c r="F151" s="35">
        <v>90</v>
      </c>
      <c r="G151" s="35">
        <v>114</v>
      </c>
      <c r="H151" s="35">
        <f>114-90</f>
        <v>24</v>
      </c>
      <c r="I151" s="20">
        <v>300</v>
      </c>
      <c r="J151" s="21">
        <f t="shared" si="9"/>
        <v>7200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>B151+1</f>
        <v>24</v>
      </c>
      <c r="C152" s="18">
        <v>45162</v>
      </c>
      <c r="D152" s="19" t="s">
        <v>18</v>
      </c>
      <c r="E152" s="19" t="s">
        <v>870</v>
      </c>
      <c r="F152" s="35">
        <v>105</v>
      </c>
      <c r="G152" s="35">
        <v>115</v>
      </c>
      <c r="H152" s="35">
        <v>10</v>
      </c>
      <c r="I152" s="20">
        <v>300</v>
      </c>
      <c r="J152" s="21">
        <f t="shared" si="9"/>
        <v>3000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ref="B153:B174" si="14">B152+1</f>
        <v>25</v>
      </c>
      <c r="C153" s="18">
        <v>45162</v>
      </c>
      <c r="D153" s="19" t="s">
        <v>18</v>
      </c>
      <c r="E153" s="19" t="s">
        <v>875</v>
      </c>
      <c r="F153" s="35">
        <v>120</v>
      </c>
      <c r="G153" s="35">
        <v>155</v>
      </c>
      <c r="H153" s="35">
        <f>155-120</f>
        <v>35</v>
      </c>
      <c r="I153" s="20">
        <v>300</v>
      </c>
      <c r="J153" s="21">
        <f t="shared" si="9"/>
        <v>10500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4"/>
        <v>26</v>
      </c>
      <c r="C154" s="18">
        <v>45163</v>
      </c>
      <c r="D154" s="19" t="s">
        <v>18</v>
      </c>
      <c r="E154" s="19" t="s">
        <v>909</v>
      </c>
      <c r="F154" s="35">
        <v>95</v>
      </c>
      <c r="G154" s="35">
        <v>130</v>
      </c>
      <c r="H154" s="35">
        <f>130-95</f>
        <v>35</v>
      </c>
      <c r="I154" s="20">
        <v>300</v>
      </c>
      <c r="J154" s="21">
        <f t="shared" si="9"/>
        <v>10500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4"/>
        <v>27</v>
      </c>
      <c r="C155" s="18">
        <v>45163</v>
      </c>
      <c r="D155" s="19" t="s">
        <v>18</v>
      </c>
      <c r="E155" s="19" t="s">
        <v>909</v>
      </c>
      <c r="F155" s="35">
        <v>100</v>
      </c>
      <c r="G155" s="35">
        <v>135</v>
      </c>
      <c r="H155" s="35">
        <v>35</v>
      </c>
      <c r="I155" s="20">
        <v>300</v>
      </c>
      <c r="J155" s="21">
        <f t="shared" si="9"/>
        <v>10500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4"/>
        <v>28</v>
      </c>
      <c r="C156" s="18">
        <v>45166</v>
      </c>
      <c r="D156" s="19" t="s">
        <v>18</v>
      </c>
      <c r="E156" s="19" t="s">
        <v>909</v>
      </c>
      <c r="F156" s="35">
        <v>100</v>
      </c>
      <c r="G156" s="35">
        <v>108</v>
      </c>
      <c r="H156" s="35">
        <v>8</v>
      </c>
      <c r="I156" s="20">
        <v>300</v>
      </c>
      <c r="J156" s="21">
        <f t="shared" si="9"/>
        <v>2400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4"/>
        <v>29</v>
      </c>
      <c r="C157" s="18">
        <v>45166</v>
      </c>
      <c r="D157" s="19" t="s">
        <v>18</v>
      </c>
      <c r="E157" s="19" t="s">
        <v>862</v>
      </c>
      <c r="F157" s="35">
        <v>95</v>
      </c>
      <c r="G157" s="35">
        <v>106</v>
      </c>
      <c r="H157" s="19">
        <f>106-95</f>
        <v>11</v>
      </c>
      <c r="I157" s="20">
        <v>300</v>
      </c>
      <c r="J157" s="21">
        <f t="shared" si="9"/>
        <v>3300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4"/>
        <v>30</v>
      </c>
      <c r="C158" s="18">
        <v>45167</v>
      </c>
      <c r="D158" s="19" t="s">
        <v>18</v>
      </c>
      <c r="E158" s="19" t="s">
        <v>862</v>
      </c>
      <c r="F158" s="35">
        <v>95</v>
      </c>
      <c r="G158" s="35">
        <v>100</v>
      </c>
      <c r="H158" s="35">
        <v>5</v>
      </c>
      <c r="I158" s="20">
        <v>300</v>
      </c>
      <c r="J158" s="21">
        <f t="shared" si="9"/>
        <v>1500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4"/>
        <v>31</v>
      </c>
      <c r="C159" s="18">
        <v>45168</v>
      </c>
      <c r="D159" s="19" t="s">
        <v>18</v>
      </c>
      <c r="E159" s="19" t="s">
        <v>867</v>
      </c>
      <c r="F159" s="35">
        <v>90</v>
      </c>
      <c r="G159" s="35">
        <v>105</v>
      </c>
      <c r="H159" s="35">
        <f>105-90</f>
        <v>15</v>
      </c>
      <c r="I159" s="20">
        <v>300</v>
      </c>
      <c r="J159" s="21">
        <f t="shared" si="9"/>
        <v>4500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 t="shared" si="14"/>
        <v>32</v>
      </c>
      <c r="C160" s="18">
        <v>45168</v>
      </c>
      <c r="D160" s="19" t="s">
        <v>18</v>
      </c>
      <c r="E160" s="19" t="s">
        <v>877</v>
      </c>
      <c r="F160" s="35">
        <v>115</v>
      </c>
      <c r="G160" s="35">
        <v>150</v>
      </c>
      <c r="H160" s="35">
        <f>150-115</f>
        <v>35</v>
      </c>
      <c r="I160" s="20">
        <v>300</v>
      </c>
      <c r="J160" s="21">
        <f t="shared" si="9"/>
        <v>10500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si="14"/>
        <v>33</v>
      </c>
      <c r="C161" s="18">
        <v>45169</v>
      </c>
      <c r="D161" s="19" t="s">
        <v>18</v>
      </c>
      <c r="E161" s="19" t="s">
        <v>866</v>
      </c>
      <c r="F161" s="35">
        <v>105</v>
      </c>
      <c r="G161" s="35">
        <v>120</v>
      </c>
      <c r="H161" s="35">
        <f>120-105</f>
        <v>15</v>
      </c>
      <c r="I161" s="20">
        <v>300</v>
      </c>
      <c r="J161" s="21">
        <f t="shared" si="9"/>
        <v>4500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4"/>
        <v>34</v>
      </c>
      <c r="C162" s="18"/>
      <c r="D162" s="19"/>
      <c r="E162" s="19"/>
      <c r="F162" s="35"/>
      <c r="G162" s="35"/>
      <c r="H162" s="35"/>
      <c r="I162" s="20"/>
      <c r="J162" s="21">
        <f t="shared" si="9"/>
        <v>0</v>
      </c>
      <c r="K162" s="7"/>
      <c r="V162" s="5">
        <f t="shared" si="10"/>
        <v>0</v>
      </c>
      <c r="W162" s="5">
        <f t="shared" si="11"/>
        <v>0</v>
      </c>
    </row>
    <row r="163" spans="1:23" s="36" customFormat="1" hidden="1" x14ac:dyDescent="0.3">
      <c r="A163" s="6"/>
      <c r="B163" s="17">
        <f t="shared" si="14"/>
        <v>35</v>
      </c>
      <c r="C163" s="18"/>
      <c r="D163" s="19"/>
      <c r="E163" s="19"/>
      <c r="F163" s="35"/>
      <c r="G163" s="35"/>
      <c r="H163" s="35"/>
      <c r="I163" s="20"/>
      <c r="J163" s="21">
        <f t="shared" si="9"/>
        <v>0</v>
      </c>
      <c r="K163" s="7"/>
      <c r="V163" s="5">
        <f t="shared" si="10"/>
        <v>0</v>
      </c>
      <c r="W163" s="5">
        <f t="shared" si="11"/>
        <v>0</v>
      </c>
    </row>
    <row r="164" spans="1:23" s="36" customFormat="1" hidden="1" x14ac:dyDescent="0.3">
      <c r="A164" s="6"/>
      <c r="B164" s="17">
        <f t="shared" si="14"/>
        <v>36</v>
      </c>
      <c r="C164" s="18"/>
      <c r="D164" s="19"/>
      <c r="E164" s="19"/>
      <c r="F164" s="35"/>
      <c r="G164" s="35"/>
      <c r="H164" s="35"/>
      <c r="I164" s="20"/>
      <c r="J164" s="21">
        <f t="shared" si="9"/>
        <v>0</v>
      </c>
      <c r="K164" s="7"/>
      <c r="V164" s="5">
        <f t="shared" si="10"/>
        <v>0</v>
      </c>
      <c r="W164" s="5">
        <f t="shared" si="11"/>
        <v>0</v>
      </c>
    </row>
    <row r="165" spans="1:23" s="36" customFormat="1" hidden="1" x14ac:dyDescent="0.3">
      <c r="A165" s="6"/>
      <c r="B165" s="17">
        <f t="shared" si="14"/>
        <v>37</v>
      </c>
      <c r="C165" s="18"/>
      <c r="D165" s="19"/>
      <c r="E165" s="19"/>
      <c r="F165" s="35"/>
      <c r="G165" s="35"/>
      <c r="H165" s="35"/>
      <c r="I165" s="20"/>
      <c r="J165" s="21">
        <f t="shared" si="9"/>
        <v>0</v>
      </c>
      <c r="K165" s="7"/>
      <c r="V165" s="5">
        <f t="shared" si="10"/>
        <v>0</v>
      </c>
      <c r="W165" s="5">
        <f t="shared" si="11"/>
        <v>0</v>
      </c>
    </row>
    <row r="166" spans="1:23" s="36" customFormat="1" hidden="1" x14ac:dyDescent="0.3">
      <c r="A166" s="6"/>
      <c r="B166" s="17">
        <f t="shared" si="14"/>
        <v>38</v>
      </c>
      <c r="C166" s="18"/>
      <c r="D166" s="19"/>
      <c r="E166" s="19"/>
      <c r="F166" s="35"/>
      <c r="G166" s="35"/>
      <c r="H166" s="35"/>
      <c r="I166" s="20"/>
      <c r="J166" s="21">
        <f t="shared" si="9"/>
        <v>0</v>
      </c>
      <c r="K166" s="7"/>
      <c r="V166" s="5">
        <f t="shared" si="10"/>
        <v>0</v>
      </c>
      <c r="W166" s="5">
        <f t="shared" si="11"/>
        <v>0</v>
      </c>
    </row>
    <row r="167" spans="1:23" s="36" customFormat="1" hidden="1" x14ac:dyDescent="0.3">
      <c r="A167" s="6"/>
      <c r="B167" s="17">
        <f t="shared" si="14"/>
        <v>39</v>
      </c>
      <c r="C167" s="18"/>
      <c r="D167" s="19"/>
      <c r="E167" s="19"/>
      <c r="F167" s="35"/>
      <c r="G167" s="35"/>
      <c r="H167" s="35"/>
      <c r="I167" s="20"/>
      <c r="J167" s="21">
        <f t="shared" si="9"/>
        <v>0</v>
      </c>
      <c r="K167" s="7"/>
      <c r="V167" s="5">
        <f t="shared" si="10"/>
        <v>0</v>
      </c>
      <c r="W167" s="5">
        <f t="shared" si="11"/>
        <v>0</v>
      </c>
    </row>
    <row r="168" spans="1:23" s="36" customFormat="1" hidden="1" x14ac:dyDescent="0.3">
      <c r="A168" s="6"/>
      <c r="B168" s="17">
        <f t="shared" si="14"/>
        <v>40</v>
      </c>
      <c r="C168" s="18"/>
      <c r="D168" s="19"/>
      <c r="E168" s="19"/>
      <c r="F168" s="35"/>
      <c r="G168" s="35"/>
      <c r="H168" s="35"/>
      <c r="I168" s="20"/>
      <c r="J168" s="21">
        <f t="shared" si="9"/>
        <v>0</v>
      </c>
      <c r="K168" s="7"/>
      <c r="V168" s="5">
        <f t="shared" si="10"/>
        <v>0</v>
      </c>
      <c r="W168" s="5">
        <f t="shared" si="11"/>
        <v>0</v>
      </c>
    </row>
    <row r="169" spans="1:23" s="36" customFormat="1" hidden="1" x14ac:dyDescent="0.3">
      <c r="A169" s="6"/>
      <c r="B169" s="17">
        <f t="shared" si="14"/>
        <v>41</v>
      </c>
      <c r="C169" s="18"/>
      <c r="D169" s="19"/>
      <c r="E169" s="19"/>
      <c r="F169" s="35"/>
      <c r="G169" s="35"/>
      <c r="H169" s="35"/>
      <c r="I169" s="20"/>
      <c r="J169" s="21">
        <f t="shared" si="9"/>
        <v>0</v>
      </c>
      <c r="K169" s="7"/>
      <c r="V169" s="5">
        <f t="shared" si="10"/>
        <v>0</v>
      </c>
      <c r="W169" s="5">
        <f t="shared" si="11"/>
        <v>0</v>
      </c>
    </row>
    <row r="170" spans="1:23" s="36" customFormat="1" hidden="1" x14ac:dyDescent="0.3">
      <c r="A170" s="6"/>
      <c r="B170" s="17">
        <f t="shared" si="14"/>
        <v>42</v>
      </c>
      <c r="C170" s="18"/>
      <c r="D170" s="19"/>
      <c r="E170" s="19"/>
      <c r="F170" s="35"/>
      <c r="G170" s="35"/>
      <c r="H170" s="35"/>
      <c r="I170" s="20"/>
      <c r="J170" s="21">
        <f t="shared" si="9"/>
        <v>0</v>
      </c>
      <c r="K170" s="7"/>
      <c r="V170" s="5">
        <f t="shared" si="10"/>
        <v>0</v>
      </c>
      <c r="W170" s="5">
        <f t="shared" si="11"/>
        <v>0</v>
      </c>
    </row>
    <row r="171" spans="1:23" s="36" customFormat="1" hidden="1" x14ac:dyDescent="0.3">
      <c r="A171" s="6"/>
      <c r="B171" s="17">
        <f t="shared" si="14"/>
        <v>43</v>
      </c>
      <c r="C171" s="18"/>
      <c r="D171" s="19"/>
      <c r="E171" s="19"/>
      <c r="F171" s="35"/>
      <c r="G171" s="35"/>
      <c r="H171" s="35"/>
      <c r="I171" s="20"/>
      <c r="J171" s="21">
        <f t="shared" si="9"/>
        <v>0</v>
      </c>
      <c r="K171" s="7"/>
      <c r="V171" s="5">
        <f t="shared" si="10"/>
        <v>0</v>
      </c>
      <c r="W171" s="5">
        <f t="shared" si="11"/>
        <v>0</v>
      </c>
    </row>
    <row r="172" spans="1:23" s="36" customFormat="1" hidden="1" x14ac:dyDescent="0.3">
      <c r="A172" s="6"/>
      <c r="B172" s="17">
        <f t="shared" si="14"/>
        <v>44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hidden="1" x14ac:dyDescent="0.3">
      <c r="A173" s="6"/>
      <c r="B173" s="17">
        <f t="shared" si="14"/>
        <v>45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ht="15" hidden="1" thickBot="1" x14ac:dyDescent="0.35">
      <c r="A174" s="6"/>
      <c r="B174" s="95">
        <f t="shared" si="14"/>
        <v>46</v>
      </c>
      <c r="C174" s="79"/>
      <c r="D174" s="80"/>
      <c r="E174" s="80"/>
      <c r="F174" s="96"/>
      <c r="G174" s="96"/>
      <c r="H174" s="96"/>
      <c r="I174" s="81"/>
      <c r="J174" s="82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ht="24" thickBot="1" x14ac:dyDescent="0.5">
      <c r="A175" s="6"/>
      <c r="B175" s="165" t="s">
        <v>22</v>
      </c>
      <c r="C175" s="166"/>
      <c r="D175" s="166"/>
      <c r="E175" s="166"/>
      <c r="F175" s="166"/>
      <c r="G175" s="166"/>
      <c r="H175" s="167"/>
      <c r="I175" s="83" t="s">
        <v>23</v>
      </c>
      <c r="J175" s="84">
        <f>SUM(J129:J174)</f>
        <v>139500</v>
      </c>
      <c r="K175" s="7"/>
      <c r="L175" s="5"/>
      <c r="M175" s="5"/>
      <c r="N175" s="5"/>
      <c r="O175" s="5"/>
      <c r="P175" s="5"/>
      <c r="Q175" s="5"/>
      <c r="R175" s="5"/>
      <c r="V175" s="36">
        <f>SUM(V129:V174)</f>
        <v>27</v>
      </c>
      <c r="W175" s="36">
        <f>SUM(W129:W174)</f>
        <v>6</v>
      </c>
    </row>
    <row r="176" spans="1:23" s="36" customFormat="1" ht="30" customHeight="1" thickBot="1" x14ac:dyDescent="0.35">
      <c r="A176" s="30"/>
      <c r="B176" s="31"/>
      <c r="C176" s="31"/>
      <c r="D176" s="31"/>
      <c r="E176" s="31"/>
      <c r="F176" s="31"/>
      <c r="G176" s="31"/>
      <c r="H176" s="32"/>
      <c r="I176" s="31"/>
      <c r="J176" s="32"/>
      <c r="K176" s="33"/>
      <c r="L176" s="5"/>
      <c r="M176" s="5"/>
      <c r="N176" s="5"/>
      <c r="O176" s="5"/>
      <c r="P176" s="5"/>
      <c r="Q176" s="5"/>
      <c r="R176" s="5"/>
    </row>
  </sheetData>
  <mergeCells count="44">
    <mergeCell ref="B121:H121"/>
    <mergeCell ref="B125:J125"/>
    <mergeCell ref="B126:J126"/>
    <mergeCell ref="B127:J127"/>
    <mergeCell ref="B175:H175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59" r:id="rId1" xr:uid="{00000000-0004-0000-2500-000000000000}"/>
    <hyperlink ref="B121" r:id="rId2" xr:uid="{00000000-0004-0000-2500-000001000000}"/>
    <hyperlink ref="B175" r:id="rId3" xr:uid="{00000000-0004-0000-2500-000002000000}"/>
    <hyperlink ref="M1" location="MASTER!A1" display="Back" xr:uid="{00000000-0004-0000-2500-000003000000}"/>
    <hyperlink ref="M6:M7" location="'APRIL 2023'!A70" display="EXTRA STOCK FUTURE" xr:uid="{00000000-0004-0000-2500-000004000000}"/>
    <hyperlink ref="M8:M9" location="'APRIL 2023'!A140" display="EXTRA NIFTY OPTION" xr:uid="{00000000-0004-0000-2500-000005000000}"/>
    <hyperlink ref="M4:M5" location="'APRIL 2023'!A1" display="EXTRA BANKNIFTY OPTION" xr:uid="{00000000-0004-0000-2500-000006000000}"/>
  </hyperlinks>
  <pageMargins left="0" right="0" top="0" bottom="0" header="0" footer="0"/>
  <pageSetup paperSize="9" orientation="portrait" r:id="rId4"/>
  <drawing r:id="rId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176"/>
  <sheetViews>
    <sheetView topLeftCell="A2" zoomScaleNormal="100" workbookViewId="0">
      <selection activeCell="L71" sqref="L71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9.109375" style="5" customWidth="1"/>
    <col min="22" max="23" width="9.109375" style="5" hidden="1" customWidth="1"/>
    <col min="24" max="24" width="9.109375" style="5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225" t="s">
        <v>3</v>
      </c>
      <c r="N2" s="226" t="s">
        <v>4</v>
      </c>
      <c r="O2" s="227" t="s">
        <v>5</v>
      </c>
      <c r="P2" s="227" t="s">
        <v>6</v>
      </c>
      <c r="Q2" s="227" t="s">
        <v>7</v>
      </c>
      <c r="R2" s="224" t="s">
        <v>8</v>
      </c>
    </row>
    <row r="3" spans="1:23" ht="16.2" thickBot="1" x14ac:dyDescent="0.35">
      <c r="A3" s="6"/>
      <c r="B3" s="103">
        <v>45170</v>
      </c>
      <c r="C3" s="104"/>
      <c r="D3" s="104"/>
      <c r="E3" s="104"/>
      <c r="F3" s="104"/>
      <c r="G3" s="104"/>
      <c r="H3" s="104"/>
      <c r="I3" s="104"/>
      <c r="J3" s="105"/>
      <c r="K3" s="7"/>
      <c r="M3" s="225"/>
      <c r="N3" s="226"/>
      <c r="O3" s="227"/>
      <c r="P3" s="227"/>
      <c r="Q3" s="227"/>
      <c r="R3" s="224"/>
    </row>
    <row r="4" spans="1:23" ht="16.5" customHeight="1" thickBot="1" x14ac:dyDescent="0.35">
      <c r="A4" s="6"/>
      <c r="B4" s="106" t="s">
        <v>900</v>
      </c>
      <c r="C4" s="107"/>
      <c r="D4" s="107"/>
      <c r="E4" s="107"/>
      <c r="F4" s="107"/>
      <c r="G4" s="107"/>
      <c r="H4" s="107"/>
      <c r="I4" s="107"/>
      <c r="J4" s="108"/>
      <c r="K4" s="7"/>
      <c r="M4" s="221" t="s">
        <v>107</v>
      </c>
      <c r="N4" s="222">
        <f>COUNT(C6:C58)</f>
        <v>36</v>
      </c>
      <c r="O4" s="222">
        <f>V59</f>
        <v>29</v>
      </c>
      <c r="P4" s="222">
        <f>W59</f>
        <v>7</v>
      </c>
      <c r="Q4" s="222">
        <f>N4-O4-P4</f>
        <v>0</v>
      </c>
      <c r="R4" s="220">
        <f>O4/N4</f>
        <v>0.80555555555555558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221"/>
      <c r="N5" s="222"/>
      <c r="O5" s="222"/>
      <c r="P5" s="222"/>
      <c r="Q5" s="222"/>
      <c r="R5" s="220"/>
      <c r="V5" s="5" t="s">
        <v>5</v>
      </c>
      <c r="W5" s="5" t="s">
        <v>6</v>
      </c>
    </row>
    <row r="6" spans="1:23" ht="15" customHeight="1" thickBot="1" x14ac:dyDescent="0.35">
      <c r="A6" s="6"/>
      <c r="B6" s="88">
        <v>1</v>
      </c>
      <c r="C6" s="89">
        <v>45170</v>
      </c>
      <c r="D6" s="90" t="s">
        <v>18</v>
      </c>
      <c r="E6" s="90" t="s">
        <v>845</v>
      </c>
      <c r="F6" s="90">
        <v>160</v>
      </c>
      <c r="G6" s="90">
        <v>260</v>
      </c>
      <c r="H6" s="91">
        <v>100</v>
      </c>
      <c r="I6" s="90">
        <v>120</v>
      </c>
      <c r="J6" s="92">
        <f t="shared" ref="J6:J58" si="0">H6*I6</f>
        <v>12000</v>
      </c>
      <c r="K6" s="7"/>
      <c r="M6" s="221" t="s">
        <v>108</v>
      </c>
      <c r="N6" s="222">
        <f>COUNT(C67:C120)</f>
        <v>4</v>
      </c>
      <c r="O6" s="222">
        <v>4</v>
      </c>
      <c r="P6" s="222">
        <f>W121</f>
        <v>0</v>
      </c>
      <c r="Q6" s="222">
        <v>0</v>
      </c>
      <c r="R6" s="220">
        <f t="shared" ref="R6" si="1">O6/N6</f>
        <v>1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ht="15" thickBot="1" x14ac:dyDescent="0.35">
      <c r="A7" s="6"/>
      <c r="B7" s="17">
        <v>2</v>
      </c>
      <c r="C7" s="85">
        <v>45170</v>
      </c>
      <c r="D7" s="86" t="s">
        <v>18</v>
      </c>
      <c r="E7" s="86" t="s">
        <v>845</v>
      </c>
      <c r="F7" s="86">
        <v>150</v>
      </c>
      <c r="G7" s="86">
        <v>100</v>
      </c>
      <c r="H7" s="87">
        <v>-50</v>
      </c>
      <c r="I7" s="86">
        <v>120</v>
      </c>
      <c r="J7" s="21">
        <f t="shared" si="0"/>
        <v>-6000</v>
      </c>
      <c r="K7" s="7"/>
      <c r="M7" s="221"/>
      <c r="N7" s="222"/>
      <c r="O7" s="222"/>
      <c r="P7" s="222"/>
      <c r="Q7" s="222"/>
      <c r="R7" s="220"/>
      <c r="V7" s="5">
        <f t="shared" si="2"/>
        <v>0</v>
      </c>
      <c r="W7" s="5">
        <f t="shared" si="3"/>
        <v>1</v>
      </c>
    </row>
    <row r="8" spans="1:23" ht="15" thickBot="1" x14ac:dyDescent="0.35">
      <c r="A8" s="6"/>
      <c r="B8" s="88">
        <v>3</v>
      </c>
      <c r="C8" s="85">
        <v>45173</v>
      </c>
      <c r="D8" s="86" t="s">
        <v>18</v>
      </c>
      <c r="E8" s="86" t="s">
        <v>838</v>
      </c>
      <c r="F8" s="86">
        <v>150</v>
      </c>
      <c r="G8" s="86">
        <v>180</v>
      </c>
      <c r="H8" s="87">
        <v>30</v>
      </c>
      <c r="I8" s="86">
        <v>120</v>
      </c>
      <c r="J8" s="21">
        <f t="shared" si="0"/>
        <v>3600</v>
      </c>
      <c r="K8" s="7"/>
      <c r="M8" s="223" t="s">
        <v>194</v>
      </c>
      <c r="N8" s="222">
        <f>COUNT(C129:C174)</f>
        <v>31</v>
      </c>
      <c r="O8" s="222">
        <v>27</v>
      </c>
      <c r="P8" s="222">
        <v>4</v>
      </c>
      <c r="Q8" s="222">
        <v>0</v>
      </c>
      <c r="R8" s="220">
        <f t="shared" ref="R8:R10" si="4">O8/N8</f>
        <v>0.87096774193548387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45173</v>
      </c>
      <c r="D9" s="86" t="s">
        <v>18</v>
      </c>
      <c r="E9" s="86" t="s">
        <v>907</v>
      </c>
      <c r="F9" s="86">
        <v>120</v>
      </c>
      <c r="G9" s="86">
        <v>70</v>
      </c>
      <c r="H9" s="87">
        <v>-50</v>
      </c>
      <c r="I9" s="86">
        <v>120</v>
      </c>
      <c r="J9" s="21">
        <f t="shared" si="0"/>
        <v>-6000</v>
      </c>
      <c r="K9" s="7"/>
      <c r="M9" s="223"/>
      <c r="N9" s="222"/>
      <c r="O9" s="222"/>
      <c r="P9" s="222"/>
      <c r="Q9" s="222"/>
      <c r="R9" s="220"/>
      <c r="V9" s="5">
        <f t="shared" si="2"/>
        <v>0</v>
      </c>
      <c r="W9" s="5">
        <f t="shared" si="3"/>
        <v>1</v>
      </c>
    </row>
    <row r="10" spans="1:23" ht="16.5" customHeight="1" thickBot="1" x14ac:dyDescent="0.35">
      <c r="A10" s="6"/>
      <c r="B10" s="88">
        <v>5</v>
      </c>
      <c r="C10" s="85">
        <v>45174</v>
      </c>
      <c r="D10" s="86" t="s">
        <v>18</v>
      </c>
      <c r="E10" s="86" t="s">
        <v>907</v>
      </c>
      <c r="F10" s="86">
        <v>120</v>
      </c>
      <c r="G10" s="86">
        <v>70</v>
      </c>
      <c r="H10" s="87">
        <v>-50</v>
      </c>
      <c r="I10" s="86">
        <v>120</v>
      </c>
      <c r="J10" s="21">
        <f t="shared" si="0"/>
        <v>-6000</v>
      </c>
      <c r="K10" s="7"/>
      <c r="M10" s="218" t="s">
        <v>19</v>
      </c>
      <c r="N10" s="219">
        <f>SUM(N4:N9)</f>
        <v>71</v>
      </c>
      <c r="O10" s="219">
        <f>SUM(O4:O9)</f>
        <v>60</v>
      </c>
      <c r="P10" s="219">
        <f>SUM(P4:P9)</f>
        <v>11</v>
      </c>
      <c r="Q10" s="219">
        <f>SUM(Q4:Q9)</f>
        <v>0</v>
      </c>
      <c r="R10" s="220">
        <f t="shared" si="4"/>
        <v>0.84507042253521125</v>
      </c>
      <c r="V10" s="5">
        <f t="shared" si="2"/>
        <v>0</v>
      </c>
      <c r="W10" s="5">
        <f t="shared" si="3"/>
        <v>1</v>
      </c>
    </row>
    <row r="11" spans="1:23" ht="15.75" customHeight="1" thickBot="1" x14ac:dyDescent="0.35">
      <c r="A11" s="6"/>
      <c r="B11" s="17">
        <v>6</v>
      </c>
      <c r="C11" s="85">
        <v>45174</v>
      </c>
      <c r="D11" s="86" t="s">
        <v>18</v>
      </c>
      <c r="E11" s="86" t="s">
        <v>847</v>
      </c>
      <c r="F11" s="86">
        <v>130</v>
      </c>
      <c r="G11" s="86">
        <v>80</v>
      </c>
      <c r="H11" s="87">
        <v>-50</v>
      </c>
      <c r="I11" s="86">
        <v>120</v>
      </c>
      <c r="J11" s="21">
        <f t="shared" si="0"/>
        <v>-6000</v>
      </c>
      <c r="K11" s="7"/>
      <c r="M11" s="218"/>
      <c r="N11" s="219"/>
      <c r="O11" s="219"/>
      <c r="P11" s="219"/>
      <c r="Q11" s="219"/>
      <c r="R11" s="220"/>
      <c r="V11" s="5">
        <f t="shared" si="2"/>
        <v>0</v>
      </c>
      <c r="W11" s="5">
        <f t="shared" si="3"/>
        <v>1</v>
      </c>
    </row>
    <row r="12" spans="1:23" ht="15" customHeight="1" x14ac:dyDescent="0.3">
      <c r="A12" s="6"/>
      <c r="B12" s="88">
        <v>7</v>
      </c>
      <c r="C12" s="85">
        <v>45175</v>
      </c>
      <c r="D12" s="86" t="s">
        <v>18</v>
      </c>
      <c r="E12" s="86" t="s">
        <v>869</v>
      </c>
      <c r="F12" s="86">
        <v>120</v>
      </c>
      <c r="G12" s="86">
        <v>220</v>
      </c>
      <c r="H12" s="87">
        <v>100</v>
      </c>
      <c r="I12" s="86">
        <v>120</v>
      </c>
      <c r="J12" s="21">
        <f t="shared" si="0"/>
        <v>12000</v>
      </c>
      <c r="K12" s="7"/>
      <c r="M12" s="129" t="s">
        <v>20</v>
      </c>
      <c r="N12" s="130"/>
      <c r="O12" s="131"/>
      <c r="P12" s="138">
        <f>R10</f>
        <v>0.84507042253521125</v>
      </c>
      <c r="Q12" s="139"/>
      <c r="R12" s="140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45175</v>
      </c>
      <c r="D13" s="86" t="s">
        <v>18</v>
      </c>
      <c r="E13" s="86" t="s">
        <v>847</v>
      </c>
      <c r="F13" s="86">
        <v>140</v>
      </c>
      <c r="G13" s="86">
        <v>204</v>
      </c>
      <c r="H13" s="87">
        <f>204-140</f>
        <v>64</v>
      </c>
      <c r="I13" s="86">
        <v>120</v>
      </c>
      <c r="J13" s="21">
        <f t="shared" si="0"/>
        <v>7680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45176</v>
      </c>
      <c r="D14" s="86" t="s">
        <v>18</v>
      </c>
      <c r="E14" s="86" t="s">
        <v>910</v>
      </c>
      <c r="F14" s="86">
        <v>150</v>
      </c>
      <c r="G14" s="86">
        <v>175</v>
      </c>
      <c r="H14" s="87">
        <v>15</v>
      </c>
      <c r="I14" s="86">
        <v>120</v>
      </c>
      <c r="J14" s="21">
        <f t="shared" si="0"/>
        <v>1800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45177</v>
      </c>
      <c r="D15" s="86" t="s">
        <v>18</v>
      </c>
      <c r="E15" s="86" t="s">
        <v>860</v>
      </c>
      <c r="F15" s="86">
        <v>120</v>
      </c>
      <c r="G15" s="86">
        <v>220</v>
      </c>
      <c r="H15" s="87">
        <v>100</v>
      </c>
      <c r="I15" s="86">
        <v>120</v>
      </c>
      <c r="J15" s="21">
        <f t="shared" si="0"/>
        <v>12000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85">
        <v>45177</v>
      </c>
      <c r="D16" s="86" t="s">
        <v>18</v>
      </c>
      <c r="E16" s="86" t="s">
        <v>864</v>
      </c>
      <c r="F16" s="86">
        <v>150</v>
      </c>
      <c r="G16" s="86">
        <v>240</v>
      </c>
      <c r="H16" s="87">
        <f>240-150</f>
        <v>90</v>
      </c>
      <c r="I16" s="86">
        <v>120</v>
      </c>
      <c r="J16" s="21">
        <f t="shared" si="0"/>
        <v>10800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85">
        <v>45178</v>
      </c>
      <c r="D17" s="86" t="s">
        <v>18</v>
      </c>
      <c r="E17" s="86" t="s">
        <v>868</v>
      </c>
      <c r="F17" s="86">
        <v>140</v>
      </c>
      <c r="G17" s="86">
        <v>240</v>
      </c>
      <c r="H17" s="87">
        <v>100</v>
      </c>
      <c r="I17" s="86">
        <v>120</v>
      </c>
      <c r="J17" s="21">
        <f t="shared" si="0"/>
        <v>12000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85">
        <v>45178</v>
      </c>
      <c r="D18" s="86" t="s">
        <v>18</v>
      </c>
      <c r="E18" s="86" t="s">
        <v>868</v>
      </c>
      <c r="F18" s="86">
        <v>140</v>
      </c>
      <c r="G18" s="86">
        <v>240</v>
      </c>
      <c r="H18" s="87">
        <v>100</v>
      </c>
      <c r="I18" s="86">
        <v>120</v>
      </c>
      <c r="J18" s="21">
        <f t="shared" si="0"/>
        <v>12000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85">
        <v>45181</v>
      </c>
      <c r="D19" s="86" t="s">
        <v>18</v>
      </c>
      <c r="E19" s="86" t="s">
        <v>892</v>
      </c>
      <c r="F19" s="86">
        <v>130</v>
      </c>
      <c r="G19" s="86">
        <v>230</v>
      </c>
      <c r="H19" s="87">
        <v>100</v>
      </c>
      <c r="I19" s="86">
        <v>120</v>
      </c>
      <c r="J19" s="21">
        <f t="shared" si="0"/>
        <v>12000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85">
        <v>45182</v>
      </c>
      <c r="D20" s="86" t="s">
        <v>18</v>
      </c>
      <c r="E20" s="86" t="s">
        <v>914</v>
      </c>
      <c r="F20" s="86">
        <v>150</v>
      </c>
      <c r="G20" s="86">
        <v>198</v>
      </c>
      <c r="H20" s="87">
        <f>198-150</f>
        <v>48</v>
      </c>
      <c r="I20" s="86">
        <v>120</v>
      </c>
      <c r="J20" s="21">
        <f t="shared" si="0"/>
        <v>5760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85">
        <v>45182</v>
      </c>
      <c r="D21" s="86" t="s">
        <v>18</v>
      </c>
      <c r="E21" s="86" t="s">
        <v>902</v>
      </c>
      <c r="F21" s="86">
        <v>150</v>
      </c>
      <c r="G21" s="86">
        <v>213</v>
      </c>
      <c r="H21" s="87">
        <f>213-150</f>
        <v>63</v>
      </c>
      <c r="I21" s="86">
        <v>120</v>
      </c>
      <c r="J21" s="21">
        <f t="shared" si="0"/>
        <v>7560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45183</v>
      </c>
      <c r="D22" s="19" t="s">
        <v>18</v>
      </c>
      <c r="E22" s="19" t="s">
        <v>915</v>
      </c>
      <c r="F22" s="35">
        <v>160</v>
      </c>
      <c r="G22" s="35">
        <v>193</v>
      </c>
      <c r="H22" s="35">
        <f>193-160</f>
        <v>33</v>
      </c>
      <c r="I22" s="86">
        <v>120</v>
      </c>
      <c r="J22" s="21">
        <f t="shared" si="0"/>
        <v>3960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45184</v>
      </c>
      <c r="D23" s="19" t="s">
        <v>18</v>
      </c>
      <c r="E23" s="19" t="s">
        <v>916</v>
      </c>
      <c r="F23" s="35">
        <v>120</v>
      </c>
      <c r="G23" s="35">
        <v>205</v>
      </c>
      <c r="H23" s="35">
        <f>205-120</f>
        <v>85</v>
      </c>
      <c r="I23" s="86">
        <v>120</v>
      </c>
      <c r="J23" s="21">
        <f t="shared" si="0"/>
        <v>10200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45184</v>
      </c>
      <c r="D24" s="19" t="s">
        <v>18</v>
      </c>
      <c r="E24" s="19" t="s">
        <v>917</v>
      </c>
      <c r="F24" s="35">
        <v>160</v>
      </c>
      <c r="G24" s="35">
        <v>210</v>
      </c>
      <c r="H24" s="35">
        <f>210-160</f>
        <v>50</v>
      </c>
      <c r="I24" s="20">
        <v>120</v>
      </c>
      <c r="J24" s="21">
        <f t="shared" si="0"/>
        <v>6000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45187</v>
      </c>
      <c r="D25" s="19" t="s">
        <v>18</v>
      </c>
      <c r="E25" s="19" t="s">
        <v>917</v>
      </c>
      <c r="F25" s="35">
        <v>120</v>
      </c>
      <c r="G25" s="35">
        <v>150</v>
      </c>
      <c r="H25" s="35">
        <v>30</v>
      </c>
      <c r="I25" s="20">
        <v>120</v>
      </c>
      <c r="J25" s="21">
        <f t="shared" si="0"/>
        <v>3600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45187</v>
      </c>
      <c r="D26" s="19" t="s">
        <v>18</v>
      </c>
      <c r="E26" s="19" t="s">
        <v>895</v>
      </c>
      <c r="F26" s="35">
        <v>140</v>
      </c>
      <c r="G26" s="35">
        <v>90</v>
      </c>
      <c r="H26" s="35">
        <v>-50</v>
      </c>
      <c r="I26" s="20">
        <v>120</v>
      </c>
      <c r="J26" s="21">
        <f t="shared" si="0"/>
        <v>-6000</v>
      </c>
      <c r="K26" s="7"/>
      <c r="V26" s="5">
        <f t="shared" si="2"/>
        <v>0</v>
      </c>
      <c r="W26" s="5">
        <f t="shared" si="3"/>
        <v>1</v>
      </c>
    </row>
    <row r="27" spans="1:23" x14ac:dyDescent="0.3">
      <c r="A27" s="6"/>
      <c r="B27" s="17">
        <v>22</v>
      </c>
      <c r="C27" s="18">
        <v>45189</v>
      </c>
      <c r="D27" s="19" t="s">
        <v>18</v>
      </c>
      <c r="E27" s="19" t="s">
        <v>891</v>
      </c>
      <c r="F27" s="35">
        <v>140</v>
      </c>
      <c r="G27" s="35">
        <v>240</v>
      </c>
      <c r="H27" s="19">
        <v>100</v>
      </c>
      <c r="I27" s="20">
        <v>120</v>
      </c>
      <c r="J27" s="21">
        <f t="shared" si="0"/>
        <v>12000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45189</v>
      </c>
      <c r="D28" s="19" t="s">
        <v>18</v>
      </c>
      <c r="E28" s="19" t="s">
        <v>902</v>
      </c>
      <c r="F28" s="35">
        <v>170</v>
      </c>
      <c r="G28" s="35">
        <v>185</v>
      </c>
      <c r="H28" s="19">
        <v>15</v>
      </c>
      <c r="I28" s="20">
        <v>120</v>
      </c>
      <c r="J28" s="21">
        <f t="shared" si="0"/>
        <v>1800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45190</v>
      </c>
      <c r="D29" s="19" t="s">
        <v>18</v>
      </c>
      <c r="E29" s="19" t="s">
        <v>873</v>
      </c>
      <c r="F29" s="20">
        <v>140</v>
      </c>
      <c r="G29" s="20">
        <v>190</v>
      </c>
      <c r="H29" s="19">
        <v>50</v>
      </c>
      <c r="I29" s="20">
        <v>120</v>
      </c>
      <c r="J29" s="21">
        <f t="shared" si="0"/>
        <v>6000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45190</v>
      </c>
      <c r="D30" s="25" t="s">
        <v>18</v>
      </c>
      <c r="E30" s="25" t="s">
        <v>873</v>
      </c>
      <c r="F30" s="26">
        <v>150</v>
      </c>
      <c r="G30" s="61">
        <v>250</v>
      </c>
      <c r="H30" s="61">
        <v>100</v>
      </c>
      <c r="I30" s="26">
        <v>120</v>
      </c>
      <c r="J30" s="21">
        <f t="shared" si="0"/>
        <v>12000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45191</v>
      </c>
      <c r="D31" s="25" t="s">
        <v>18</v>
      </c>
      <c r="E31" s="25" t="s">
        <v>863</v>
      </c>
      <c r="F31" s="26">
        <v>160</v>
      </c>
      <c r="G31" s="61">
        <v>110</v>
      </c>
      <c r="H31" s="61">
        <v>-50</v>
      </c>
      <c r="I31" s="26">
        <v>120</v>
      </c>
      <c r="J31" s="21">
        <f t="shared" si="0"/>
        <v>-6000</v>
      </c>
      <c r="K31" s="7"/>
      <c r="V31" s="5">
        <f t="shared" si="2"/>
        <v>0</v>
      </c>
      <c r="W31" s="5">
        <f t="shared" si="3"/>
        <v>1</v>
      </c>
    </row>
    <row r="32" spans="1:23" x14ac:dyDescent="0.3">
      <c r="A32" s="6"/>
      <c r="B32" s="88">
        <v>27</v>
      </c>
      <c r="C32" s="24">
        <v>45191</v>
      </c>
      <c r="D32" s="25" t="s">
        <v>18</v>
      </c>
      <c r="E32" s="25" t="s">
        <v>876</v>
      </c>
      <c r="F32" s="26">
        <v>150</v>
      </c>
      <c r="G32" s="61">
        <v>250</v>
      </c>
      <c r="H32" s="61">
        <v>100</v>
      </c>
      <c r="I32" s="26">
        <v>120</v>
      </c>
      <c r="J32" s="21">
        <f t="shared" si="0"/>
        <v>12000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45194</v>
      </c>
      <c r="D33" s="25" t="s">
        <v>18</v>
      </c>
      <c r="E33" s="25" t="s">
        <v>847</v>
      </c>
      <c r="F33" s="26">
        <v>140</v>
      </c>
      <c r="G33" s="61">
        <v>190</v>
      </c>
      <c r="H33" s="61">
        <v>50</v>
      </c>
      <c r="I33" s="26">
        <v>120</v>
      </c>
      <c r="J33" s="21">
        <f t="shared" si="0"/>
        <v>6000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45194</v>
      </c>
      <c r="D34" s="25" t="s">
        <v>18</v>
      </c>
      <c r="E34" s="25" t="s">
        <v>847</v>
      </c>
      <c r="F34" s="26">
        <v>140</v>
      </c>
      <c r="G34" s="61">
        <v>90</v>
      </c>
      <c r="H34" s="61">
        <v>-50</v>
      </c>
      <c r="I34" s="26">
        <v>120</v>
      </c>
      <c r="J34" s="21">
        <f t="shared" si="0"/>
        <v>-6000</v>
      </c>
      <c r="K34" s="7"/>
      <c r="V34" s="5">
        <f t="shared" si="2"/>
        <v>0</v>
      </c>
      <c r="W34" s="5">
        <f t="shared" si="3"/>
        <v>1</v>
      </c>
    </row>
    <row r="35" spans="1:23" x14ac:dyDescent="0.3">
      <c r="A35" s="6"/>
      <c r="B35" s="17">
        <v>30</v>
      </c>
      <c r="C35" s="24">
        <v>45195</v>
      </c>
      <c r="D35" s="25" t="s">
        <v>18</v>
      </c>
      <c r="E35" s="25" t="s">
        <v>869</v>
      </c>
      <c r="F35" s="26">
        <v>140</v>
      </c>
      <c r="G35" s="61">
        <v>189</v>
      </c>
      <c r="H35" s="61">
        <f>189-140</f>
        <v>49</v>
      </c>
      <c r="I35" s="26">
        <v>120</v>
      </c>
      <c r="J35" s="21">
        <f t="shared" si="0"/>
        <v>5880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45195</v>
      </c>
      <c r="D36" s="25" t="s">
        <v>18</v>
      </c>
      <c r="E36" s="25" t="s">
        <v>847</v>
      </c>
      <c r="F36" s="26">
        <v>120</v>
      </c>
      <c r="G36" s="61">
        <v>145</v>
      </c>
      <c r="H36" s="61">
        <v>25</v>
      </c>
      <c r="I36" s="26">
        <v>120</v>
      </c>
      <c r="J36" s="21">
        <f t="shared" si="0"/>
        <v>3000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45196</v>
      </c>
      <c r="D37" s="25" t="s">
        <v>18</v>
      </c>
      <c r="E37" s="25" t="s">
        <v>847</v>
      </c>
      <c r="F37" s="26">
        <v>130</v>
      </c>
      <c r="G37" s="61">
        <v>230</v>
      </c>
      <c r="H37" s="61">
        <v>100</v>
      </c>
      <c r="I37" s="26">
        <v>120</v>
      </c>
      <c r="J37" s="21">
        <f t="shared" si="0"/>
        <v>12000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45197</v>
      </c>
      <c r="D38" s="25" t="s">
        <v>18</v>
      </c>
      <c r="E38" s="25" t="s">
        <v>876</v>
      </c>
      <c r="F38" s="26">
        <v>160</v>
      </c>
      <c r="G38" s="61">
        <v>219</v>
      </c>
      <c r="H38" s="61">
        <f>219-160</f>
        <v>59</v>
      </c>
      <c r="I38" s="26">
        <v>120</v>
      </c>
      <c r="J38" s="21">
        <f t="shared" si="0"/>
        <v>7080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45197</v>
      </c>
      <c r="D39" s="25" t="s">
        <v>18</v>
      </c>
      <c r="E39" s="25" t="s">
        <v>869</v>
      </c>
      <c r="F39" s="26">
        <v>160</v>
      </c>
      <c r="G39" s="61">
        <v>195</v>
      </c>
      <c r="H39" s="61">
        <f>195-160</f>
        <v>35</v>
      </c>
      <c r="I39" s="26">
        <v>120</v>
      </c>
      <c r="J39" s="21">
        <f t="shared" si="0"/>
        <v>4200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45198</v>
      </c>
      <c r="D40" s="25" t="s">
        <v>18</v>
      </c>
      <c r="E40" s="25" t="s">
        <v>843</v>
      </c>
      <c r="F40" s="26">
        <v>150</v>
      </c>
      <c r="G40" s="61">
        <v>178</v>
      </c>
      <c r="H40" s="61">
        <f>178-150</f>
        <v>28</v>
      </c>
      <c r="I40" s="26">
        <v>120</v>
      </c>
      <c r="J40" s="21">
        <f t="shared" si="0"/>
        <v>3360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18">
        <v>45198</v>
      </c>
      <c r="D41" s="19" t="s">
        <v>18</v>
      </c>
      <c r="E41" s="19" t="s">
        <v>853</v>
      </c>
      <c r="F41" s="35">
        <v>160</v>
      </c>
      <c r="G41" s="35">
        <v>178</v>
      </c>
      <c r="H41" s="35">
        <v>18</v>
      </c>
      <c r="I41" s="26">
        <v>120</v>
      </c>
      <c r="J41" s="21">
        <f t="shared" si="0"/>
        <v>2160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18"/>
      <c r="D42" s="19"/>
      <c r="E42" s="19"/>
      <c r="F42" s="35"/>
      <c r="G42" s="35"/>
      <c r="H42" s="35"/>
      <c r="I42" s="26"/>
      <c r="J42" s="21">
        <f t="shared" si="0"/>
        <v>0</v>
      </c>
      <c r="K42" s="7"/>
      <c r="V42" s="5">
        <f t="shared" si="2"/>
        <v>0</v>
      </c>
      <c r="W42" s="5">
        <f t="shared" si="3"/>
        <v>0</v>
      </c>
    </row>
    <row r="43" spans="1:23" x14ac:dyDescent="0.3">
      <c r="A43" s="6"/>
      <c r="B43" s="17">
        <v>38</v>
      </c>
      <c r="C43" s="24"/>
      <c r="D43" s="25"/>
      <c r="E43" s="25"/>
      <c r="F43" s="26"/>
      <c r="G43" s="61"/>
      <c r="H43" s="61"/>
      <c r="I43" s="26"/>
      <c r="J43" s="21">
        <f t="shared" si="0"/>
        <v>0</v>
      </c>
      <c r="K43" s="7"/>
      <c r="V43" s="5">
        <f t="shared" si="2"/>
        <v>0</v>
      </c>
      <c r="W43" s="5">
        <f t="shared" si="3"/>
        <v>0</v>
      </c>
    </row>
    <row r="44" spans="1:23" ht="15" thickBot="1" x14ac:dyDescent="0.35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ht="15" hidden="1" thickBot="1" x14ac:dyDescent="0.35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ht="15" hidden="1" thickBot="1" x14ac:dyDescent="0.35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ht="15" hidden="1" thickBot="1" x14ac:dyDescent="0.35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ht="15" hidden="1" thickBot="1" x14ac:dyDescent="0.35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ht="15" hidden="1" thickBot="1" x14ac:dyDescent="0.35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ht="15" hidden="1" thickBot="1" x14ac:dyDescent="0.35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t="15" hidden="1" thickBot="1" x14ac:dyDescent="0.35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t="15" hidden="1" thickBot="1" x14ac:dyDescent="0.35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t="15" hidden="1" thickBot="1" x14ac:dyDescent="0.35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t="15" hidden="1" thickBot="1" x14ac:dyDescent="0.35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t="15" hidden="1" thickBot="1" x14ac:dyDescent="0.35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t="15" hidden="1" thickBot="1" x14ac:dyDescent="0.35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t="15" hidden="1" thickBot="1" x14ac:dyDescent="0.35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hidden="1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178440</v>
      </c>
      <c r="K59" s="7"/>
      <c r="V59" s="5">
        <f>SUM(V6:V58)</f>
        <v>29</v>
      </c>
      <c r="W59" s="5">
        <f>SUM(W6:W58)</f>
        <v>7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924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45175</v>
      </c>
      <c r="D67" s="67" t="s">
        <v>18</v>
      </c>
      <c r="E67" s="67" t="s">
        <v>840</v>
      </c>
      <c r="F67" s="68">
        <v>1835</v>
      </c>
      <c r="G67" s="68">
        <v>1839</v>
      </c>
      <c r="H67" s="97">
        <v>4</v>
      </c>
      <c r="I67" s="68">
        <v>407</v>
      </c>
      <c r="J67" s="92">
        <f>H67*I67</f>
        <v>1628</v>
      </c>
      <c r="K67" s="7"/>
      <c r="V67" s="5">
        <f t="shared" ref="V67:V120" si="5">IF($J67&gt;0,1,0)</f>
        <v>1</v>
      </c>
      <c r="W67" s="5">
        <f t="shared" ref="W67:W120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45176</v>
      </c>
      <c r="D68" s="67" t="s">
        <v>18</v>
      </c>
      <c r="E68" s="67" t="s">
        <v>80</v>
      </c>
      <c r="F68" s="97">
        <v>2810</v>
      </c>
      <c r="G68" s="97">
        <v>2850</v>
      </c>
      <c r="H68" s="97">
        <v>40</v>
      </c>
      <c r="I68" s="20">
        <v>300</v>
      </c>
      <c r="J68" s="21">
        <f>H68*I68</f>
        <v>12000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0" si="7">B68+1</f>
        <v>3</v>
      </c>
      <c r="C69" s="18">
        <v>45177</v>
      </c>
      <c r="D69" s="19" t="s">
        <v>18</v>
      </c>
      <c r="E69" s="19" t="s">
        <v>659</v>
      </c>
      <c r="F69" s="35">
        <v>627</v>
      </c>
      <c r="G69" s="97">
        <v>632</v>
      </c>
      <c r="H69" s="35">
        <f>632-627</f>
        <v>5</v>
      </c>
      <c r="I69" s="20">
        <v>1425</v>
      </c>
      <c r="J69" s="21">
        <f>H69*I69</f>
        <v>7125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45184</v>
      </c>
      <c r="D70" s="19" t="s">
        <v>18</v>
      </c>
      <c r="E70" s="19" t="s">
        <v>487</v>
      </c>
      <c r="F70" s="35">
        <v>1315</v>
      </c>
      <c r="G70" s="97">
        <v>1336</v>
      </c>
      <c r="H70" s="35">
        <f>1336-1315</f>
        <v>21</v>
      </c>
      <c r="I70" s="20">
        <v>550</v>
      </c>
      <c r="J70" s="21">
        <f>H70*I70</f>
        <v>11550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/>
      <c r="D71" s="19"/>
      <c r="E71" s="19"/>
      <c r="F71" s="35"/>
      <c r="G71" s="97"/>
      <c r="H71" s="35"/>
      <c r="I71" s="20"/>
      <c r="J71" s="21">
        <f>H71*I71</f>
        <v>0</v>
      </c>
      <c r="K71" s="7"/>
      <c r="V71" s="5">
        <f t="shared" si="5"/>
        <v>0</v>
      </c>
      <c r="W71" s="5">
        <f t="shared" si="6"/>
        <v>0</v>
      </c>
    </row>
    <row r="72" spans="1:23" s="36" customFormat="1" hidden="1" x14ac:dyDescent="0.3">
      <c r="A72" s="6"/>
      <c r="B72" s="17">
        <f t="shared" si="7"/>
        <v>6</v>
      </c>
      <c r="C72" s="18"/>
      <c r="D72" s="19"/>
      <c r="E72" s="19"/>
      <c r="F72" s="20"/>
      <c r="G72" s="97"/>
      <c r="H72" s="35"/>
      <c r="I72" s="20"/>
      <c r="J72" s="21">
        <f t="shared" ref="J72:J120" si="8">I72*H72</f>
        <v>0</v>
      </c>
      <c r="K72" s="7"/>
      <c r="V72" s="5">
        <f t="shared" si="5"/>
        <v>0</v>
      </c>
      <c r="W72" s="5">
        <f t="shared" si="6"/>
        <v>0</v>
      </c>
    </row>
    <row r="73" spans="1:23" s="36" customFormat="1" hidden="1" x14ac:dyDescent="0.3">
      <c r="A73" s="6"/>
      <c r="B73" s="17">
        <f t="shared" si="7"/>
        <v>7</v>
      </c>
      <c r="C73" s="18"/>
      <c r="D73" s="19"/>
      <c r="E73" s="19"/>
      <c r="F73" s="35"/>
      <c r="G73" s="97"/>
      <c r="H73" s="35"/>
      <c r="I73" s="20"/>
      <c r="J73" s="21">
        <f t="shared" si="8"/>
        <v>0</v>
      </c>
      <c r="K73" s="7"/>
      <c r="V73" s="5">
        <f t="shared" si="5"/>
        <v>0</v>
      </c>
      <c r="W73" s="5">
        <f t="shared" si="6"/>
        <v>0</v>
      </c>
    </row>
    <row r="74" spans="1:23" s="36" customFormat="1" hidden="1" x14ac:dyDescent="0.3">
      <c r="A74" s="6"/>
      <c r="B74" s="17">
        <f t="shared" si="7"/>
        <v>8</v>
      </c>
      <c r="C74" s="18"/>
      <c r="D74" s="19"/>
      <c r="E74" s="19"/>
      <c r="F74" s="35"/>
      <c r="G74" s="97"/>
      <c r="H74" s="35"/>
      <c r="I74" s="20"/>
      <c r="J74" s="21">
        <f t="shared" si="8"/>
        <v>0</v>
      </c>
      <c r="K74" s="7"/>
      <c r="V74" s="5">
        <f t="shared" si="5"/>
        <v>0</v>
      </c>
      <c r="W74" s="5">
        <f t="shared" si="6"/>
        <v>0</v>
      </c>
    </row>
    <row r="75" spans="1:23" s="36" customFormat="1" hidden="1" x14ac:dyDescent="0.3">
      <c r="A75" s="6"/>
      <c r="B75" s="17">
        <f t="shared" si="7"/>
        <v>9</v>
      </c>
      <c r="C75" s="18"/>
      <c r="D75" s="19"/>
      <c r="E75" s="19"/>
      <c r="F75" s="35"/>
      <c r="G75" s="97"/>
      <c r="H75" s="35"/>
      <c r="I75" s="20"/>
      <c r="J75" s="21">
        <f t="shared" si="8"/>
        <v>0</v>
      </c>
      <c r="K75" s="7"/>
      <c r="V75" s="5">
        <f t="shared" si="5"/>
        <v>0</v>
      </c>
      <c r="W75" s="5">
        <f t="shared" si="6"/>
        <v>0</v>
      </c>
    </row>
    <row r="76" spans="1:23" s="36" customFormat="1" hidden="1" x14ac:dyDescent="0.3">
      <c r="A76" s="6"/>
      <c r="B76" s="17">
        <f t="shared" si="7"/>
        <v>10</v>
      </c>
      <c r="C76" s="18"/>
      <c r="D76" s="19"/>
      <c r="E76" s="19"/>
      <c r="F76" s="35"/>
      <c r="G76" s="97"/>
      <c r="H76" s="35"/>
      <c r="I76" s="20"/>
      <c r="J76" s="21">
        <f t="shared" si="8"/>
        <v>0</v>
      </c>
      <c r="K76" s="7"/>
      <c r="V76" s="5">
        <f t="shared" si="5"/>
        <v>0</v>
      </c>
      <c r="W76" s="5">
        <f t="shared" si="6"/>
        <v>0</v>
      </c>
    </row>
    <row r="77" spans="1:23" s="36" customFormat="1" hidden="1" x14ac:dyDescent="0.3">
      <c r="A77" s="6"/>
      <c r="B77" s="17">
        <f t="shared" si="7"/>
        <v>11</v>
      </c>
      <c r="C77" s="18"/>
      <c r="D77" s="19"/>
      <c r="E77" s="19"/>
      <c r="F77" s="19"/>
      <c r="G77" s="97"/>
      <c r="H77" s="35"/>
      <c r="I77" s="20"/>
      <c r="J77" s="21">
        <f t="shared" si="8"/>
        <v>0</v>
      </c>
      <c r="K77" s="7"/>
      <c r="V77" s="5">
        <f t="shared" si="5"/>
        <v>0</v>
      </c>
      <c r="W77" s="5">
        <f t="shared" si="6"/>
        <v>0</v>
      </c>
    </row>
    <row r="78" spans="1:23" s="36" customFormat="1" hidden="1" x14ac:dyDescent="0.3">
      <c r="A78" s="6"/>
      <c r="B78" s="17">
        <f t="shared" si="7"/>
        <v>12</v>
      </c>
      <c r="C78" s="18"/>
      <c r="D78" s="19"/>
      <c r="E78" s="19"/>
      <c r="F78" s="35"/>
      <c r="G78" s="97"/>
      <c r="H78" s="35"/>
      <c r="I78" s="20"/>
      <c r="J78" s="21">
        <f t="shared" si="8"/>
        <v>0</v>
      </c>
      <c r="K78" s="7"/>
      <c r="V78" s="5">
        <f t="shared" si="5"/>
        <v>0</v>
      </c>
      <c r="W78" s="5">
        <f t="shared" si="6"/>
        <v>0</v>
      </c>
    </row>
    <row r="79" spans="1:23" s="36" customFormat="1" hidden="1" x14ac:dyDescent="0.3">
      <c r="A79" s="6"/>
      <c r="B79" s="17">
        <f t="shared" si="7"/>
        <v>13</v>
      </c>
      <c r="C79" s="18"/>
      <c r="D79" s="19"/>
      <c r="E79" s="19"/>
      <c r="F79" s="77"/>
      <c r="G79" s="97"/>
      <c r="H79" s="78"/>
      <c r="I79" s="20"/>
      <c r="J79" s="21">
        <f t="shared" si="8"/>
        <v>0</v>
      </c>
      <c r="K79" s="7"/>
      <c r="V79" s="5">
        <f t="shared" si="5"/>
        <v>0</v>
      </c>
      <c r="W79" s="5">
        <f t="shared" si="6"/>
        <v>0</v>
      </c>
    </row>
    <row r="80" spans="1:23" s="36" customFormat="1" hidden="1" x14ac:dyDescent="0.3">
      <c r="A80" s="6"/>
      <c r="B80" s="17">
        <f t="shared" si="7"/>
        <v>14</v>
      </c>
      <c r="C80" s="18"/>
      <c r="D80" s="19"/>
      <c r="E80" s="19"/>
      <c r="F80" s="35"/>
      <c r="G80" s="97"/>
      <c r="H80" s="78"/>
      <c r="I80" s="20"/>
      <c r="J80" s="21">
        <f t="shared" si="8"/>
        <v>0</v>
      </c>
      <c r="K80" s="7"/>
      <c r="V80" s="5">
        <f t="shared" si="5"/>
        <v>0</v>
      </c>
      <c r="W80" s="5">
        <f t="shared" si="6"/>
        <v>0</v>
      </c>
    </row>
    <row r="81" spans="1:23" s="36" customFormat="1" hidden="1" x14ac:dyDescent="0.3">
      <c r="A81" s="6"/>
      <c r="B81" s="17">
        <f t="shared" si="7"/>
        <v>15</v>
      </c>
      <c r="C81" s="18"/>
      <c r="D81" s="19"/>
      <c r="E81" s="19"/>
      <c r="F81" s="35"/>
      <c r="G81" s="97"/>
      <c r="H81" s="78"/>
      <c r="I81" s="20"/>
      <c r="J81" s="21">
        <f t="shared" si="8"/>
        <v>0</v>
      </c>
      <c r="K81" s="7"/>
      <c r="V81" s="5">
        <f t="shared" si="5"/>
        <v>0</v>
      </c>
      <c r="W81" s="5">
        <f t="shared" si="6"/>
        <v>0</v>
      </c>
    </row>
    <row r="82" spans="1:23" s="36" customFormat="1" hidden="1" x14ac:dyDescent="0.3">
      <c r="A82" s="6"/>
      <c r="B82" s="17">
        <f t="shared" si="7"/>
        <v>16</v>
      </c>
      <c r="C82" s="18"/>
      <c r="D82" s="19"/>
      <c r="E82" s="19"/>
      <c r="F82" s="35"/>
      <c r="G82" s="97"/>
      <c r="H82" s="35"/>
      <c r="I82" s="20"/>
      <c r="J82" s="21">
        <f t="shared" si="8"/>
        <v>0</v>
      </c>
      <c r="K82" s="7"/>
      <c r="V82" s="5">
        <f t="shared" si="5"/>
        <v>0</v>
      </c>
      <c r="W82" s="5">
        <f t="shared" si="6"/>
        <v>0</v>
      </c>
    </row>
    <row r="83" spans="1:23" s="36" customFormat="1" hidden="1" x14ac:dyDescent="0.3">
      <c r="A83" s="6"/>
      <c r="B83" s="17">
        <f t="shared" si="7"/>
        <v>17</v>
      </c>
      <c r="C83" s="18"/>
      <c r="D83" s="19"/>
      <c r="E83" s="19"/>
      <c r="F83" s="35"/>
      <c r="G83" s="97"/>
      <c r="H83" s="35"/>
      <c r="I83" s="20"/>
      <c r="J83" s="21">
        <f t="shared" si="8"/>
        <v>0</v>
      </c>
      <c r="K83" s="7"/>
      <c r="V83" s="5">
        <f t="shared" si="5"/>
        <v>0</v>
      </c>
      <c r="W83" s="5">
        <f t="shared" si="6"/>
        <v>0</v>
      </c>
    </row>
    <row r="84" spans="1:23" s="36" customFormat="1" hidden="1" x14ac:dyDescent="0.3">
      <c r="A84" s="6"/>
      <c r="B84" s="17">
        <f t="shared" si="7"/>
        <v>18</v>
      </c>
      <c r="C84" s="18"/>
      <c r="D84" s="19"/>
      <c r="E84" s="19"/>
      <c r="F84" s="35"/>
      <c r="G84" s="97"/>
      <c r="H84" s="35"/>
      <c r="I84" s="20"/>
      <c r="J84" s="21">
        <f t="shared" si="8"/>
        <v>0</v>
      </c>
      <c r="K84" s="7"/>
      <c r="V84" s="5">
        <f t="shared" si="5"/>
        <v>0</v>
      </c>
      <c r="W84" s="5">
        <f t="shared" si="6"/>
        <v>0</v>
      </c>
    </row>
    <row r="85" spans="1:23" s="36" customFormat="1" hidden="1" x14ac:dyDescent="0.3">
      <c r="A85" s="6"/>
      <c r="B85" s="17">
        <f t="shared" si="7"/>
        <v>19</v>
      </c>
      <c r="C85" s="18"/>
      <c r="D85" s="19"/>
      <c r="E85" s="19"/>
      <c r="F85" s="35"/>
      <c r="G85" s="97"/>
      <c r="H85" s="35"/>
      <c r="I85" s="20"/>
      <c r="J85" s="21">
        <f t="shared" si="8"/>
        <v>0</v>
      </c>
      <c r="K85" s="7"/>
      <c r="V85" s="5">
        <f t="shared" si="5"/>
        <v>0</v>
      </c>
      <c r="W85" s="5">
        <f t="shared" si="6"/>
        <v>0</v>
      </c>
    </row>
    <row r="86" spans="1:23" s="36" customFormat="1" hidden="1" x14ac:dyDescent="0.3">
      <c r="A86" s="6"/>
      <c r="B86" s="17">
        <f t="shared" si="7"/>
        <v>20</v>
      </c>
      <c r="C86" s="18"/>
      <c r="D86" s="19"/>
      <c r="E86" s="19"/>
      <c r="F86" s="35"/>
      <c r="G86" s="97"/>
      <c r="H86" s="35"/>
      <c r="I86" s="20"/>
      <c r="J86" s="21">
        <f t="shared" si="8"/>
        <v>0</v>
      </c>
      <c r="K86" s="7"/>
      <c r="V86" s="5">
        <f t="shared" si="5"/>
        <v>0</v>
      </c>
      <c r="W86" s="5">
        <f t="shared" si="6"/>
        <v>0</v>
      </c>
    </row>
    <row r="87" spans="1:23" s="36" customFormat="1" hidden="1" x14ac:dyDescent="0.3">
      <c r="A87" s="6"/>
      <c r="B87" s="17">
        <f t="shared" si="7"/>
        <v>21</v>
      </c>
      <c r="C87" s="18"/>
      <c r="D87" s="19"/>
      <c r="E87" s="19"/>
      <c r="F87" s="35"/>
      <c r="G87" s="97"/>
      <c r="H87" s="35"/>
      <c r="I87" s="20"/>
      <c r="J87" s="21">
        <f t="shared" si="8"/>
        <v>0</v>
      </c>
      <c r="K87" s="7"/>
      <c r="V87" s="5">
        <f t="shared" si="5"/>
        <v>0</v>
      </c>
      <c r="W87" s="5">
        <f t="shared" si="6"/>
        <v>0</v>
      </c>
    </row>
    <row r="88" spans="1:23" s="36" customFormat="1" hidden="1" x14ac:dyDescent="0.3">
      <c r="A88" s="6"/>
      <c r="B88" s="17">
        <f t="shared" si="7"/>
        <v>22</v>
      </c>
      <c r="C88" s="18"/>
      <c r="D88" s="19"/>
      <c r="E88" s="19"/>
      <c r="F88" s="77"/>
      <c r="G88" s="97"/>
      <c r="H88" s="78"/>
      <c r="I88" s="20"/>
      <c r="J88" s="21">
        <f t="shared" si="8"/>
        <v>0</v>
      </c>
      <c r="K88" s="7"/>
      <c r="V88" s="5">
        <f t="shared" si="5"/>
        <v>0</v>
      </c>
      <c r="W88" s="5">
        <f t="shared" si="6"/>
        <v>0</v>
      </c>
    </row>
    <row r="89" spans="1:23" s="36" customFormat="1" hidden="1" x14ac:dyDescent="0.3">
      <c r="A89" s="6"/>
      <c r="B89" s="17">
        <f t="shared" si="7"/>
        <v>23</v>
      </c>
      <c r="C89" s="18"/>
      <c r="D89" s="19"/>
      <c r="E89" s="19"/>
      <c r="F89" s="35"/>
      <c r="G89" s="97"/>
      <c r="H89" s="78"/>
      <c r="I89" s="20"/>
      <c r="J89" s="21">
        <f t="shared" si="8"/>
        <v>0</v>
      </c>
      <c r="K89" s="7"/>
      <c r="V89" s="5">
        <f t="shared" si="5"/>
        <v>0</v>
      </c>
      <c r="W89" s="5">
        <f t="shared" si="6"/>
        <v>0</v>
      </c>
    </row>
    <row r="90" spans="1:23" s="36" customFormat="1" hidden="1" x14ac:dyDescent="0.3">
      <c r="A90" s="6"/>
      <c r="B90" s="17">
        <f t="shared" si="7"/>
        <v>24</v>
      </c>
      <c r="C90" s="18"/>
      <c r="D90" s="19"/>
      <c r="E90" s="19"/>
      <c r="F90" s="35"/>
      <c r="G90" s="97"/>
      <c r="H90" s="78"/>
      <c r="I90" s="20"/>
      <c r="J90" s="21">
        <f t="shared" si="8"/>
        <v>0</v>
      </c>
      <c r="K90" s="7"/>
      <c r="V90" s="5">
        <f t="shared" si="5"/>
        <v>0</v>
      </c>
      <c r="W90" s="5">
        <f t="shared" si="6"/>
        <v>0</v>
      </c>
    </row>
    <row r="91" spans="1:23" s="36" customFormat="1" hidden="1" x14ac:dyDescent="0.3">
      <c r="A91" s="6"/>
      <c r="B91" s="17">
        <f t="shared" si="7"/>
        <v>25</v>
      </c>
      <c r="C91" s="18"/>
      <c r="D91" s="19"/>
      <c r="E91" s="19"/>
      <c r="F91" s="35"/>
      <c r="G91" s="97"/>
      <c r="H91" s="35"/>
      <c r="I91" s="20"/>
      <c r="J91" s="21">
        <f t="shared" si="8"/>
        <v>0</v>
      </c>
      <c r="K91" s="7"/>
      <c r="V91" s="5">
        <f t="shared" si="5"/>
        <v>0</v>
      </c>
      <c r="W91" s="5">
        <f t="shared" si="6"/>
        <v>0</v>
      </c>
    </row>
    <row r="92" spans="1:23" s="36" customFormat="1" hidden="1" x14ac:dyDescent="0.3">
      <c r="A92" s="6"/>
      <c r="B92" s="17">
        <f t="shared" si="7"/>
        <v>26</v>
      </c>
      <c r="C92" s="18"/>
      <c r="D92" s="19"/>
      <c r="E92" s="19"/>
      <c r="F92" s="35"/>
      <c r="G92" s="97"/>
      <c r="H92" s="35"/>
      <c r="I92" s="20"/>
      <c r="J92" s="21">
        <f t="shared" si="8"/>
        <v>0</v>
      </c>
      <c r="K92" s="7"/>
      <c r="V92" s="5">
        <f t="shared" si="5"/>
        <v>0</v>
      </c>
      <c r="W92" s="5">
        <f t="shared" si="6"/>
        <v>0</v>
      </c>
    </row>
    <row r="93" spans="1:23" s="36" customFormat="1" hidden="1" x14ac:dyDescent="0.3">
      <c r="A93" s="6"/>
      <c r="B93" s="17">
        <f t="shared" si="7"/>
        <v>27</v>
      </c>
      <c r="C93" s="18"/>
      <c r="D93" s="19"/>
      <c r="E93" s="19"/>
      <c r="F93" s="35"/>
      <c r="G93" s="97"/>
      <c r="H93" s="35"/>
      <c r="I93" s="20"/>
      <c r="J93" s="21">
        <f t="shared" si="8"/>
        <v>0</v>
      </c>
      <c r="K93" s="7"/>
      <c r="V93" s="5">
        <f t="shared" si="5"/>
        <v>0</v>
      </c>
      <c r="W93" s="5">
        <f t="shared" si="6"/>
        <v>0</v>
      </c>
    </row>
    <row r="94" spans="1:23" s="36" customFormat="1" hidden="1" x14ac:dyDescent="0.3">
      <c r="A94" s="6"/>
      <c r="B94" s="17">
        <f t="shared" si="7"/>
        <v>28</v>
      </c>
      <c r="C94" s="18"/>
      <c r="D94" s="19"/>
      <c r="E94" s="19"/>
      <c r="F94" s="35"/>
      <c r="G94" s="97"/>
      <c r="H94" s="35"/>
      <c r="I94" s="20"/>
      <c r="J94" s="21">
        <f t="shared" si="8"/>
        <v>0</v>
      </c>
      <c r="K94" s="7"/>
      <c r="V94" s="5">
        <f t="shared" si="5"/>
        <v>0</v>
      </c>
      <c r="W94" s="5">
        <f t="shared" si="6"/>
        <v>0</v>
      </c>
    </row>
    <row r="95" spans="1:23" s="36" customFormat="1" hidden="1" x14ac:dyDescent="0.3">
      <c r="A95" s="6"/>
      <c r="B95" s="17">
        <f t="shared" si="7"/>
        <v>29</v>
      </c>
      <c r="C95" s="18"/>
      <c r="D95" s="19"/>
      <c r="E95" s="19"/>
      <c r="F95" s="35"/>
      <c r="G95" s="97"/>
      <c r="H95" s="35"/>
      <c r="I95" s="20"/>
      <c r="J95" s="21">
        <f t="shared" si="8"/>
        <v>0</v>
      </c>
      <c r="K95" s="7"/>
      <c r="V95" s="5">
        <f t="shared" si="5"/>
        <v>0</v>
      </c>
      <c r="W95" s="5">
        <f t="shared" si="6"/>
        <v>0</v>
      </c>
    </row>
    <row r="96" spans="1:23" s="36" customFormat="1" hidden="1" x14ac:dyDescent="0.3">
      <c r="A96" s="6"/>
      <c r="B96" s="17">
        <f t="shared" si="7"/>
        <v>30</v>
      </c>
      <c r="C96" s="18"/>
      <c r="D96" s="19"/>
      <c r="E96" s="19"/>
      <c r="F96" s="35"/>
      <c r="G96" s="97"/>
      <c r="H96" s="35"/>
      <c r="I96" s="20"/>
      <c r="J96" s="21">
        <f t="shared" si="8"/>
        <v>0</v>
      </c>
      <c r="K96" s="7"/>
      <c r="V96" s="5">
        <f t="shared" si="5"/>
        <v>0</v>
      </c>
      <c r="W96" s="5">
        <f t="shared" si="6"/>
        <v>0</v>
      </c>
    </row>
    <row r="97" spans="1:23" s="36" customFormat="1" hidden="1" x14ac:dyDescent="0.3">
      <c r="A97" s="6"/>
      <c r="B97" s="17">
        <f t="shared" si="7"/>
        <v>31</v>
      </c>
      <c r="C97" s="18"/>
      <c r="D97" s="19"/>
      <c r="E97" s="19"/>
      <c r="F97" s="35"/>
      <c r="G97" s="97"/>
      <c r="H97" s="35"/>
      <c r="I97" s="20"/>
      <c r="J97" s="21">
        <f t="shared" si="8"/>
        <v>0</v>
      </c>
      <c r="K97" s="7"/>
      <c r="V97" s="5">
        <f t="shared" si="5"/>
        <v>0</v>
      </c>
      <c r="W97" s="5">
        <f t="shared" si="6"/>
        <v>0</v>
      </c>
    </row>
    <row r="98" spans="1:23" s="36" customFormat="1" hidden="1" x14ac:dyDescent="0.3">
      <c r="A98" s="6"/>
      <c r="B98" s="17">
        <f t="shared" si="7"/>
        <v>32</v>
      </c>
      <c r="C98" s="18"/>
      <c r="D98" s="19"/>
      <c r="E98" s="19"/>
      <c r="F98" s="35"/>
      <c r="G98" s="97"/>
      <c r="H98" s="35"/>
      <c r="I98" s="20"/>
      <c r="J98" s="21">
        <f t="shared" si="8"/>
        <v>0</v>
      </c>
      <c r="K98" s="7"/>
      <c r="V98" s="5">
        <f t="shared" si="5"/>
        <v>0</v>
      </c>
      <c r="W98" s="5">
        <f t="shared" si="6"/>
        <v>0</v>
      </c>
    </row>
    <row r="99" spans="1:23" s="36" customFormat="1" hidden="1" x14ac:dyDescent="0.3">
      <c r="A99" s="6"/>
      <c r="B99" s="17">
        <f t="shared" si="7"/>
        <v>33</v>
      </c>
      <c r="C99" s="18"/>
      <c r="D99" s="19"/>
      <c r="E99" s="19"/>
      <c r="F99" s="35"/>
      <c r="G99" s="97"/>
      <c r="H99" s="35"/>
      <c r="I99" s="20"/>
      <c r="J99" s="21">
        <f t="shared" si="8"/>
        <v>0</v>
      </c>
      <c r="K99" s="7"/>
      <c r="V99" s="5">
        <f t="shared" si="5"/>
        <v>0</v>
      </c>
      <c r="W99" s="5">
        <f t="shared" si="6"/>
        <v>0</v>
      </c>
    </row>
    <row r="100" spans="1:23" s="36" customFormat="1" hidden="1" x14ac:dyDescent="0.3">
      <c r="A100" s="6"/>
      <c r="B100" s="17">
        <f t="shared" si="7"/>
        <v>34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hidden="1" x14ac:dyDescent="0.3">
      <c r="A101" s="6"/>
      <c r="B101" s="17">
        <v>35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hidden="1" x14ac:dyDescent="0.3">
      <c r="A102" s="6"/>
      <c r="B102" s="17">
        <v>36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/>
      <c r="W102" s="5"/>
    </row>
    <row r="103" spans="1:23" s="36" customFormat="1" hidden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hidden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hidden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hidden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hidden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hidden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hidden="1" x14ac:dyDescent="0.3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hidden="1" x14ac:dyDescent="0.3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idden="1" x14ac:dyDescent="0.3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idden="1" x14ac:dyDescent="0.3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idden="1" x14ac:dyDescent="0.3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idden="1" x14ac:dyDescent="0.3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idden="1" x14ac:dyDescent="0.3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idden="1" x14ac:dyDescent="0.3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idden="1" x14ac:dyDescent="0.3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idden="1" x14ac:dyDescent="0.3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x14ac:dyDescent="0.3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24" thickBot="1" x14ac:dyDescent="0.5">
      <c r="A121" s="6"/>
      <c r="B121" s="144" t="s">
        <v>22</v>
      </c>
      <c r="C121" s="145"/>
      <c r="D121" s="145"/>
      <c r="E121" s="145"/>
      <c r="F121" s="145"/>
      <c r="G121" s="145"/>
      <c r="H121" s="146"/>
      <c r="I121" s="83" t="s">
        <v>23</v>
      </c>
      <c r="J121" s="84">
        <f>SUM(J67:J120)</f>
        <v>32303</v>
      </c>
      <c r="K121" s="7"/>
      <c r="L121" s="5"/>
      <c r="M121" s="5"/>
      <c r="N121" s="5"/>
      <c r="O121" s="5"/>
      <c r="P121" s="5"/>
      <c r="Q121" s="5"/>
      <c r="R121" s="5"/>
      <c r="V121" s="36">
        <f>SUM(V67:V120)</f>
        <v>4</v>
      </c>
      <c r="W121" s="36">
        <f>SUM(W67:W120)</f>
        <v>0</v>
      </c>
    </row>
    <row r="122" spans="1:23" s="36" customFormat="1" ht="30" customHeight="1" thickBot="1" x14ac:dyDescent="0.35">
      <c r="A122" s="30"/>
      <c r="B122" s="31"/>
      <c r="C122" s="31"/>
      <c r="D122" s="31"/>
      <c r="E122" s="31"/>
      <c r="F122" s="31"/>
      <c r="G122" s="31"/>
      <c r="H122" s="32"/>
      <c r="I122" s="31"/>
      <c r="J122" s="32"/>
      <c r="K122" s="33"/>
      <c r="L122" s="5"/>
      <c r="M122" s="5"/>
      <c r="N122" s="5"/>
      <c r="O122" s="5"/>
      <c r="P122" s="5"/>
      <c r="Q122" s="5"/>
      <c r="R122" s="5"/>
    </row>
    <row r="123" spans="1:23" ht="15" thickBot="1" x14ac:dyDescent="0.35"/>
    <row r="124" spans="1:23" s="36" customFormat="1" ht="30" customHeight="1" thickBot="1" x14ac:dyDescent="0.35">
      <c r="A124" s="1"/>
      <c r="B124" s="2"/>
      <c r="C124" s="2"/>
      <c r="D124" s="2"/>
      <c r="E124" s="2"/>
      <c r="F124" s="2"/>
      <c r="G124" s="2"/>
      <c r="H124" s="3"/>
      <c r="I124" s="2"/>
      <c r="J124" s="3"/>
      <c r="K124" s="4"/>
    </row>
    <row r="125" spans="1:23" s="36" customFormat="1" ht="25.2" thickBot="1" x14ac:dyDescent="0.35">
      <c r="A125" s="6" t="s">
        <v>1</v>
      </c>
      <c r="B125" s="119" t="s">
        <v>2</v>
      </c>
      <c r="C125" s="120"/>
      <c r="D125" s="120"/>
      <c r="E125" s="120"/>
      <c r="F125" s="120"/>
      <c r="G125" s="120"/>
      <c r="H125" s="120"/>
      <c r="I125" s="120"/>
      <c r="J125" s="121"/>
      <c r="K125" s="7"/>
    </row>
    <row r="126" spans="1:23" s="36" customFormat="1" ht="16.2" thickBot="1" x14ac:dyDescent="0.35">
      <c r="A126" s="6"/>
      <c r="B126" s="216">
        <v>45170</v>
      </c>
      <c r="C126" s="169"/>
      <c r="D126" s="169"/>
      <c r="E126" s="169"/>
      <c r="F126" s="169"/>
      <c r="G126" s="169"/>
      <c r="H126" s="169"/>
      <c r="I126" s="169"/>
      <c r="J126" s="170"/>
      <c r="K126" s="7"/>
      <c r="L126" s="22"/>
    </row>
    <row r="127" spans="1:23" s="36" customFormat="1" ht="16.2" thickBot="1" x14ac:dyDescent="0.35">
      <c r="A127" s="6"/>
      <c r="B127" s="106" t="s">
        <v>699</v>
      </c>
      <c r="C127" s="107"/>
      <c r="D127" s="107"/>
      <c r="E127" s="107"/>
      <c r="F127" s="107"/>
      <c r="G127" s="107"/>
      <c r="H127" s="107"/>
      <c r="I127" s="107"/>
      <c r="J127" s="108"/>
      <c r="K127" s="7"/>
    </row>
    <row r="128" spans="1:23" s="22" customFormat="1" ht="15" thickBot="1" x14ac:dyDescent="0.35">
      <c r="A128" s="69"/>
      <c r="B128" s="70" t="s">
        <v>9</v>
      </c>
      <c r="C128" s="71" t="s">
        <v>10</v>
      </c>
      <c r="D128" s="72" t="s">
        <v>11</v>
      </c>
      <c r="E128" s="72" t="s">
        <v>12</v>
      </c>
      <c r="F128" s="73" t="s">
        <v>65</v>
      </c>
      <c r="G128" s="73" t="s">
        <v>66</v>
      </c>
      <c r="H128" s="74" t="s">
        <v>67</v>
      </c>
      <c r="I128" s="73" t="s">
        <v>68</v>
      </c>
      <c r="J128" s="75" t="s">
        <v>17</v>
      </c>
      <c r="K128" s="76"/>
      <c r="L128" s="36"/>
      <c r="M128" s="36"/>
      <c r="N128" s="36"/>
      <c r="O128" s="36" t="s">
        <v>21</v>
      </c>
      <c r="P128" s="36"/>
      <c r="Q128" s="36"/>
      <c r="R128" s="36"/>
      <c r="V128" s="5" t="s">
        <v>5</v>
      </c>
      <c r="W128" s="5" t="s">
        <v>6</v>
      </c>
    </row>
    <row r="129" spans="1:23" s="36" customFormat="1" x14ac:dyDescent="0.3">
      <c r="A129" s="6"/>
      <c r="B129" s="14">
        <v>1</v>
      </c>
      <c r="C129" s="93">
        <v>45170</v>
      </c>
      <c r="D129" s="94" t="s">
        <v>18</v>
      </c>
      <c r="E129" s="94" t="s">
        <v>862</v>
      </c>
      <c r="F129" s="60">
        <v>110</v>
      </c>
      <c r="G129" s="60">
        <v>123</v>
      </c>
      <c r="H129" s="60">
        <f>123-110</f>
        <v>13</v>
      </c>
      <c r="I129" s="15">
        <v>300</v>
      </c>
      <c r="J129" s="16">
        <f t="shared" ref="J129:J174" si="9">I129*H129</f>
        <v>3900</v>
      </c>
      <c r="K129" s="7"/>
      <c r="V129" s="5">
        <f t="shared" ref="V129:V174" si="10">IF($J129&gt;0,1,0)</f>
        <v>1</v>
      </c>
      <c r="W129" s="5">
        <f t="shared" ref="W129:W174" si="11">IF($J129&lt;0,1,0)</f>
        <v>0</v>
      </c>
    </row>
    <row r="130" spans="1:23" s="36" customFormat="1" x14ac:dyDescent="0.3">
      <c r="A130" s="6"/>
      <c r="B130" s="17">
        <f>B129+1</f>
        <v>2</v>
      </c>
      <c r="C130" s="18">
        <v>45170</v>
      </c>
      <c r="D130" s="19" t="s">
        <v>18</v>
      </c>
      <c r="E130" s="19" t="s">
        <v>862</v>
      </c>
      <c r="F130" s="35">
        <v>120</v>
      </c>
      <c r="G130" s="35">
        <v>155</v>
      </c>
      <c r="H130" s="35">
        <f>155-120</f>
        <v>35</v>
      </c>
      <c r="I130" s="20">
        <v>300</v>
      </c>
      <c r="J130" s="21">
        <f t="shared" si="9"/>
        <v>10500</v>
      </c>
      <c r="K130" s="7"/>
      <c r="L130" s="36" t="s">
        <v>21</v>
      </c>
      <c r="V130" s="5">
        <f t="shared" si="10"/>
        <v>1</v>
      </c>
      <c r="W130" s="5">
        <f t="shared" si="11"/>
        <v>0</v>
      </c>
    </row>
    <row r="131" spans="1:23" s="36" customFormat="1" x14ac:dyDescent="0.3">
      <c r="A131" s="6"/>
      <c r="B131" s="17">
        <f t="shared" ref="B131:B151" si="12">B130+1</f>
        <v>3</v>
      </c>
      <c r="C131" s="18">
        <v>45173</v>
      </c>
      <c r="D131" s="19" t="s">
        <v>18</v>
      </c>
      <c r="E131" s="19" t="s">
        <v>870</v>
      </c>
      <c r="F131" s="35">
        <v>95</v>
      </c>
      <c r="G131" s="35">
        <v>75</v>
      </c>
      <c r="H131" s="35">
        <v>-20</v>
      </c>
      <c r="I131" s="20">
        <v>300</v>
      </c>
      <c r="J131" s="21">
        <f t="shared" si="9"/>
        <v>-6000</v>
      </c>
      <c r="K131" s="7"/>
      <c r="V131" s="5">
        <f t="shared" si="10"/>
        <v>0</v>
      </c>
      <c r="W131" s="5">
        <f t="shared" si="11"/>
        <v>1</v>
      </c>
    </row>
    <row r="132" spans="1:23" s="36" customFormat="1" x14ac:dyDescent="0.3">
      <c r="A132" s="6"/>
      <c r="B132" s="17">
        <f t="shared" si="12"/>
        <v>4</v>
      </c>
      <c r="C132" s="18">
        <v>45173</v>
      </c>
      <c r="D132" s="19" t="s">
        <v>18</v>
      </c>
      <c r="E132" s="19" t="s">
        <v>874</v>
      </c>
      <c r="F132" s="35">
        <v>130</v>
      </c>
      <c r="G132" s="35">
        <v>165</v>
      </c>
      <c r="H132" s="35">
        <f>165-130</f>
        <v>35</v>
      </c>
      <c r="I132" s="20">
        <v>300</v>
      </c>
      <c r="J132" s="21">
        <f t="shared" si="9"/>
        <v>10500</v>
      </c>
      <c r="K132" s="7"/>
      <c r="V132" s="5">
        <f t="shared" si="10"/>
        <v>1</v>
      </c>
      <c r="W132" s="5">
        <f t="shared" si="11"/>
        <v>0</v>
      </c>
    </row>
    <row r="133" spans="1:23" s="36" customFormat="1" x14ac:dyDescent="0.3">
      <c r="A133" s="6"/>
      <c r="B133" s="17">
        <f t="shared" si="12"/>
        <v>5</v>
      </c>
      <c r="C133" s="18">
        <v>45176</v>
      </c>
      <c r="D133" s="19" t="s">
        <v>18</v>
      </c>
      <c r="E133" s="19" t="s">
        <v>903</v>
      </c>
      <c r="F133" s="20">
        <v>95</v>
      </c>
      <c r="G133" s="35">
        <v>100</v>
      </c>
      <c r="H133" s="35">
        <v>5</v>
      </c>
      <c r="I133" s="20">
        <v>300</v>
      </c>
      <c r="J133" s="21">
        <f t="shared" ref="J133:J134" si="13">I132*H132</f>
        <v>10500</v>
      </c>
      <c r="K133" s="7"/>
      <c r="V133" s="5">
        <f t="shared" si="10"/>
        <v>1</v>
      </c>
      <c r="W133" s="5">
        <f t="shared" si="11"/>
        <v>0</v>
      </c>
    </row>
    <row r="134" spans="1:23" s="36" customFormat="1" x14ac:dyDescent="0.3">
      <c r="A134" s="6"/>
      <c r="B134" s="17">
        <f t="shared" si="12"/>
        <v>6</v>
      </c>
      <c r="C134" s="18">
        <v>45177</v>
      </c>
      <c r="D134" s="19" t="s">
        <v>18</v>
      </c>
      <c r="E134" s="19" t="s">
        <v>886</v>
      </c>
      <c r="F134" s="35">
        <v>110</v>
      </c>
      <c r="G134" s="35">
        <v>90</v>
      </c>
      <c r="H134" s="35">
        <v>-20</v>
      </c>
      <c r="I134" s="20">
        <v>300</v>
      </c>
      <c r="J134" s="21">
        <f t="shared" si="13"/>
        <v>1500</v>
      </c>
      <c r="K134" s="7"/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si="12"/>
        <v>7</v>
      </c>
      <c r="C135" s="18">
        <v>45178</v>
      </c>
      <c r="D135" s="19" t="s">
        <v>18</v>
      </c>
      <c r="E135" s="19" t="s">
        <v>911</v>
      </c>
      <c r="F135" s="35">
        <v>110</v>
      </c>
      <c r="G135" s="35">
        <v>143</v>
      </c>
      <c r="H135" s="35">
        <f>143-110</f>
        <v>33</v>
      </c>
      <c r="I135" s="20">
        <v>300</v>
      </c>
      <c r="J135" s="21">
        <f t="shared" si="9"/>
        <v>9900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8</v>
      </c>
      <c r="C136" s="18">
        <v>45178</v>
      </c>
      <c r="D136" s="19" t="s">
        <v>18</v>
      </c>
      <c r="E136" s="19" t="s">
        <v>890</v>
      </c>
      <c r="F136" s="35">
        <v>100</v>
      </c>
      <c r="G136" s="35">
        <v>115</v>
      </c>
      <c r="H136" s="35">
        <v>15</v>
      </c>
      <c r="I136" s="20">
        <v>300</v>
      </c>
      <c r="J136" s="21">
        <f t="shared" si="9"/>
        <v>4500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9</v>
      </c>
      <c r="C137" s="18">
        <v>45181</v>
      </c>
      <c r="D137" s="19" t="s">
        <v>18</v>
      </c>
      <c r="E137" s="19" t="s">
        <v>912</v>
      </c>
      <c r="F137" s="35">
        <v>110</v>
      </c>
      <c r="G137" s="35">
        <v>145</v>
      </c>
      <c r="H137" s="35">
        <f>145-110</f>
        <v>35</v>
      </c>
      <c r="I137" s="100">
        <v>300</v>
      </c>
      <c r="J137" s="21">
        <f t="shared" si="9"/>
        <v>10500</v>
      </c>
      <c r="K137" s="7"/>
      <c r="V137" s="5">
        <f t="shared" si="10"/>
        <v>1</v>
      </c>
      <c r="W137" s="5">
        <f t="shared" si="11"/>
        <v>0</v>
      </c>
    </row>
    <row r="138" spans="1:23" s="36" customFormat="1" x14ac:dyDescent="0.3">
      <c r="A138" s="6"/>
      <c r="B138" s="17">
        <f t="shared" si="12"/>
        <v>10</v>
      </c>
      <c r="C138" s="18">
        <v>45182</v>
      </c>
      <c r="D138" s="19" t="s">
        <v>18</v>
      </c>
      <c r="E138" s="19" t="s">
        <v>913</v>
      </c>
      <c r="F138" s="35">
        <v>100</v>
      </c>
      <c r="G138" s="35">
        <v>115</v>
      </c>
      <c r="H138" s="35">
        <v>15</v>
      </c>
      <c r="I138" s="20">
        <v>300</v>
      </c>
      <c r="J138" s="21">
        <f t="shared" si="9"/>
        <v>4500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11</v>
      </c>
      <c r="C139" s="18">
        <v>45182</v>
      </c>
      <c r="D139" s="19" t="s">
        <v>18</v>
      </c>
      <c r="E139" s="19" t="s">
        <v>918</v>
      </c>
      <c r="F139" s="19">
        <v>110</v>
      </c>
      <c r="G139" s="35">
        <v>116</v>
      </c>
      <c r="H139" s="35">
        <v>16</v>
      </c>
      <c r="I139" s="20">
        <v>300</v>
      </c>
      <c r="J139" s="21">
        <f t="shared" si="9"/>
        <v>4800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12</v>
      </c>
      <c r="C140" s="18">
        <v>45183</v>
      </c>
      <c r="D140" s="19" t="s">
        <v>18</v>
      </c>
      <c r="E140" s="19" t="s">
        <v>919</v>
      </c>
      <c r="F140" s="35">
        <v>95</v>
      </c>
      <c r="G140" s="35">
        <v>103</v>
      </c>
      <c r="H140" s="35">
        <f>103-95</f>
        <v>8</v>
      </c>
      <c r="I140" s="20">
        <v>300</v>
      </c>
      <c r="J140" s="21">
        <f t="shared" si="9"/>
        <v>2400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13</v>
      </c>
      <c r="C141" s="18">
        <v>45183</v>
      </c>
      <c r="D141" s="19" t="s">
        <v>18</v>
      </c>
      <c r="E141" s="19" t="s">
        <v>920</v>
      </c>
      <c r="F141" s="35">
        <v>110</v>
      </c>
      <c r="G141" s="35">
        <v>122</v>
      </c>
      <c r="H141" s="35">
        <f>122-110</f>
        <v>12</v>
      </c>
      <c r="I141" s="20">
        <v>300</v>
      </c>
      <c r="J141" s="21">
        <f t="shared" si="9"/>
        <v>3600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14</v>
      </c>
      <c r="C142" s="18">
        <v>45184</v>
      </c>
      <c r="D142" s="19" t="s">
        <v>18</v>
      </c>
      <c r="E142" s="19" t="s">
        <v>921</v>
      </c>
      <c r="F142" s="77">
        <v>115</v>
      </c>
      <c r="G142" s="35">
        <v>143</v>
      </c>
      <c r="H142" s="78">
        <f>143-115</f>
        <v>28</v>
      </c>
      <c r="I142" s="20">
        <v>300</v>
      </c>
      <c r="J142" s="21">
        <f t="shared" si="9"/>
        <v>8400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15</v>
      </c>
      <c r="C143" s="18">
        <v>45184</v>
      </c>
      <c r="D143" s="19" t="s">
        <v>18</v>
      </c>
      <c r="E143" s="19" t="s">
        <v>921</v>
      </c>
      <c r="F143" s="35">
        <v>115</v>
      </c>
      <c r="G143" s="35">
        <v>130</v>
      </c>
      <c r="H143" s="78">
        <v>15</v>
      </c>
      <c r="I143" s="20">
        <v>300</v>
      </c>
      <c r="J143" s="21">
        <f t="shared" si="9"/>
        <v>4500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16</v>
      </c>
      <c r="C144" s="18">
        <v>45187</v>
      </c>
      <c r="D144" s="19" t="s">
        <v>18</v>
      </c>
      <c r="E144" s="19" t="s">
        <v>922</v>
      </c>
      <c r="F144" s="35">
        <v>120</v>
      </c>
      <c r="G144" s="35">
        <v>135</v>
      </c>
      <c r="H144" s="78">
        <v>15</v>
      </c>
      <c r="I144" s="20">
        <v>300</v>
      </c>
      <c r="J144" s="21">
        <f t="shared" si="9"/>
        <v>4500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17</v>
      </c>
      <c r="C145" s="18">
        <v>45187</v>
      </c>
      <c r="D145" s="19" t="s">
        <v>18</v>
      </c>
      <c r="E145" s="19" t="s">
        <v>922</v>
      </c>
      <c r="F145" s="35">
        <v>110</v>
      </c>
      <c r="G145" s="35">
        <v>90</v>
      </c>
      <c r="H145" s="78">
        <v>-15</v>
      </c>
      <c r="I145" s="20">
        <v>300</v>
      </c>
      <c r="J145" s="21">
        <f t="shared" si="9"/>
        <v>-4500</v>
      </c>
      <c r="K145" s="7"/>
      <c r="V145" s="5">
        <f t="shared" si="10"/>
        <v>0</v>
      </c>
      <c r="W145" s="5">
        <f t="shared" si="11"/>
        <v>1</v>
      </c>
    </row>
    <row r="146" spans="1:23" s="36" customFormat="1" x14ac:dyDescent="0.3">
      <c r="A146" s="6"/>
      <c r="B146" s="17">
        <f t="shared" si="12"/>
        <v>18</v>
      </c>
      <c r="C146" s="18">
        <v>45189</v>
      </c>
      <c r="D146" s="19" t="s">
        <v>18</v>
      </c>
      <c r="E146" s="19" t="s">
        <v>912</v>
      </c>
      <c r="F146" s="35">
        <v>105</v>
      </c>
      <c r="G146" s="35">
        <v>140</v>
      </c>
      <c r="H146" s="78">
        <f>140-105</f>
        <v>35</v>
      </c>
      <c r="I146" s="20">
        <v>300</v>
      </c>
      <c r="J146" s="21">
        <f t="shared" si="9"/>
        <v>10500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19</v>
      </c>
      <c r="C147" s="18">
        <v>45189</v>
      </c>
      <c r="D147" s="19" t="s">
        <v>18</v>
      </c>
      <c r="E147" s="19" t="s">
        <v>913</v>
      </c>
      <c r="F147" s="35">
        <v>105</v>
      </c>
      <c r="G147" s="35">
        <v>140</v>
      </c>
      <c r="H147" s="78">
        <v>35</v>
      </c>
      <c r="I147" s="20">
        <v>300</v>
      </c>
      <c r="J147" s="21">
        <f t="shared" si="9"/>
        <v>10500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20</v>
      </c>
      <c r="C148" s="18">
        <v>45190</v>
      </c>
      <c r="D148" s="19" t="s">
        <v>18</v>
      </c>
      <c r="E148" s="19" t="s">
        <v>103</v>
      </c>
      <c r="F148" s="35">
        <v>105</v>
      </c>
      <c r="G148" s="35">
        <v>140</v>
      </c>
      <c r="H148" s="35">
        <v>35</v>
      </c>
      <c r="I148" s="20">
        <v>300</v>
      </c>
      <c r="J148" s="21">
        <f t="shared" si="9"/>
        <v>10500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21</v>
      </c>
      <c r="C149" s="18">
        <v>45190</v>
      </c>
      <c r="D149" s="19" t="s">
        <v>18</v>
      </c>
      <c r="E149" s="19" t="s">
        <v>887</v>
      </c>
      <c r="F149" s="35">
        <v>125</v>
      </c>
      <c r="G149" s="35">
        <v>135</v>
      </c>
      <c r="H149" s="35">
        <v>10</v>
      </c>
      <c r="I149" s="20">
        <v>300</v>
      </c>
      <c r="J149" s="21">
        <f t="shared" si="9"/>
        <v>3000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22</v>
      </c>
      <c r="C150" s="18">
        <v>45191</v>
      </c>
      <c r="D150" s="19" t="s">
        <v>18</v>
      </c>
      <c r="E150" s="19" t="s">
        <v>886</v>
      </c>
      <c r="F150" s="35">
        <v>105</v>
      </c>
      <c r="G150" s="35">
        <v>85</v>
      </c>
      <c r="H150" s="35">
        <v>-15</v>
      </c>
      <c r="I150" s="20">
        <v>300</v>
      </c>
      <c r="J150" s="21">
        <f t="shared" si="9"/>
        <v>-4500</v>
      </c>
      <c r="K150" s="7"/>
      <c r="V150" s="5">
        <f t="shared" si="10"/>
        <v>0</v>
      </c>
      <c r="W150" s="5">
        <f t="shared" si="11"/>
        <v>1</v>
      </c>
    </row>
    <row r="151" spans="1:23" s="36" customFormat="1" x14ac:dyDescent="0.3">
      <c r="A151" s="6"/>
      <c r="B151" s="17">
        <f t="shared" si="12"/>
        <v>23</v>
      </c>
      <c r="C151" s="18">
        <v>45191</v>
      </c>
      <c r="D151" s="19" t="s">
        <v>18</v>
      </c>
      <c r="E151" s="19" t="s">
        <v>894</v>
      </c>
      <c r="F151" s="35">
        <v>105</v>
      </c>
      <c r="G151" s="35">
        <v>120</v>
      </c>
      <c r="H151" s="35">
        <v>15</v>
      </c>
      <c r="I151" s="20">
        <v>300</v>
      </c>
      <c r="J151" s="21">
        <f t="shared" si="9"/>
        <v>4500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>B151+1</f>
        <v>24</v>
      </c>
      <c r="C152" s="18">
        <v>45194</v>
      </c>
      <c r="D152" s="19" t="s">
        <v>18</v>
      </c>
      <c r="E152" s="19" t="s">
        <v>894</v>
      </c>
      <c r="F152" s="35">
        <v>110</v>
      </c>
      <c r="G152" s="35">
        <v>145</v>
      </c>
      <c r="H152" s="35">
        <f>145-110</f>
        <v>35</v>
      </c>
      <c r="I152" s="20">
        <v>300</v>
      </c>
      <c r="J152" s="21">
        <f t="shared" si="9"/>
        <v>10500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ref="B153:B174" si="14">B152+1</f>
        <v>25</v>
      </c>
      <c r="C153" s="18">
        <v>45194</v>
      </c>
      <c r="D153" s="19" t="s">
        <v>18</v>
      </c>
      <c r="E153" s="19" t="s">
        <v>894</v>
      </c>
      <c r="F153" s="35">
        <v>120</v>
      </c>
      <c r="G153" s="35">
        <v>128</v>
      </c>
      <c r="H153" s="35">
        <v>8</v>
      </c>
      <c r="I153" s="20">
        <v>300</v>
      </c>
      <c r="J153" s="21">
        <f t="shared" si="9"/>
        <v>2400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4"/>
        <v>26</v>
      </c>
      <c r="C154" s="18">
        <v>45195</v>
      </c>
      <c r="D154" s="19" t="s">
        <v>18</v>
      </c>
      <c r="E154" s="19" t="s">
        <v>894</v>
      </c>
      <c r="F154" s="35">
        <v>120</v>
      </c>
      <c r="G154" s="35">
        <v>134</v>
      </c>
      <c r="H154" s="35">
        <f>134-120</f>
        <v>14</v>
      </c>
      <c r="I154" s="20">
        <v>300</v>
      </c>
      <c r="J154" s="21">
        <f t="shared" si="9"/>
        <v>4200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4"/>
        <v>27</v>
      </c>
      <c r="C155" s="18">
        <v>45195</v>
      </c>
      <c r="D155" s="19" t="s">
        <v>18</v>
      </c>
      <c r="E155" s="19" t="s">
        <v>898</v>
      </c>
      <c r="F155" s="35">
        <v>105</v>
      </c>
      <c r="G155" s="35">
        <v>85</v>
      </c>
      <c r="H155" s="35">
        <f>105-85</f>
        <v>20</v>
      </c>
      <c r="I155" s="20">
        <v>300</v>
      </c>
      <c r="J155" s="21">
        <f t="shared" si="9"/>
        <v>6000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4"/>
        <v>28</v>
      </c>
      <c r="C156" s="18">
        <v>45196</v>
      </c>
      <c r="D156" s="19" t="s">
        <v>18</v>
      </c>
      <c r="E156" s="19" t="s">
        <v>903</v>
      </c>
      <c r="F156" s="35">
        <v>110</v>
      </c>
      <c r="G156" s="35">
        <v>145</v>
      </c>
      <c r="H156" s="35">
        <f>145-110</f>
        <v>35</v>
      </c>
      <c r="I156" s="20">
        <v>300</v>
      </c>
      <c r="J156" s="21">
        <f t="shared" si="9"/>
        <v>10500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4"/>
        <v>29</v>
      </c>
      <c r="C157" s="18">
        <v>45197</v>
      </c>
      <c r="D157" s="19" t="s">
        <v>18</v>
      </c>
      <c r="E157" s="19" t="s">
        <v>894</v>
      </c>
      <c r="F157" s="35">
        <v>105</v>
      </c>
      <c r="G157" s="35">
        <v>115</v>
      </c>
      <c r="H157" s="19">
        <f>115-105</f>
        <v>10</v>
      </c>
      <c r="I157" s="20">
        <v>300</v>
      </c>
      <c r="J157" s="21">
        <f t="shared" si="9"/>
        <v>3000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4"/>
        <v>30</v>
      </c>
      <c r="C158" s="18">
        <v>45198</v>
      </c>
      <c r="D158" s="19" t="s">
        <v>18</v>
      </c>
      <c r="E158" s="19" t="s">
        <v>897</v>
      </c>
      <c r="F158" s="35">
        <v>105</v>
      </c>
      <c r="G158" s="35">
        <v>114</v>
      </c>
      <c r="H158" s="35">
        <f>114-105</f>
        <v>9</v>
      </c>
      <c r="I158" s="20">
        <v>300</v>
      </c>
      <c r="J158" s="21">
        <f t="shared" si="9"/>
        <v>2700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4"/>
        <v>31</v>
      </c>
      <c r="C159" s="18">
        <v>45198</v>
      </c>
      <c r="D159" s="19" t="s">
        <v>18</v>
      </c>
      <c r="E159" s="19" t="s">
        <v>898</v>
      </c>
      <c r="F159" s="35">
        <v>115</v>
      </c>
      <c r="G159" s="35">
        <v>136</v>
      </c>
      <c r="H159" s="35">
        <f>136-115</f>
        <v>21</v>
      </c>
      <c r="I159" s="20">
        <v>300</v>
      </c>
      <c r="J159" s="21">
        <f t="shared" si="9"/>
        <v>6300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 t="shared" si="14"/>
        <v>32</v>
      </c>
      <c r="C160" s="18"/>
      <c r="D160" s="19"/>
      <c r="E160" s="19"/>
      <c r="F160" s="35"/>
      <c r="G160" s="35"/>
      <c r="H160" s="35"/>
      <c r="I160" s="20"/>
      <c r="J160" s="21">
        <f t="shared" si="9"/>
        <v>0</v>
      </c>
      <c r="K160" s="7"/>
      <c r="V160" s="5">
        <f t="shared" si="10"/>
        <v>0</v>
      </c>
      <c r="W160" s="5">
        <f t="shared" si="11"/>
        <v>0</v>
      </c>
    </row>
    <row r="161" spans="1:23" s="36" customFormat="1" x14ac:dyDescent="0.3">
      <c r="A161" s="6"/>
      <c r="B161" s="17">
        <f t="shared" si="14"/>
        <v>33</v>
      </c>
      <c r="C161" s="18"/>
      <c r="D161" s="19"/>
      <c r="E161" s="19"/>
      <c r="F161" s="35"/>
      <c r="G161" s="35"/>
      <c r="H161" s="35"/>
      <c r="I161" s="20"/>
      <c r="J161" s="21">
        <f t="shared" si="9"/>
        <v>0</v>
      </c>
      <c r="K161" s="7"/>
      <c r="V161" s="5">
        <f t="shared" si="10"/>
        <v>0</v>
      </c>
      <c r="W161" s="5">
        <f t="shared" si="11"/>
        <v>0</v>
      </c>
    </row>
    <row r="162" spans="1:23" s="36" customFormat="1" x14ac:dyDescent="0.3">
      <c r="A162" s="6"/>
      <c r="B162" s="17">
        <f t="shared" si="14"/>
        <v>34</v>
      </c>
      <c r="C162" s="18"/>
      <c r="D162" s="19"/>
      <c r="E162" s="19"/>
      <c r="F162" s="35"/>
      <c r="G162" s="35"/>
      <c r="H162" s="35"/>
      <c r="I162" s="20"/>
      <c r="J162" s="21">
        <f t="shared" si="9"/>
        <v>0</v>
      </c>
      <c r="K162" s="7"/>
      <c r="V162" s="5">
        <f t="shared" si="10"/>
        <v>0</v>
      </c>
      <c r="W162" s="5">
        <f t="shared" si="11"/>
        <v>0</v>
      </c>
    </row>
    <row r="163" spans="1:23" s="36" customFormat="1" hidden="1" x14ac:dyDescent="0.3">
      <c r="A163" s="6"/>
      <c r="B163" s="17">
        <f t="shared" si="14"/>
        <v>35</v>
      </c>
      <c r="C163" s="18"/>
      <c r="D163" s="19"/>
      <c r="E163" s="19"/>
      <c r="F163" s="35"/>
      <c r="G163" s="35"/>
      <c r="H163" s="35"/>
      <c r="I163" s="20"/>
      <c r="J163" s="21">
        <f t="shared" si="9"/>
        <v>0</v>
      </c>
      <c r="K163" s="7"/>
      <c r="V163" s="5">
        <f t="shared" si="10"/>
        <v>0</v>
      </c>
      <c r="W163" s="5">
        <f t="shared" si="11"/>
        <v>0</v>
      </c>
    </row>
    <row r="164" spans="1:23" s="36" customFormat="1" hidden="1" x14ac:dyDescent="0.3">
      <c r="A164" s="6"/>
      <c r="B164" s="17">
        <f t="shared" si="14"/>
        <v>36</v>
      </c>
      <c r="C164" s="18"/>
      <c r="D164" s="19"/>
      <c r="E164" s="19"/>
      <c r="F164" s="35"/>
      <c r="G164" s="35"/>
      <c r="H164" s="35"/>
      <c r="I164" s="20"/>
      <c r="J164" s="21">
        <f t="shared" si="9"/>
        <v>0</v>
      </c>
      <c r="K164" s="7"/>
      <c r="V164" s="5">
        <f t="shared" si="10"/>
        <v>0</v>
      </c>
      <c r="W164" s="5">
        <f t="shared" si="11"/>
        <v>0</v>
      </c>
    </row>
    <row r="165" spans="1:23" s="36" customFormat="1" hidden="1" x14ac:dyDescent="0.3">
      <c r="A165" s="6"/>
      <c r="B165" s="17">
        <f t="shared" si="14"/>
        <v>37</v>
      </c>
      <c r="C165" s="18"/>
      <c r="D165" s="19"/>
      <c r="E165" s="19"/>
      <c r="F165" s="35"/>
      <c r="G165" s="35"/>
      <c r="H165" s="35"/>
      <c r="I165" s="20"/>
      <c r="J165" s="21">
        <f t="shared" si="9"/>
        <v>0</v>
      </c>
      <c r="K165" s="7"/>
      <c r="V165" s="5">
        <f t="shared" si="10"/>
        <v>0</v>
      </c>
      <c r="W165" s="5">
        <f t="shared" si="11"/>
        <v>0</v>
      </c>
    </row>
    <row r="166" spans="1:23" s="36" customFormat="1" hidden="1" x14ac:dyDescent="0.3">
      <c r="A166" s="6"/>
      <c r="B166" s="17">
        <f t="shared" si="14"/>
        <v>38</v>
      </c>
      <c r="C166" s="18"/>
      <c r="D166" s="19"/>
      <c r="E166" s="19"/>
      <c r="F166" s="35"/>
      <c r="G166" s="35"/>
      <c r="H166" s="35"/>
      <c r="I166" s="20"/>
      <c r="J166" s="21">
        <f t="shared" si="9"/>
        <v>0</v>
      </c>
      <c r="K166" s="7"/>
      <c r="V166" s="5">
        <f t="shared" si="10"/>
        <v>0</v>
      </c>
      <c r="W166" s="5">
        <f t="shared" si="11"/>
        <v>0</v>
      </c>
    </row>
    <row r="167" spans="1:23" s="36" customFormat="1" hidden="1" x14ac:dyDescent="0.3">
      <c r="A167" s="6"/>
      <c r="B167" s="17">
        <f t="shared" si="14"/>
        <v>39</v>
      </c>
      <c r="C167" s="18"/>
      <c r="D167" s="19"/>
      <c r="E167" s="19"/>
      <c r="F167" s="35"/>
      <c r="G167" s="35"/>
      <c r="H167" s="35"/>
      <c r="I167" s="20"/>
      <c r="J167" s="21">
        <f t="shared" si="9"/>
        <v>0</v>
      </c>
      <c r="K167" s="7"/>
      <c r="V167" s="5">
        <f t="shared" si="10"/>
        <v>0</v>
      </c>
      <c r="W167" s="5">
        <f t="shared" si="11"/>
        <v>0</v>
      </c>
    </row>
    <row r="168" spans="1:23" s="36" customFormat="1" hidden="1" x14ac:dyDescent="0.3">
      <c r="A168" s="6"/>
      <c r="B168" s="17">
        <f t="shared" si="14"/>
        <v>40</v>
      </c>
      <c r="C168" s="18"/>
      <c r="D168" s="19"/>
      <c r="E168" s="19"/>
      <c r="F168" s="35"/>
      <c r="G168" s="35"/>
      <c r="H168" s="35"/>
      <c r="I168" s="20"/>
      <c r="J168" s="21">
        <f t="shared" si="9"/>
        <v>0</v>
      </c>
      <c r="K168" s="7"/>
      <c r="V168" s="5">
        <f t="shared" si="10"/>
        <v>0</v>
      </c>
      <c r="W168" s="5">
        <f t="shared" si="11"/>
        <v>0</v>
      </c>
    </row>
    <row r="169" spans="1:23" s="36" customFormat="1" hidden="1" x14ac:dyDescent="0.3">
      <c r="A169" s="6"/>
      <c r="B169" s="17">
        <f t="shared" si="14"/>
        <v>41</v>
      </c>
      <c r="C169" s="18"/>
      <c r="D169" s="19"/>
      <c r="E169" s="19"/>
      <c r="F169" s="35"/>
      <c r="G169" s="35"/>
      <c r="H169" s="35"/>
      <c r="I169" s="20"/>
      <c r="J169" s="21">
        <f t="shared" si="9"/>
        <v>0</v>
      </c>
      <c r="K169" s="7"/>
      <c r="V169" s="5">
        <f t="shared" si="10"/>
        <v>0</v>
      </c>
      <c r="W169" s="5">
        <f t="shared" si="11"/>
        <v>0</v>
      </c>
    </row>
    <row r="170" spans="1:23" s="36" customFormat="1" hidden="1" x14ac:dyDescent="0.3">
      <c r="A170" s="6"/>
      <c r="B170" s="17">
        <f t="shared" si="14"/>
        <v>42</v>
      </c>
      <c r="C170" s="18"/>
      <c r="D170" s="19"/>
      <c r="E170" s="19"/>
      <c r="F170" s="35"/>
      <c r="G170" s="35"/>
      <c r="H170" s="35"/>
      <c r="I170" s="20"/>
      <c r="J170" s="21">
        <f t="shared" si="9"/>
        <v>0</v>
      </c>
      <c r="K170" s="7"/>
      <c r="V170" s="5">
        <f t="shared" si="10"/>
        <v>0</v>
      </c>
      <c r="W170" s="5">
        <f t="shared" si="11"/>
        <v>0</v>
      </c>
    </row>
    <row r="171" spans="1:23" s="36" customFormat="1" hidden="1" x14ac:dyDescent="0.3">
      <c r="A171" s="6"/>
      <c r="B171" s="17">
        <f t="shared" si="14"/>
        <v>43</v>
      </c>
      <c r="C171" s="18"/>
      <c r="D171" s="19"/>
      <c r="E171" s="19"/>
      <c r="F171" s="35"/>
      <c r="G171" s="35"/>
      <c r="H171" s="35"/>
      <c r="I171" s="20"/>
      <c r="J171" s="21">
        <f t="shared" si="9"/>
        <v>0</v>
      </c>
      <c r="K171" s="7"/>
      <c r="V171" s="5">
        <f t="shared" si="10"/>
        <v>0</v>
      </c>
      <c r="W171" s="5">
        <f t="shared" si="11"/>
        <v>0</v>
      </c>
    </row>
    <row r="172" spans="1:23" s="36" customFormat="1" hidden="1" x14ac:dyDescent="0.3">
      <c r="A172" s="6"/>
      <c r="B172" s="17">
        <f t="shared" si="14"/>
        <v>44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hidden="1" x14ac:dyDescent="0.3">
      <c r="A173" s="6"/>
      <c r="B173" s="17">
        <f t="shared" si="14"/>
        <v>45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ht="15" hidden="1" thickBot="1" x14ac:dyDescent="0.35">
      <c r="A174" s="6"/>
      <c r="B174" s="95">
        <f t="shared" si="14"/>
        <v>46</v>
      </c>
      <c r="C174" s="79"/>
      <c r="D174" s="80"/>
      <c r="E174" s="80"/>
      <c r="F174" s="96"/>
      <c r="G174" s="96"/>
      <c r="H174" s="96"/>
      <c r="I174" s="81"/>
      <c r="J174" s="82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ht="24" thickBot="1" x14ac:dyDescent="0.5">
      <c r="A175" s="6"/>
      <c r="B175" s="165" t="s">
        <v>22</v>
      </c>
      <c r="C175" s="166"/>
      <c r="D175" s="166"/>
      <c r="E175" s="166"/>
      <c r="F175" s="166"/>
      <c r="G175" s="166"/>
      <c r="H175" s="167"/>
      <c r="I175" s="83" t="s">
        <v>23</v>
      </c>
      <c r="J175" s="84">
        <f>SUM(J129:J174)</f>
        <v>164100</v>
      </c>
      <c r="K175" s="7"/>
      <c r="L175" s="5"/>
      <c r="M175" s="5"/>
      <c r="N175" s="5"/>
      <c r="O175" s="5"/>
      <c r="P175" s="5"/>
      <c r="Q175" s="5"/>
      <c r="R175" s="5"/>
      <c r="V175" s="36">
        <f>SUM(V129:V174)</f>
        <v>28</v>
      </c>
      <c r="W175" s="36">
        <f>SUM(W129:W174)</f>
        <v>3</v>
      </c>
    </row>
    <row r="176" spans="1:23" s="36" customFormat="1" ht="30" customHeight="1" thickBot="1" x14ac:dyDescent="0.35">
      <c r="A176" s="30"/>
      <c r="B176" s="31"/>
      <c r="C176" s="31"/>
      <c r="D176" s="31"/>
      <c r="E176" s="31"/>
      <c r="F176" s="31"/>
      <c r="G176" s="31"/>
      <c r="H176" s="32"/>
      <c r="I176" s="31"/>
      <c r="J176" s="32"/>
      <c r="K176" s="33"/>
      <c r="L176" s="5"/>
      <c r="M176" s="5"/>
      <c r="N176" s="5"/>
      <c r="O176" s="5"/>
      <c r="P176" s="5"/>
      <c r="Q176" s="5"/>
      <c r="R176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B121:H121"/>
    <mergeCell ref="B125:J125"/>
    <mergeCell ref="B126:J126"/>
    <mergeCell ref="B127:J127"/>
    <mergeCell ref="B175:H175"/>
  </mergeCells>
  <hyperlinks>
    <hyperlink ref="B59" r:id="rId1" xr:uid="{00000000-0004-0000-2600-000000000000}"/>
    <hyperlink ref="B121" r:id="rId2" xr:uid="{00000000-0004-0000-2600-000001000000}"/>
    <hyperlink ref="B175" r:id="rId3" xr:uid="{00000000-0004-0000-2600-000002000000}"/>
    <hyperlink ref="M1" location="MASTER!A1" display="Back" xr:uid="{00000000-0004-0000-2600-000003000000}"/>
    <hyperlink ref="M6:M7" location="'APRIL 2023'!A70" display="EXTRA STOCK FUTURE" xr:uid="{00000000-0004-0000-2600-000004000000}"/>
    <hyperlink ref="M8:M9" location="'APRIL 2023'!A140" display="EXTRA NIFTY OPTION" xr:uid="{00000000-0004-0000-2600-000005000000}"/>
    <hyperlink ref="M4:M5" location="'APRIL 2023'!A1" display="EXTRA BANKNIFTY OPTION" xr:uid="{00000000-0004-0000-2600-000006000000}"/>
  </hyperlinks>
  <pageMargins left="0" right="0" top="0" bottom="0" header="0" footer="0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34"/>
  <sheetViews>
    <sheetView topLeftCell="A139" workbookViewId="0"/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5.2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44105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161"/>
      <c r="O3" s="125"/>
      <c r="P3" s="125"/>
      <c r="Q3" s="125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55" t="s">
        <v>107</v>
      </c>
      <c r="N4" s="157">
        <v>75</v>
      </c>
      <c r="O4" s="113">
        <v>63</v>
      </c>
      <c r="P4" s="113">
        <v>12</v>
      </c>
      <c r="Q4" s="115">
        <v>0</v>
      </c>
      <c r="R4" s="117">
        <f>O4/N4</f>
        <v>0.84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56"/>
      <c r="N5" s="158"/>
      <c r="O5" s="114"/>
      <c r="P5" s="114"/>
      <c r="Q5" s="116"/>
      <c r="R5" s="118"/>
      <c r="V5" s="5" t="s">
        <v>5</v>
      </c>
      <c r="W5" s="5" t="s">
        <v>6</v>
      </c>
    </row>
    <row r="6" spans="1:23" x14ac:dyDescent="0.3">
      <c r="A6" s="6"/>
      <c r="B6" s="14">
        <v>1</v>
      </c>
      <c r="C6" s="66">
        <v>44109</v>
      </c>
      <c r="D6" s="67" t="s">
        <v>18</v>
      </c>
      <c r="E6" s="67" t="s">
        <v>85</v>
      </c>
      <c r="F6" s="68">
        <v>180</v>
      </c>
      <c r="G6" s="68">
        <v>255</v>
      </c>
      <c r="H6" s="60">
        <v>75</v>
      </c>
      <c r="I6" s="15">
        <v>100</v>
      </c>
      <c r="J6" s="16">
        <f>H6*I6</f>
        <v>7500</v>
      </c>
      <c r="K6" s="7"/>
      <c r="M6" s="171" t="s">
        <v>108</v>
      </c>
      <c r="N6" s="158">
        <v>42</v>
      </c>
      <c r="O6" s="114">
        <v>36</v>
      </c>
      <c r="P6" s="114">
        <v>6</v>
      </c>
      <c r="Q6" s="163">
        <v>0</v>
      </c>
      <c r="R6" s="118">
        <f t="shared" ref="R6" si="0">O6/N6</f>
        <v>0.8571428571428571</v>
      </c>
      <c r="V6" s="5">
        <f ca="1">SUM(V6:V82)</f>
        <v>0</v>
      </c>
      <c r="W6" s="5">
        <f>IF($J6&lt;0,1,0)</f>
        <v>0</v>
      </c>
    </row>
    <row r="7" spans="1:23" ht="15" thickBot="1" x14ac:dyDescent="0.35">
      <c r="A7" s="6"/>
      <c r="B7" s="17">
        <v>2</v>
      </c>
      <c r="C7" s="66">
        <v>44109</v>
      </c>
      <c r="D7" s="67" t="s">
        <v>18</v>
      </c>
      <c r="E7" s="67" t="s">
        <v>37</v>
      </c>
      <c r="F7" s="68">
        <v>160</v>
      </c>
      <c r="G7" s="68">
        <v>210</v>
      </c>
      <c r="H7" s="67">
        <v>50</v>
      </c>
      <c r="I7" s="20">
        <v>100</v>
      </c>
      <c r="J7" s="21">
        <f t="shared" ref="J7:J81" si="1">H7*I7</f>
        <v>5000</v>
      </c>
      <c r="K7" s="7"/>
      <c r="M7" s="171"/>
      <c r="N7" s="158"/>
      <c r="O7" s="114"/>
      <c r="P7" s="114"/>
      <c r="Q7" s="164"/>
      <c r="R7" s="118"/>
      <c r="V7" s="5">
        <f t="shared" ref="V7:V14" si="2">IF($J7&gt;0,1,0)</f>
        <v>1</v>
      </c>
      <c r="W7" s="5">
        <f t="shared" ref="W7:W14" si="3">IF($J7&lt;0,1,0)</f>
        <v>0</v>
      </c>
    </row>
    <row r="8" spans="1:23" ht="15" customHeight="1" x14ac:dyDescent="0.3">
      <c r="A8" s="6"/>
      <c r="B8" s="17">
        <v>3</v>
      </c>
      <c r="C8" s="18">
        <v>44109</v>
      </c>
      <c r="D8" s="19" t="s">
        <v>18</v>
      </c>
      <c r="E8" s="19" t="s">
        <v>112</v>
      </c>
      <c r="F8" s="35">
        <v>150</v>
      </c>
      <c r="G8" s="35">
        <v>100</v>
      </c>
      <c r="H8" s="35">
        <v>-50</v>
      </c>
      <c r="I8" s="20">
        <v>100</v>
      </c>
      <c r="J8" s="21">
        <f t="shared" si="1"/>
        <v>-5000</v>
      </c>
      <c r="K8" s="7"/>
      <c r="M8" s="154" t="s">
        <v>19</v>
      </c>
      <c r="N8" s="149">
        <f>SUM(N4:N7)</f>
        <v>117</v>
      </c>
      <c r="O8" s="149">
        <f>SUM(O4:O7)</f>
        <v>99</v>
      </c>
      <c r="P8" s="149">
        <f>SUM(P4:P7)</f>
        <v>18</v>
      </c>
      <c r="Q8" s="151">
        <f>SUM(Q4:Q7)</f>
        <v>0</v>
      </c>
      <c r="R8" s="117">
        <f t="shared" ref="R8" si="4">O8/N8</f>
        <v>0.84615384615384615</v>
      </c>
      <c r="V8" s="5">
        <f t="shared" si="2"/>
        <v>0</v>
      </c>
      <c r="W8" s="5">
        <f t="shared" si="3"/>
        <v>1</v>
      </c>
    </row>
    <row r="9" spans="1:23" ht="15" customHeight="1" thickBot="1" x14ac:dyDescent="0.35">
      <c r="A9" s="6"/>
      <c r="B9" s="17">
        <v>4</v>
      </c>
      <c r="C9" s="18">
        <v>44109</v>
      </c>
      <c r="D9" s="19" t="s">
        <v>18</v>
      </c>
      <c r="E9" s="19" t="s">
        <v>113</v>
      </c>
      <c r="F9" s="35">
        <v>180</v>
      </c>
      <c r="G9" s="35">
        <v>150</v>
      </c>
      <c r="H9" s="35">
        <v>-30</v>
      </c>
      <c r="I9" s="20">
        <v>100</v>
      </c>
      <c r="J9" s="21">
        <f t="shared" si="1"/>
        <v>-3000</v>
      </c>
      <c r="K9" s="7"/>
      <c r="M9" s="148"/>
      <c r="N9" s="150"/>
      <c r="O9" s="150"/>
      <c r="P9" s="150"/>
      <c r="Q9" s="152"/>
      <c r="R9" s="153"/>
      <c r="V9" s="5">
        <f t="shared" si="2"/>
        <v>0</v>
      </c>
      <c r="W9" s="5">
        <f t="shared" si="3"/>
        <v>1</v>
      </c>
    </row>
    <row r="10" spans="1:23" ht="15.75" customHeight="1" x14ac:dyDescent="0.3">
      <c r="A10" s="6"/>
      <c r="B10" s="17">
        <v>5</v>
      </c>
      <c r="C10" s="18">
        <v>44110</v>
      </c>
      <c r="D10" s="19" t="s">
        <v>18</v>
      </c>
      <c r="E10" s="19" t="s">
        <v>114</v>
      </c>
      <c r="F10" s="35">
        <v>160</v>
      </c>
      <c r="G10" s="35">
        <v>179</v>
      </c>
      <c r="H10" s="35">
        <v>19</v>
      </c>
      <c r="I10" s="20">
        <v>100</v>
      </c>
      <c r="J10" s="21">
        <f t="shared" si="1"/>
        <v>1900</v>
      </c>
      <c r="K10" s="7"/>
      <c r="M10" s="126" t="s">
        <v>20</v>
      </c>
      <c r="N10" s="127"/>
      <c r="O10" s="128"/>
      <c r="P10" s="135">
        <f>R8</f>
        <v>0.84615384615384615</v>
      </c>
      <c r="Q10" s="136"/>
      <c r="R10" s="137"/>
      <c r="V10" s="5">
        <f t="shared" si="2"/>
        <v>1</v>
      </c>
      <c r="W10" s="5">
        <f t="shared" si="3"/>
        <v>0</v>
      </c>
    </row>
    <row r="11" spans="1:23" x14ac:dyDescent="0.3">
      <c r="A11" s="6"/>
      <c r="B11" s="17">
        <v>6</v>
      </c>
      <c r="C11" s="18">
        <v>44110</v>
      </c>
      <c r="D11" s="19" t="s">
        <v>18</v>
      </c>
      <c r="E11" s="19" t="s">
        <v>113</v>
      </c>
      <c r="F11" s="35">
        <v>170</v>
      </c>
      <c r="G11" s="35">
        <v>270</v>
      </c>
      <c r="H11" s="35">
        <v>100</v>
      </c>
      <c r="I11" s="20">
        <v>100</v>
      </c>
      <c r="J11" s="21">
        <f t="shared" si="1"/>
        <v>10000</v>
      </c>
      <c r="K11" s="7"/>
      <c r="M11" s="129"/>
      <c r="N11" s="130"/>
      <c r="O11" s="131"/>
      <c r="P11" s="138"/>
      <c r="Q11" s="139"/>
      <c r="R11" s="140"/>
      <c r="V11" s="5">
        <f t="shared" si="2"/>
        <v>1</v>
      </c>
      <c r="W11" s="5">
        <f t="shared" si="3"/>
        <v>0</v>
      </c>
    </row>
    <row r="12" spans="1:23" ht="15" thickBot="1" x14ac:dyDescent="0.35">
      <c r="A12" s="6"/>
      <c r="B12" s="17">
        <v>7</v>
      </c>
      <c r="C12" s="18">
        <v>44111</v>
      </c>
      <c r="D12" s="19" t="s">
        <v>18</v>
      </c>
      <c r="E12" s="19" t="s">
        <v>114</v>
      </c>
      <c r="F12" s="35">
        <v>140</v>
      </c>
      <c r="G12" s="35">
        <v>190</v>
      </c>
      <c r="H12" s="35">
        <v>50</v>
      </c>
      <c r="I12" s="20">
        <v>100</v>
      </c>
      <c r="J12" s="21">
        <f t="shared" si="1"/>
        <v>5000</v>
      </c>
      <c r="K12" s="7"/>
      <c r="M12" s="132"/>
      <c r="N12" s="133"/>
      <c r="O12" s="134"/>
      <c r="P12" s="141"/>
      <c r="Q12" s="142"/>
      <c r="R12" s="143"/>
      <c r="V12" s="5">
        <f t="shared" si="2"/>
        <v>1</v>
      </c>
      <c r="W12" s="5">
        <f t="shared" si="3"/>
        <v>0</v>
      </c>
    </row>
    <row r="13" spans="1:23" x14ac:dyDescent="0.3">
      <c r="A13" s="6"/>
      <c r="B13" s="17">
        <v>8</v>
      </c>
      <c r="C13" s="18">
        <v>44111</v>
      </c>
      <c r="D13" s="19" t="s">
        <v>18</v>
      </c>
      <c r="E13" s="19" t="s">
        <v>52</v>
      </c>
      <c r="F13" s="35">
        <v>120</v>
      </c>
      <c r="G13" s="35">
        <v>160</v>
      </c>
      <c r="H13" s="35">
        <v>40</v>
      </c>
      <c r="I13" s="20">
        <v>100</v>
      </c>
      <c r="J13" s="21">
        <f t="shared" si="1"/>
        <v>4000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7">
        <v>9</v>
      </c>
      <c r="C14" s="18">
        <v>44111</v>
      </c>
      <c r="D14" s="19" t="s">
        <v>18</v>
      </c>
      <c r="E14" s="19" t="s">
        <v>84</v>
      </c>
      <c r="F14" s="35">
        <v>130</v>
      </c>
      <c r="G14" s="35">
        <v>80</v>
      </c>
      <c r="H14" s="35">
        <v>-50</v>
      </c>
      <c r="I14" s="20">
        <v>100</v>
      </c>
      <c r="J14" s="21">
        <f t="shared" si="1"/>
        <v>-5000</v>
      </c>
      <c r="K14" s="7"/>
      <c r="V14" s="5">
        <f t="shared" si="2"/>
        <v>0</v>
      </c>
      <c r="W14" s="5">
        <f t="shared" si="3"/>
        <v>1</v>
      </c>
    </row>
    <row r="15" spans="1:23" x14ac:dyDescent="0.3">
      <c r="A15" s="6"/>
      <c r="B15" s="17">
        <v>10</v>
      </c>
      <c r="C15" s="18">
        <v>44111</v>
      </c>
      <c r="D15" s="19" t="s">
        <v>18</v>
      </c>
      <c r="E15" s="19" t="s">
        <v>59</v>
      </c>
      <c r="F15" s="35">
        <v>150</v>
      </c>
      <c r="G15" s="35">
        <v>175</v>
      </c>
      <c r="H15" s="35">
        <v>25</v>
      </c>
      <c r="I15" s="20">
        <v>100</v>
      </c>
      <c r="J15" s="21">
        <f t="shared" si="1"/>
        <v>2500</v>
      </c>
      <c r="K15" s="7"/>
      <c r="V15" s="5">
        <f>IF($J15&gt;0,1,0)</f>
        <v>1</v>
      </c>
      <c r="W15" s="5">
        <f>IF($J15&lt;0,1,0)</f>
        <v>0</v>
      </c>
    </row>
    <row r="16" spans="1:23" hidden="1" x14ac:dyDescent="0.3">
      <c r="A16" s="6"/>
      <c r="B16" s="17">
        <v>11</v>
      </c>
      <c r="C16" s="18"/>
      <c r="D16" s="19"/>
      <c r="E16" s="19"/>
      <c r="F16" s="35"/>
      <c r="G16" s="35"/>
      <c r="H16" s="35"/>
      <c r="I16" s="20"/>
      <c r="J16" s="21">
        <f t="shared" si="1"/>
        <v>0</v>
      </c>
      <c r="K16" s="7"/>
      <c r="V16" s="5">
        <f t="shared" ref="V16:V81" si="5">IF($J16&gt;0,1,0)</f>
        <v>0</v>
      </c>
      <c r="W16" s="5">
        <f t="shared" ref="W16:W82" si="6">IF($J16&lt;0,1,0)</f>
        <v>0</v>
      </c>
    </row>
    <row r="17" spans="1:23" hidden="1" x14ac:dyDescent="0.3">
      <c r="A17" s="6"/>
      <c r="B17" s="17">
        <v>12</v>
      </c>
      <c r="C17" s="18"/>
      <c r="D17" s="19"/>
      <c r="E17" s="19"/>
      <c r="F17" s="35"/>
      <c r="G17" s="35"/>
      <c r="H17" s="35"/>
      <c r="I17" s="20"/>
      <c r="J17" s="21">
        <f t="shared" si="1"/>
        <v>0</v>
      </c>
      <c r="K17" s="7"/>
      <c r="V17" s="5">
        <f t="shared" si="5"/>
        <v>0</v>
      </c>
      <c r="W17" s="5">
        <f t="shared" si="6"/>
        <v>0</v>
      </c>
    </row>
    <row r="18" spans="1:23" hidden="1" x14ac:dyDescent="0.3">
      <c r="A18" s="6"/>
      <c r="B18" s="17">
        <v>13</v>
      </c>
      <c r="C18" s="18"/>
      <c r="D18" s="19"/>
      <c r="E18" s="19"/>
      <c r="F18" s="35"/>
      <c r="G18" s="35"/>
      <c r="H18" s="35"/>
      <c r="I18" s="20"/>
      <c r="J18" s="21">
        <f t="shared" si="1"/>
        <v>0</v>
      </c>
      <c r="K18" s="7"/>
      <c r="V18" s="5">
        <f t="shared" si="5"/>
        <v>0</v>
      </c>
      <c r="W18" s="5">
        <f t="shared" si="6"/>
        <v>0</v>
      </c>
    </row>
    <row r="19" spans="1:23" hidden="1" x14ac:dyDescent="0.3">
      <c r="A19" s="6"/>
      <c r="B19" s="17">
        <v>14</v>
      </c>
      <c r="C19" s="18"/>
      <c r="D19" s="19"/>
      <c r="E19" s="19"/>
      <c r="F19" s="35"/>
      <c r="G19" s="35"/>
      <c r="H19" s="35"/>
      <c r="I19" s="20"/>
      <c r="J19" s="21">
        <f t="shared" si="1"/>
        <v>0</v>
      </c>
      <c r="K19" s="7"/>
      <c r="O19" s="22"/>
      <c r="P19" s="22"/>
      <c r="Q19" s="22"/>
      <c r="R19" s="22"/>
      <c r="V19" s="5">
        <f t="shared" si="5"/>
        <v>0</v>
      </c>
      <c r="W19" s="5">
        <f t="shared" si="6"/>
        <v>0</v>
      </c>
    </row>
    <row r="20" spans="1:23" hidden="1" x14ac:dyDescent="0.3">
      <c r="A20" s="6"/>
      <c r="B20" s="17">
        <v>15</v>
      </c>
      <c r="C20" s="18"/>
      <c r="D20" s="19"/>
      <c r="E20" s="19"/>
      <c r="F20" s="35"/>
      <c r="G20" s="35"/>
      <c r="H20" s="35"/>
      <c r="I20" s="20"/>
      <c r="J20" s="21">
        <f t="shared" si="1"/>
        <v>0</v>
      </c>
      <c r="K20" s="7"/>
      <c r="V20" s="5">
        <f t="shared" si="5"/>
        <v>0</v>
      </c>
      <c r="W20" s="5">
        <f t="shared" si="6"/>
        <v>0</v>
      </c>
    </row>
    <row r="21" spans="1:23" hidden="1" x14ac:dyDescent="0.3">
      <c r="A21" s="6"/>
      <c r="B21" s="17">
        <v>16</v>
      </c>
      <c r="C21" s="18"/>
      <c r="D21" s="19"/>
      <c r="E21" s="19"/>
      <c r="F21" s="35"/>
      <c r="G21" s="35"/>
      <c r="H21" s="35"/>
      <c r="I21" s="20"/>
      <c r="J21" s="21">
        <f t="shared" si="1"/>
        <v>0</v>
      </c>
      <c r="K21" s="7"/>
      <c r="V21" s="5">
        <f t="shared" si="5"/>
        <v>0</v>
      </c>
      <c r="W21" s="5">
        <f t="shared" si="6"/>
        <v>0</v>
      </c>
    </row>
    <row r="22" spans="1:23" hidden="1" x14ac:dyDescent="0.3">
      <c r="A22" s="6"/>
      <c r="B22" s="17">
        <v>17</v>
      </c>
      <c r="C22" s="18"/>
      <c r="D22" s="19"/>
      <c r="E22" s="19"/>
      <c r="F22" s="35"/>
      <c r="G22" s="35"/>
      <c r="H22" s="35"/>
      <c r="I22" s="20"/>
      <c r="J22" s="21">
        <f t="shared" si="1"/>
        <v>0</v>
      </c>
      <c r="K22" s="7"/>
      <c r="V22" s="5">
        <f t="shared" si="5"/>
        <v>0</v>
      </c>
      <c r="W22" s="5">
        <f t="shared" si="6"/>
        <v>0</v>
      </c>
    </row>
    <row r="23" spans="1:23" hidden="1" x14ac:dyDescent="0.3">
      <c r="A23" s="6"/>
      <c r="B23" s="17">
        <v>18</v>
      </c>
      <c r="C23" s="18"/>
      <c r="D23" s="19"/>
      <c r="E23" s="19"/>
      <c r="F23" s="35"/>
      <c r="G23" s="35"/>
      <c r="H23" s="35"/>
      <c r="I23" s="20"/>
      <c r="J23" s="21">
        <f t="shared" si="1"/>
        <v>0</v>
      </c>
      <c r="K23" s="7"/>
      <c r="V23" s="5">
        <f t="shared" si="5"/>
        <v>0</v>
      </c>
      <c r="W23" s="5">
        <f t="shared" si="6"/>
        <v>0</v>
      </c>
    </row>
    <row r="24" spans="1:23" hidden="1" x14ac:dyDescent="0.3">
      <c r="A24" s="6"/>
      <c r="B24" s="17">
        <v>19</v>
      </c>
      <c r="C24" s="18"/>
      <c r="D24" s="19"/>
      <c r="E24" s="19"/>
      <c r="F24" s="35"/>
      <c r="G24" s="35"/>
      <c r="H24" s="35"/>
      <c r="I24" s="20"/>
      <c r="J24" s="21">
        <f t="shared" si="1"/>
        <v>0</v>
      </c>
      <c r="K24" s="7"/>
      <c r="V24" s="5">
        <f t="shared" si="5"/>
        <v>0</v>
      </c>
      <c r="W24" s="5">
        <f t="shared" si="6"/>
        <v>0</v>
      </c>
    </row>
    <row r="25" spans="1:23" hidden="1" x14ac:dyDescent="0.3">
      <c r="A25" s="6"/>
      <c r="B25" s="17">
        <v>20</v>
      </c>
      <c r="C25" s="18"/>
      <c r="D25" s="19"/>
      <c r="E25" s="19"/>
      <c r="F25" s="35"/>
      <c r="G25" s="35"/>
      <c r="H25" s="19"/>
      <c r="I25" s="20"/>
      <c r="J25" s="21">
        <f t="shared" si="1"/>
        <v>0</v>
      </c>
      <c r="K25" s="7"/>
      <c r="V25" s="5">
        <f t="shared" si="5"/>
        <v>0</v>
      </c>
      <c r="W25" s="5">
        <f t="shared" si="6"/>
        <v>0</v>
      </c>
    </row>
    <row r="26" spans="1:23" hidden="1" x14ac:dyDescent="0.3">
      <c r="A26" s="6"/>
      <c r="B26" s="17">
        <v>21</v>
      </c>
      <c r="C26" s="18"/>
      <c r="D26" s="19"/>
      <c r="E26" s="19"/>
      <c r="F26" s="35"/>
      <c r="G26" s="35"/>
      <c r="H26" s="19"/>
      <c r="I26" s="20"/>
      <c r="J26" s="21">
        <f t="shared" si="1"/>
        <v>0</v>
      </c>
      <c r="K26" s="7"/>
      <c r="V26" s="5">
        <f t="shared" si="5"/>
        <v>0</v>
      </c>
      <c r="W26" s="5">
        <f t="shared" si="6"/>
        <v>0</v>
      </c>
    </row>
    <row r="27" spans="1:23" hidden="1" x14ac:dyDescent="0.3">
      <c r="A27" s="6"/>
      <c r="B27" s="17">
        <v>22</v>
      </c>
      <c r="C27" s="18"/>
      <c r="D27" s="19"/>
      <c r="E27" s="19"/>
      <c r="F27" s="20"/>
      <c r="G27" s="20"/>
      <c r="H27" s="19"/>
      <c r="I27" s="20"/>
      <c r="J27" s="21">
        <f t="shared" si="1"/>
        <v>0</v>
      </c>
      <c r="K27" s="7"/>
      <c r="V27" s="5">
        <f t="shared" si="5"/>
        <v>0</v>
      </c>
      <c r="W27" s="5">
        <f t="shared" si="6"/>
        <v>0</v>
      </c>
    </row>
    <row r="28" spans="1:23" x14ac:dyDescent="0.3">
      <c r="A28" s="6"/>
      <c r="B28" s="23">
        <v>11</v>
      </c>
      <c r="C28" s="24">
        <v>44112</v>
      </c>
      <c r="D28" s="25" t="s">
        <v>18</v>
      </c>
      <c r="E28" s="25" t="s">
        <v>53</v>
      </c>
      <c r="F28" s="26">
        <v>50</v>
      </c>
      <c r="G28" s="61">
        <v>90</v>
      </c>
      <c r="H28" s="61">
        <v>50</v>
      </c>
      <c r="I28" s="26">
        <v>100</v>
      </c>
      <c r="J28" s="21">
        <f t="shared" si="1"/>
        <v>5000</v>
      </c>
      <c r="K28" s="7"/>
      <c r="V28" s="5">
        <f t="shared" si="5"/>
        <v>1</v>
      </c>
      <c r="W28" s="5">
        <f t="shared" si="6"/>
        <v>0</v>
      </c>
    </row>
    <row r="29" spans="1:23" x14ac:dyDescent="0.3">
      <c r="A29" s="6"/>
      <c r="B29" s="23">
        <v>12</v>
      </c>
      <c r="C29" s="24">
        <v>44112</v>
      </c>
      <c r="D29" s="25" t="s">
        <v>18</v>
      </c>
      <c r="E29" s="25" t="s">
        <v>61</v>
      </c>
      <c r="F29" s="26">
        <v>40</v>
      </c>
      <c r="G29" s="61">
        <v>100</v>
      </c>
      <c r="H29" s="61">
        <v>60</v>
      </c>
      <c r="I29" s="26">
        <v>100</v>
      </c>
      <c r="J29" s="21">
        <f t="shared" si="1"/>
        <v>6000</v>
      </c>
      <c r="K29" s="7"/>
      <c r="V29" s="5">
        <f t="shared" si="5"/>
        <v>1</v>
      </c>
      <c r="W29" s="5">
        <f t="shared" si="6"/>
        <v>0</v>
      </c>
    </row>
    <row r="30" spans="1:23" x14ac:dyDescent="0.3">
      <c r="A30" s="6"/>
      <c r="B30" s="23">
        <v>13</v>
      </c>
      <c r="C30" s="24">
        <v>44113</v>
      </c>
      <c r="D30" s="25" t="s">
        <v>18</v>
      </c>
      <c r="E30" s="25" t="s">
        <v>115</v>
      </c>
      <c r="F30" s="26">
        <v>190</v>
      </c>
      <c r="G30" s="61">
        <v>213</v>
      </c>
      <c r="H30" s="61">
        <v>23</v>
      </c>
      <c r="I30" s="26">
        <v>100</v>
      </c>
      <c r="J30" s="21">
        <f t="shared" si="1"/>
        <v>2300</v>
      </c>
      <c r="K30" s="7"/>
      <c r="V30" s="5">
        <f t="shared" si="5"/>
        <v>1</v>
      </c>
      <c r="W30" s="5">
        <f t="shared" si="6"/>
        <v>0</v>
      </c>
    </row>
    <row r="31" spans="1:23" x14ac:dyDescent="0.3">
      <c r="A31" s="6"/>
      <c r="B31" s="23">
        <v>14</v>
      </c>
      <c r="C31" s="24">
        <v>44113</v>
      </c>
      <c r="D31" s="25" t="s">
        <v>18</v>
      </c>
      <c r="E31" s="25" t="s">
        <v>116</v>
      </c>
      <c r="F31" s="26">
        <v>200</v>
      </c>
      <c r="G31" s="61">
        <v>236</v>
      </c>
      <c r="H31" s="61">
        <v>36</v>
      </c>
      <c r="I31" s="26">
        <v>100</v>
      </c>
      <c r="J31" s="21">
        <f t="shared" si="1"/>
        <v>3600</v>
      </c>
      <c r="K31" s="7"/>
      <c r="V31" s="5">
        <f t="shared" si="5"/>
        <v>1</v>
      </c>
      <c r="W31" s="5">
        <f t="shared" si="6"/>
        <v>0</v>
      </c>
    </row>
    <row r="32" spans="1:23" x14ac:dyDescent="0.3">
      <c r="A32" s="6"/>
      <c r="B32" s="23">
        <v>15</v>
      </c>
      <c r="C32" s="24">
        <v>44113</v>
      </c>
      <c r="D32" s="25" t="s">
        <v>18</v>
      </c>
      <c r="E32" s="25" t="s">
        <v>117</v>
      </c>
      <c r="F32" s="26">
        <v>140</v>
      </c>
      <c r="G32" s="61">
        <v>210</v>
      </c>
      <c r="H32" s="61">
        <v>70</v>
      </c>
      <c r="I32" s="26">
        <v>100</v>
      </c>
      <c r="J32" s="21">
        <f t="shared" si="1"/>
        <v>7000</v>
      </c>
      <c r="K32" s="7"/>
      <c r="V32" s="5">
        <f t="shared" si="5"/>
        <v>1</v>
      </c>
      <c r="W32" s="5">
        <f t="shared" si="6"/>
        <v>0</v>
      </c>
    </row>
    <row r="33" spans="1:23" x14ac:dyDescent="0.3">
      <c r="A33" s="6"/>
      <c r="B33" s="23">
        <v>16</v>
      </c>
      <c r="C33" s="24">
        <v>44116</v>
      </c>
      <c r="D33" s="25" t="s">
        <v>18</v>
      </c>
      <c r="E33" s="25" t="s">
        <v>61</v>
      </c>
      <c r="F33" s="26">
        <v>180</v>
      </c>
      <c r="G33" s="61">
        <v>192</v>
      </c>
      <c r="H33" s="61">
        <v>12</v>
      </c>
      <c r="I33" s="26">
        <v>100</v>
      </c>
      <c r="J33" s="21">
        <f t="shared" si="1"/>
        <v>1200</v>
      </c>
      <c r="K33" s="7"/>
      <c r="V33" s="5">
        <f t="shared" si="5"/>
        <v>1</v>
      </c>
      <c r="W33" s="5">
        <f t="shared" si="6"/>
        <v>0</v>
      </c>
    </row>
    <row r="34" spans="1:23" x14ac:dyDescent="0.3">
      <c r="A34" s="6"/>
      <c r="B34" s="23">
        <v>17</v>
      </c>
      <c r="C34" s="24">
        <v>44116</v>
      </c>
      <c r="D34" s="25" t="s">
        <v>18</v>
      </c>
      <c r="E34" s="25" t="s">
        <v>117</v>
      </c>
      <c r="F34" s="26">
        <v>170</v>
      </c>
      <c r="G34" s="61">
        <v>213</v>
      </c>
      <c r="H34" s="61">
        <v>43</v>
      </c>
      <c r="I34" s="26">
        <v>100</v>
      </c>
      <c r="J34" s="21">
        <f t="shared" si="1"/>
        <v>4300</v>
      </c>
      <c r="K34" s="7"/>
      <c r="V34" s="5">
        <f t="shared" si="5"/>
        <v>1</v>
      </c>
      <c r="W34" s="5">
        <f t="shared" si="6"/>
        <v>0</v>
      </c>
    </row>
    <row r="35" spans="1:23" x14ac:dyDescent="0.3">
      <c r="A35" s="6"/>
      <c r="B35" s="23">
        <v>18</v>
      </c>
      <c r="C35" s="24">
        <v>44117</v>
      </c>
      <c r="D35" s="25" t="s">
        <v>18</v>
      </c>
      <c r="E35" s="25" t="s">
        <v>115</v>
      </c>
      <c r="F35" s="26">
        <v>140</v>
      </c>
      <c r="G35" s="61">
        <v>90</v>
      </c>
      <c r="H35" s="61">
        <v>-50</v>
      </c>
      <c r="I35" s="26">
        <v>100</v>
      </c>
      <c r="J35" s="21">
        <f t="shared" si="1"/>
        <v>-5000</v>
      </c>
      <c r="K35" s="7"/>
      <c r="V35" s="5">
        <f t="shared" si="5"/>
        <v>0</v>
      </c>
      <c r="W35" s="5">
        <f t="shared" si="6"/>
        <v>1</v>
      </c>
    </row>
    <row r="36" spans="1:23" x14ac:dyDescent="0.3">
      <c r="A36" s="6"/>
      <c r="B36" s="23">
        <v>19</v>
      </c>
      <c r="C36" s="24">
        <v>44117</v>
      </c>
      <c r="D36" s="25" t="s">
        <v>18</v>
      </c>
      <c r="E36" s="25" t="s">
        <v>61</v>
      </c>
      <c r="F36" s="26">
        <v>170</v>
      </c>
      <c r="G36" s="61">
        <v>162</v>
      </c>
      <c r="H36" s="61">
        <v>-8</v>
      </c>
      <c r="I36" s="26">
        <v>100</v>
      </c>
      <c r="J36" s="21">
        <f t="shared" si="1"/>
        <v>-800</v>
      </c>
      <c r="K36" s="7"/>
      <c r="V36" s="5">
        <f t="shared" si="5"/>
        <v>0</v>
      </c>
      <c r="W36" s="5">
        <f t="shared" si="6"/>
        <v>1</v>
      </c>
    </row>
    <row r="37" spans="1:23" x14ac:dyDescent="0.3">
      <c r="A37" s="6"/>
      <c r="B37" s="23">
        <v>20</v>
      </c>
      <c r="C37" s="24">
        <v>44118</v>
      </c>
      <c r="D37" s="25" t="s">
        <v>18</v>
      </c>
      <c r="E37" s="25" t="s">
        <v>60</v>
      </c>
      <c r="F37" s="26">
        <v>150</v>
      </c>
      <c r="G37" s="61">
        <v>100</v>
      </c>
      <c r="H37" s="61">
        <v>-50</v>
      </c>
      <c r="I37" s="26">
        <v>100</v>
      </c>
      <c r="J37" s="21">
        <f t="shared" si="1"/>
        <v>-5000</v>
      </c>
      <c r="K37" s="7"/>
      <c r="V37" s="5">
        <f t="shared" si="5"/>
        <v>0</v>
      </c>
      <c r="W37" s="5">
        <f t="shared" si="6"/>
        <v>1</v>
      </c>
    </row>
    <row r="38" spans="1:23" x14ac:dyDescent="0.3">
      <c r="A38" s="6"/>
      <c r="B38" s="23">
        <v>21</v>
      </c>
      <c r="C38" s="24">
        <v>44118</v>
      </c>
      <c r="D38" s="25" t="s">
        <v>18</v>
      </c>
      <c r="E38" s="25" t="s">
        <v>116</v>
      </c>
      <c r="F38" s="26">
        <v>150</v>
      </c>
      <c r="G38" s="61">
        <v>165</v>
      </c>
      <c r="H38" s="61">
        <v>15</v>
      </c>
      <c r="I38" s="26">
        <v>100</v>
      </c>
      <c r="J38" s="21">
        <f t="shared" si="1"/>
        <v>1500</v>
      </c>
      <c r="K38" s="7"/>
      <c r="V38" s="5">
        <f t="shared" si="5"/>
        <v>1</v>
      </c>
      <c r="W38" s="5">
        <f t="shared" si="6"/>
        <v>0</v>
      </c>
    </row>
    <row r="39" spans="1:23" x14ac:dyDescent="0.3">
      <c r="A39" s="6"/>
      <c r="B39" s="23">
        <v>22</v>
      </c>
      <c r="C39" s="24">
        <v>44118</v>
      </c>
      <c r="D39" s="25" t="s">
        <v>18</v>
      </c>
      <c r="E39" s="25" t="s">
        <v>77</v>
      </c>
      <c r="F39" s="26">
        <v>150</v>
      </c>
      <c r="G39" s="61">
        <v>250</v>
      </c>
      <c r="H39" s="61">
        <v>100</v>
      </c>
      <c r="I39" s="26">
        <v>100</v>
      </c>
      <c r="J39" s="21">
        <f t="shared" si="1"/>
        <v>10000</v>
      </c>
      <c r="K39" s="7"/>
      <c r="V39" s="5">
        <f t="shared" si="5"/>
        <v>1</v>
      </c>
      <c r="W39" s="5">
        <f t="shared" si="6"/>
        <v>0</v>
      </c>
    </row>
    <row r="40" spans="1:23" x14ac:dyDescent="0.3">
      <c r="A40" s="6"/>
      <c r="B40" s="23">
        <v>23</v>
      </c>
      <c r="C40" s="24">
        <v>44119</v>
      </c>
      <c r="D40" s="25" t="s">
        <v>18</v>
      </c>
      <c r="E40" s="25" t="s">
        <v>120</v>
      </c>
      <c r="F40" s="26">
        <v>100</v>
      </c>
      <c r="G40" s="61">
        <v>147</v>
      </c>
      <c r="H40" s="61">
        <v>47</v>
      </c>
      <c r="I40" s="26">
        <v>100</v>
      </c>
      <c r="J40" s="21">
        <f t="shared" si="1"/>
        <v>4700</v>
      </c>
      <c r="K40" s="7"/>
      <c r="V40" s="5">
        <f t="shared" si="5"/>
        <v>1</v>
      </c>
      <c r="W40" s="5">
        <f t="shared" si="6"/>
        <v>0</v>
      </c>
    </row>
    <row r="41" spans="1:23" x14ac:dyDescent="0.3">
      <c r="A41" s="6"/>
      <c r="B41" s="23">
        <v>24</v>
      </c>
      <c r="C41" s="24">
        <v>44119</v>
      </c>
      <c r="D41" s="25" t="s">
        <v>18</v>
      </c>
      <c r="E41" s="25" t="s">
        <v>72</v>
      </c>
      <c r="F41" s="26">
        <v>110</v>
      </c>
      <c r="G41" s="61">
        <v>60</v>
      </c>
      <c r="H41" s="61">
        <v>-50</v>
      </c>
      <c r="I41" s="26">
        <v>100</v>
      </c>
      <c r="J41" s="21">
        <f t="shared" si="1"/>
        <v>-5000</v>
      </c>
      <c r="K41" s="7"/>
      <c r="V41" s="5">
        <f t="shared" si="5"/>
        <v>0</v>
      </c>
      <c r="W41" s="5">
        <f t="shared" si="6"/>
        <v>1</v>
      </c>
    </row>
    <row r="42" spans="1:23" x14ac:dyDescent="0.3">
      <c r="A42" s="6"/>
      <c r="B42" s="23">
        <v>25</v>
      </c>
      <c r="C42" s="24">
        <v>44119</v>
      </c>
      <c r="D42" s="25" t="s">
        <v>18</v>
      </c>
      <c r="E42" s="25" t="s">
        <v>121</v>
      </c>
      <c r="F42" s="26">
        <v>70</v>
      </c>
      <c r="G42" s="61">
        <v>170</v>
      </c>
      <c r="H42" s="61">
        <v>100</v>
      </c>
      <c r="I42" s="26">
        <v>100</v>
      </c>
      <c r="J42" s="21">
        <f t="shared" si="1"/>
        <v>10000</v>
      </c>
      <c r="K42" s="7"/>
      <c r="V42" s="5">
        <f t="shared" si="5"/>
        <v>1</v>
      </c>
      <c r="W42" s="5">
        <f t="shared" si="6"/>
        <v>0</v>
      </c>
    </row>
    <row r="43" spans="1:23" x14ac:dyDescent="0.3">
      <c r="A43" s="6"/>
      <c r="B43" s="23">
        <v>26</v>
      </c>
      <c r="C43" s="24">
        <v>44119</v>
      </c>
      <c r="D43" s="25" t="s">
        <v>18</v>
      </c>
      <c r="E43" s="25" t="s">
        <v>74</v>
      </c>
      <c r="F43" s="26">
        <v>60</v>
      </c>
      <c r="G43" s="61">
        <v>160</v>
      </c>
      <c r="H43" s="61">
        <v>100</v>
      </c>
      <c r="I43" s="26">
        <v>100</v>
      </c>
      <c r="J43" s="21">
        <f t="shared" si="1"/>
        <v>10000</v>
      </c>
      <c r="K43" s="7"/>
      <c r="V43" s="5">
        <f t="shared" si="5"/>
        <v>1</v>
      </c>
      <c r="W43" s="5">
        <f t="shared" si="6"/>
        <v>0</v>
      </c>
    </row>
    <row r="44" spans="1:23" x14ac:dyDescent="0.3">
      <c r="A44" s="6"/>
      <c r="B44" s="23">
        <v>27</v>
      </c>
      <c r="C44" s="24">
        <v>44119</v>
      </c>
      <c r="D44" s="25" t="s">
        <v>18</v>
      </c>
      <c r="E44" s="25" t="s">
        <v>63</v>
      </c>
      <c r="F44" s="26">
        <v>90</v>
      </c>
      <c r="G44" s="61">
        <v>190</v>
      </c>
      <c r="H44" s="61">
        <v>100</v>
      </c>
      <c r="I44" s="26">
        <v>100</v>
      </c>
      <c r="J44" s="21">
        <f t="shared" si="1"/>
        <v>10000</v>
      </c>
      <c r="K44" s="7"/>
      <c r="V44" s="5">
        <f t="shared" si="5"/>
        <v>1</v>
      </c>
      <c r="W44" s="5">
        <f t="shared" si="6"/>
        <v>0</v>
      </c>
    </row>
    <row r="45" spans="1:23" x14ac:dyDescent="0.3">
      <c r="A45" s="6"/>
      <c r="B45" s="23">
        <v>28</v>
      </c>
      <c r="C45" s="24">
        <v>44119</v>
      </c>
      <c r="D45" s="25" t="s">
        <v>18</v>
      </c>
      <c r="E45" s="25" t="s">
        <v>122</v>
      </c>
      <c r="F45" s="26">
        <v>60</v>
      </c>
      <c r="G45" s="61">
        <v>140</v>
      </c>
      <c r="H45" s="61">
        <v>80</v>
      </c>
      <c r="I45" s="26">
        <v>100</v>
      </c>
      <c r="J45" s="21">
        <f t="shared" si="1"/>
        <v>8000</v>
      </c>
      <c r="K45" s="7"/>
      <c r="V45" s="5">
        <f t="shared" si="5"/>
        <v>1</v>
      </c>
      <c r="W45" s="5">
        <f t="shared" si="6"/>
        <v>0</v>
      </c>
    </row>
    <row r="46" spans="1:23" x14ac:dyDescent="0.3">
      <c r="A46" s="6"/>
      <c r="B46" s="23">
        <v>29</v>
      </c>
      <c r="C46" s="24">
        <v>44119</v>
      </c>
      <c r="D46" s="25" t="s">
        <v>18</v>
      </c>
      <c r="E46" s="25" t="s">
        <v>62</v>
      </c>
      <c r="F46" s="26">
        <v>70</v>
      </c>
      <c r="G46" s="61">
        <v>170</v>
      </c>
      <c r="H46" s="61">
        <v>100</v>
      </c>
      <c r="I46" s="26">
        <v>100</v>
      </c>
      <c r="J46" s="21">
        <f t="shared" si="1"/>
        <v>10000</v>
      </c>
      <c r="K46" s="7"/>
      <c r="V46" s="5">
        <f t="shared" si="5"/>
        <v>1</v>
      </c>
      <c r="W46" s="5">
        <f t="shared" si="6"/>
        <v>0</v>
      </c>
    </row>
    <row r="47" spans="1:23" x14ac:dyDescent="0.3">
      <c r="A47" s="6"/>
      <c r="B47" s="23">
        <v>30</v>
      </c>
      <c r="C47" s="24">
        <v>44120</v>
      </c>
      <c r="D47" s="25" t="s">
        <v>18</v>
      </c>
      <c r="E47" s="25" t="s">
        <v>73</v>
      </c>
      <c r="F47" s="26">
        <v>200</v>
      </c>
      <c r="G47" s="61">
        <v>273</v>
      </c>
      <c r="H47" s="61">
        <v>73</v>
      </c>
      <c r="I47" s="26">
        <v>100</v>
      </c>
      <c r="J47" s="21">
        <f t="shared" si="1"/>
        <v>7300</v>
      </c>
      <c r="K47" s="7"/>
      <c r="V47" s="5">
        <f t="shared" si="5"/>
        <v>1</v>
      </c>
      <c r="W47" s="5">
        <f t="shared" si="6"/>
        <v>0</v>
      </c>
    </row>
    <row r="48" spans="1:23" x14ac:dyDescent="0.3">
      <c r="A48" s="6"/>
      <c r="B48" s="23">
        <v>31</v>
      </c>
      <c r="C48" s="24">
        <v>44120</v>
      </c>
      <c r="D48" s="25" t="s">
        <v>18</v>
      </c>
      <c r="E48" s="25" t="s">
        <v>58</v>
      </c>
      <c r="F48" s="26">
        <v>180</v>
      </c>
      <c r="G48" s="61">
        <v>204</v>
      </c>
      <c r="H48" s="61">
        <v>24</v>
      </c>
      <c r="I48" s="26">
        <v>100</v>
      </c>
      <c r="J48" s="21">
        <f t="shared" si="1"/>
        <v>2400</v>
      </c>
      <c r="K48" s="7"/>
      <c r="V48" s="5">
        <f t="shared" si="5"/>
        <v>1</v>
      </c>
      <c r="W48" s="5">
        <f t="shared" si="6"/>
        <v>0</v>
      </c>
    </row>
    <row r="49" spans="1:23" x14ac:dyDescent="0.3">
      <c r="A49" s="6"/>
      <c r="B49" s="23">
        <v>32</v>
      </c>
      <c r="C49" s="24">
        <v>44120</v>
      </c>
      <c r="D49" s="25" t="s">
        <v>18</v>
      </c>
      <c r="E49" s="25" t="s">
        <v>115</v>
      </c>
      <c r="F49" s="26">
        <v>150</v>
      </c>
      <c r="G49" s="61">
        <v>135</v>
      </c>
      <c r="H49" s="61">
        <v>-15</v>
      </c>
      <c r="I49" s="26">
        <v>100</v>
      </c>
      <c r="J49" s="21">
        <f t="shared" si="1"/>
        <v>-1500</v>
      </c>
      <c r="K49" s="7"/>
      <c r="V49" s="5">
        <f t="shared" si="5"/>
        <v>0</v>
      </c>
      <c r="W49" s="5">
        <f t="shared" si="6"/>
        <v>1</v>
      </c>
    </row>
    <row r="50" spans="1:23" x14ac:dyDescent="0.3">
      <c r="A50" s="6"/>
      <c r="B50" s="23">
        <v>33</v>
      </c>
      <c r="C50" s="24">
        <v>44123</v>
      </c>
      <c r="D50" s="25" t="s">
        <v>18</v>
      </c>
      <c r="E50" s="25" t="s">
        <v>74</v>
      </c>
      <c r="F50" s="26">
        <v>190</v>
      </c>
      <c r="G50" s="61">
        <v>220</v>
      </c>
      <c r="H50" s="61">
        <v>30</v>
      </c>
      <c r="I50" s="26">
        <v>100</v>
      </c>
      <c r="J50" s="21">
        <f t="shared" si="1"/>
        <v>3000</v>
      </c>
      <c r="K50" s="7"/>
      <c r="V50" s="5">
        <f t="shared" si="5"/>
        <v>1</v>
      </c>
      <c r="W50" s="5">
        <f t="shared" si="6"/>
        <v>0</v>
      </c>
    </row>
    <row r="51" spans="1:23" x14ac:dyDescent="0.3">
      <c r="A51" s="6"/>
      <c r="B51" s="23">
        <v>34</v>
      </c>
      <c r="C51" s="24">
        <v>44123</v>
      </c>
      <c r="D51" s="25" t="s">
        <v>18</v>
      </c>
      <c r="E51" s="25" t="s">
        <v>126</v>
      </c>
      <c r="F51" s="26">
        <v>170</v>
      </c>
      <c r="G51" s="61">
        <v>193</v>
      </c>
      <c r="H51" s="61">
        <v>23</v>
      </c>
      <c r="I51" s="26">
        <v>100</v>
      </c>
      <c r="J51" s="21">
        <f t="shared" si="1"/>
        <v>2300</v>
      </c>
      <c r="K51" s="7"/>
      <c r="V51" s="5">
        <f t="shared" si="5"/>
        <v>1</v>
      </c>
      <c r="W51" s="5">
        <f t="shared" si="6"/>
        <v>0</v>
      </c>
    </row>
    <row r="52" spans="1:23" x14ac:dyDescent="0.3">
      <c r="A52" s="6"/>
      <c r="B52" s="23">
        <v>35</v>
      </c>
      <c r="C52" s="24">
        <v>44123</v>
      </c>
      <c r="D52" s="25" t="s">
        <v>18</v>
      </c>
      <c r="E52" s="25" t="s">
        <v>57</v>
      </c>
      <c r="F52" s="26">
        <v>200</v>
      </c>
      <c r="G52" s="61">
        <v>265</v>
      </c>
      <c r="H52" s="61">
        <v>65</v>
      </c>
      <c r="I52" s="26">
        <v>100</v>
      </c>
      <c r="J52" s="21">
        <f t="shared" si="1"/>
        <v>6500</v>
      </c>
      <c r="K52" s="7"/>
      <c r="V52" s="5">
        <f t="shared" si="5"/>
        <v>1</v>
      </c>
      <c r="W52" s="5">
        <f t="shared" si="6"/>
        <v>0</v>
      </c>
    </row>
    <row r="53" spans="1:23" x14ac:dyDescent="0.3">
      <c r="A53" s="6"/>
      <c r="B53" s="23">
        <v>36</v>
      </c>
      <c r="C53" s="24">
        <v>44124</v>
      </c>
      <c r="D53" s="25" t="s">
        <v>18</v>
      </c>
      <c r="E53" s="25" t="s">
        <v>56</v>
      </c>
      <c r="F53" s="26">
        <v>170</v>
      </c>
      <c r="G53" s="61">
        <v>220</v>
      </c>
      <c r="H53" s="61">
        <v>50</v>
      </c>
      <c r="I53" s="26">
        <v>100</v>
      </c>
      <c r="J53" s="21">
        <f t="shared" si="1"/>
        <v>5000</v>
      </c>
      <c r="K53" s="7"/>
      <c r="V53" s="5">
        <f t="shared" si="5"/>
        <v>1</v>
      </c>
      <c r="W53" s="5">
        <f t="shared" si="6"/>
        <v>0</v>
      </c>
    </row>
    <row r="54" spans="1:23" x14ac:dyDescent="0.3">
      <c r="A54" s="6"/>
      <c r="B54" s="23">
        <v>37</v>
      </c>
      <c r="C54" s="24">
        <v>44124</v>
      </c>
      <c r="D54" s="25" t="s">
        <v>18</v>
      </c>
      <c r="E54" s="25" t="s">
        <v>126</v>
      </c>
      <c r="F54" s="26">
        <v>160</v>
      </c>
      <c r="G54" s="61">
        <v>184</v>
      </c>
      <c r="H54" s="61">
        <v>24</v>
      </c>
      <c r="I54" s="26">
        <v>100</v>
      </c>
      <c r="J54" s="21">
        <f t="shared" si="1"/>
        <v>2400</v>
      </c>
      <c r="K54" s="7"/>
      <c r="V54" s="5">
        <f t="shared" si="5"/>
        <v>1</v>
      </c>
      <c r="W54" s="5">
        <f t="shared" si="6"/>
        <v>0</v>
      </c>
    </row>
    <row r="55" spans="1:23" x14ac:dyDescent="0.3">
      <c r="A55" s="6"/>
      <c r="B55" s="23">
        <v>38</v>
      </c>
      <c r="C55" s="24">
        <v>44125</v>
      </c>
      <c r="D55" s="25" t="s">
        <v>18</v>
      </c>
      <c r="E55" s="25" t="s">
        <v>130</v>
      </c>
      <c r="F55" s="26">
        <v>170</v>
      </c>
      <c r="G55" s="61">
        <v>280</v>
      </c>
      <c r="H55" s="61">
        <v>110</v>
      </c>
      <c r="I55" s="26">
        <v>100</v>
      </c>
      <c r="J55" s="21">
        <f t="shared" si="1"/>
        <v>11000</v>
      </c>
      <c r="K55" s="7"/>
      <c r="V55" s="5">
        <f t="shared" si="5"/>
        <v>1</v>
      </c>
      <c r="W55" s="5">
        <f t="shared" si="6"/>
        <v>0</v>
      </c>
    </row>
    <row r="56" spans="1:23" x14ac:dyDescent="0.3">
      <c r="A56" s="6"/>
      <c r="B56" s="23">
        <v>39</v>
      </c>
      <c r="C56" s="24">
        <v>44125</v>
      </c>
      <c r="D56" s="25" t="s">
        <v>18</v>
      </c>
      <c r="E56" s="25" t="s">
        <v>131</v>
      </c>
      <c r="F56" s="26">
        <v>140</v>
      </c>
      <c r="G56" s="61">
        <v>90</v>
      </c>
      <c r="H56" s="61">
        <v>-50</v>
      </c>
      <c r="I56" s="26">
        <v>100</v>
      </c>
      <c r="J56" s="21">
        <f t="shared" si="1"/>
        <v>-5000</v>
      </c>
      <c r="K56" s="7"/>
      <c r="V56" s="5">
        <f t="shared" si="5"/>
        <v>0</v>
      </c>
      <c r="W56" s="5">
        <f t="shared" si="6"/>
        <v>1</v>
      </c>
    </row>
    <row r="57" spans="1:23" x14ac:dyDescent="0.3">
      <c r="A57" s="6"/>
      <c r="B57" s="23">
        <v>40</v>
      </c>
      <c r="C57" s="24">
        <v>44125</v>
      </c>
      <c r="D57" s="25" t="s">
        <v>18</v>
      </c>
      <c r="E57" s="25" t="s">
        <v>130</v>
      </c>
      <c r="F57" s="26">
        <v>180</v>
      </c>
      <c r="G57" s="61">
        <v>270</v>
      </c>
      <c r="H57" s="61">
        <v>90</v>
      </c>
      <c r="I57" s="26">
        <v>100</v>
      </c>
      <c r="J57" s="21">
        <f t="shared" si="1"/>
        <v>9000</v>
      </c>
      <c r="K57" s="7"/>
      <c r="V57" s="5">
        <f t="shared" si="5"/>
        <v>1</v>
      </c>
      <c r="W57" s="5">
        <f t="shared" si="6"/>
        <v>0</v>
      </c>
    </row>
    <row r="58" spans="1:23" x14ac:dyDescent="0.3">
      <c r="A58" s="6"/>
      <c r="B58" s="23">
        <v>41</v>
      </c>
      <c r="C58" s="24">
        <v>44125</v>
      </c>
      <c r="D58" s="25" t="s">
        <v>18</v>
      </c>
      <c r="E58" s="25" t="s">
        <v>132</v>
      </c>
      <c r="F58" s="26">
        <v>170</v>
      </c>
      <c r="G58" s="61">
        <v>240</v>
      </c>
      <c r="H58" s="61">
        <v>70</v>
      </c>
      <c r="I58" s="26">
        <v>100</v>
      </c>
      <c r="J58" s="21">
        <f t="shared" si="1"/>
        <v>7000</v>
      </c>
      <c r="K58" s="7"/>
      <c r="V58" s="5">
        <f t="shared" si="5"/>
        <v>1</v>
      </c>
      <c r="W58" s="5">
        <f t="shared" si="6"/>
        <v>0</v>
      </c>
    </row>
    <row r="59" spans="1:23" x14ac:dyDescent="0.3">
      <c r="A59" s="6"/>
      <c r="B59" s="23">
        <v>42</v>
      </c>
      <c r="C59" s="24">
        <v>44125</v>
      </c>
      <c r="D59" s="25" t="s">
        <v>18</v>
      </c>
      <c r="E59" s="25" t="s">
        <v>120</v>
      </c>
      <c r="F59" s="26">
        <v>140</v>
      </c>
      <c r="G59" s="61">
        <v>168</v>
      </c>
      <c r="H59" s="61">
        <v>28</v>
      </c>
      <c r="I59" s="26">
        <v>100</v>
      </c>
      <c r="J59" s="21">
        <f t="shared" si="1"/>
        <v>2800</v>
      </c>
      <c r="K59" s="7"/>
      <c r="V59" s="5">
        <f t="shared" si="5"/>
        <v>1</v>
      </c>
      <c r="W59" s="5">
        <f t="shared" si="6"/>
        <v>0</v>
      </c>
    </row>
    <row r="60" spans="1:23" x14ac:dyDescent="0.3">
      <c r="A60" s="6"/>
      <c r="B60" s="23">
        <v>43</v>
      </c>
      <c r="C60" s="24">
        <v>44126</v>
      </c>
      <c r="D60" s="25" t="s">
        <v>18</v>
      </c>
      <c r="E60" s="25" t="s">
        <v>133</v>
      </c>
      <c r="F60" s="26">
        <v>150</v>
      </c>
      <c r="G60" s="61">
        <v>200</v>
      </c>
      <c r="H60" s="61">
        <v>50</v>
      </c>
      <c r="I60" s="26">
        <v>100</v>
      </c>
      <c r="J60" s="21">
        <f t="shared" si="1"/>
        <v>5000</v>
      </c>
      <c r="K60" s="7"/>
      <c r="V60" s="5">
        <f t="shared" si="5"/>
        <v>1</v>
      </c>
      <c r="W60" s="5">
        <f t="shared" si="6"/>
        <v>0</v>
      </c>
    </row>
    <row r="61" spans="1:23" x14ac:dyDescent="0.3">
      <c r="A61" s="6"/>
      <c r="B61" s="23">
        <v>44</v>
      </c>
      <c r="C61" s="24">
        <v>44126</v>
      </c>
      <c r="D61" s="25" t="s">
        <v>18</v>
      </c>
      <c r="E61" s="25" t="s">
        <v>134</v>
      </c>
      <c r="F61" s="26">
        <v>140</v>
      </c>
      <c r="G61" s="61">
        <v>170</v>
      </c>
      <c r="H61" s="61">
        <v>30</v>
      </c>
      <c r="I61" s="26">
        <v>100</v>
      </c>
      <c r="J61" s="21">
        <f t="shared" si="1"/>
        <v>3000</v>
      </c>
      <c r="K61" s="7"/>
      <c r="V61" s="5">
        <f t="shared" si="5"/>
        <v>1</v>
      </c>
      <c r="W61" s="5">
        <f t="shared" si="6"/>
        <v>0</v>
      </c>
    </row>
    <row r="62" spans="1:23" x14ac:dyDescent="0.3">
      <c r="A62" s="6"/>
      <c r="B62" s="23">
        <v>45</v>
      </c>
      <c r="C62" s="24">
        <v>44126</v>
      </c>
      <c r="D62" s="25" t="s">
        <v>18</v>
      </c>
      <c r="E62" s="25" t="s">
        <v>135</v>
      </c>
      <c r="F62" s="26">
        <v>110</v>
      </c>
      <c r="G62" s="61">
        <v>60</v>
      </c>
      <c r="H62" s="61">
        <v>-40</v>
      </c>
      <c r="I62" s="26">
        <v>100</v>
      </c>
      <c r="J62" s="21">
        <f t="shared" si="1"/>
        <v>-4000</v>
      </c>
      <c r="K62" s="7"/>
      <c r="V62" s="5">
        <f t="shared" si="5"/>
        <v>0</v>
      </c>
      <c r="W62" s="5">
        <f t="shared" si="6"/>
        <v>1</v>
      </c>
    </row>
    <row r="63" spans="1:23" x14ac:dyDescent="0.3">
      <c r="A63" s="6"/>
      <c r="B63" s="23">
        <v>46</v>
      </c>
      <c r="C63" s="24">
        <v>44126</v>
      </c>
      <c r="D63" s="25" t="s">
        <v>18</v>
      </c>
      <c r="E63" s="25" t="s">
        <v>135</v>
      </c>
      <c r="F63" s="26">
        <v>70</v>
      </c>
      <c r="G63" s="61">
        <v>115</v>
      </c>
      <c r="H63" s="61">
        <v>45</v>
      </c>
      <c r="I63" s="26">
        <v>100</v>
      </c>
      <c r="J63" s="21">
        <f t="shared" si="1"/>
        <v>4500</v>
      </c>
      <c r="K63" s="7"/>
      <c r="V63" s="5">
        <f t="shared" si="5"/>
        <v>1</v>
      </c>
      <c r="W63" s="5">
        <f t="shared" si="6"/>
        <v>0</v>
      </c>
    </row>
    <row r="64" spans="1:23" x14ac:dyDescent="0.3">
      <c r="A64" s="6"/>
      <c r="B64" s="23">
        <v>47</v>
      </c>
      <c r="C64" s="24">
        <v>44127</v>
      </c>
      <c r="D64" s="25" t="s">
        <v>18</v>
      </c>
      <c r="E64" s="25" t="s">
        <v>136</v>
      </c>
      <c r="F64" s="26">
        <v>170</v>
      </c>
      <c r="G64" s="61">
        <v>194</v>
      </c>
      <c r="H64" s="61">
        <v>24</v>
      </c>
      <c r="I64" s="26">
        <v>100</v>
      </c>
      <c r="J64" s="21">
        <f t="shared" si="1"/>
        <v>2400</v>
      </c>
      <c r="K64" s="7"/>
      <c r="V64" s="5">
        <f t="shared" si="5"/>
        <v>1</v>
      </c>
      <c r="W64" s="5">
        <f t="shared" si="6"/>
        <v>0</v>
      </c>
    </row>
    <row r="65" spans="1:23" x14ac:dyDescent="0.3">
      <c r="A65" s="6"/>
      <c r="B65" s="23">
        <v>48</v>
      </c>
      <c r="C65" s="24">
        <v>44130</v>
      </c>
      <c r="D65" s="25" t="s">
        <v>18</v>
      </c>
      <c r="E65" s="25" t="s">
        <v>55</v>
      </c>
      <c r="F65" s="26">
        <v>190</v>
      </c>
      <c r="G65" s="61">
        <v>290</v>
      </c>
      <c r="H65" s="61">
        <v>100</v>
      </c>
      <c r="I65" s="26">
        <v>100</v>
      </c>
      <c r="J65" s="21">
        <f t="shared" si="1"/>
        <v>10000</v>
      </c>
      <c r="K65" s="7"/>
    </row>
    <row r="66" spans="1:23" x14ac:dyDescent="0.3">
      <c r="A66" s="6"/>
      <c r="B66" s="23">
        <v>49</v>
      </c>
      <c r="C66" s="24">
        <v>44130</v>
      </c>
      <c r="D66" s="25" t="s">
        <v>18</v>
      </c>
      <c r="E66" s="25" t="s">
        <v>121</v>
      </c>
      <c r="F66" s="26">
        <v>180</v>
      </c>
      <c r="G66" s="61">
        <v>280</v>
      </c>
      <c r="H66" s="61">
        <v>100</v>
      </c>
      <c r="I66" s="26">
        <v>100</v>
      </c>
      <c r="J66" s="21">
        <f t="shared" si="1"/>
        <v>10000</v>
      </c>
      <c r="K66" s="7"/>
    </row>
    <row r="67" spans="1:23" x14ac:dyDescent="0.3">
      <c r="A67" s="6"/>
      <c r="B67" s="23">
        <v>50</v>
      </c>
      <c r="C67" s="24">
        <v>44130</v>
      </c>
      <c r="D67" s="25" t="s">
        <v>18</v>
      </c>
      <c r="E67" s="25" t="s">
        <v>63</v>
      </c>
      <c r="F67" s="26">
        <v>170</v>
      </c>
      <c r="G67" s="61">
        <v>237</v>
      </c>
      <c r="H67" s="61">
        <v>67</v>
      </c>
      <c r="I67" s="26">
        <v>100</v>
      </c>
      <c r="J67" s="21">
        <f t="shared" si="1"/>
        <v>6700</v>
      </c>
      <c r="K67" s="7"/>
    </row>
    <row r="68" spans="1:23" x14ac:dyDescent="0.3">
      <c r="A68" s="6"/>
      <c r="B68" s="23">
        <v>51</v>
      </c>
      <c r="C68" s="24">
        <v>44130</v>
      </c>
      <c r="D68" s="25" t="s">
        <v>18</v>
      </c>
      <c r="E68" s="25" t="s">
        <v>63</v>
      </c>
      <c r="F68" s="26">
        <v>190</v>
      </c>
      <c r="G68" s="61">
        <v>227</v>
      </c>
      <c r="H68" s="61">
        <v>37</v>
      </c>
      <c r="I68" s="26">
        <v>100</v>
      </c>
      <c r="J68" s="21">
        <f t="shared" si="1"/>
        <v>3700</v>
      </c>
      <c r="K68" s="7"/>
    </row>
    <row r="69" spans="1:23" x14ac:dyDescent="0.3">
      <c r="A69" s="6"/>
      <c r="B69" s="23">
        <v>52</v>
      </c>
      <c r="C69" s="24">
        <v>44131</v>
      </c>
      <c r="D69" s="25" t="s">
        <v>18</v>
      </c>
      <c r="E69" s="25" t="s">
        <v>126</v>
      </c>
      <c r="F69" s="26">
        <v>190</v>
      </c>
      <c r="G69" s="61">
        <v>290</v>
      </c>
      <c r="H69" s="61">
        <v>100</v>
      </c>
      <c r="I69" s="26">
        <v>100</v>
      </c>
      <c r="J69" s="21">
        <f t="shared" si="1"/>
        <v>10000</v>
      </c>
      <c r="K69" s="7"/>
    </row>
    <row r="70" spans="1:23" x14ac:dyDescent="0.3">
      <c r="A70" s="6"/>
      <c r="B70" s="23">
        <v>53</v>
      </c>
      <c r="C70" s="24">
        <v>44131</v>
      </c>
      <c r="D70" s="25" t="s">
        <v>18</v>
      </c>
      <c r="E70" s="25" t="s">
        <v>138</v>
      </c>
      <c r="F70" s="26">
        <v>170</v>
      </c>
      <c r="G70" s="61">
        <v>270</v>
      </c>
      <c r="H70" s="61">
        <v>100</v>
      </c>
      <c r="I70" s="26">
        <v>100</v>
      </c>
      <c r="J70" s="21">
        <f t="shared" si="1"/>
        <v>10000</v>
      </c>
      <c r="K70" s="7"/>
    </row>
    <row r="71" spans="1:23" x14ac:dyDescent="0.3">
      <c r="A71" s="6"/>
      <c r="B71" s="23">
        <v>54</v>
      </c>
      <c r="C71" s="24">
        <v>44131</v>
      </c>
      <c r="D71" s="25" t="s">
        <v>18</v>
      </c>
      <c r="E71" s="25" t="s">
        <v>139</v>
      </c>
      <c r="F71" s="26">
        <v>160</v>
      </c>
      <c r="G71" s="61">
        <v>244</v>
      </c>
      <c r="H71" s="61">
        <v>84</v>
      </c>
      <c r="I71" s="26">
        <v>100</v>
      </c>
      <c r="J71" s="21">
        <f t="shared" si="1"/>
        <v>8400</v>
      </c>
      <c r="K71" s="7"/>
    </row>
    <row r="72" spans="1:23" x14ac:dyDescent="0.3">
      <c r="A72" s="6"/>
      <c r="B72" s="23">
        <v>55</v>
      </c>
      <c r="C72" s="24">
        <v>44132</v>
      </c>
      <c r="D72" s="25" t="s">
        <v>18</v>
      </c>
      <c r="E72" s="25" t="s">
        <v>126</v>
      </c>
      <c r="F72" s="26">
        <v>180</v>
      </c>
      <c r="G72" s="61">
        <v>212</v>
      </c>
      <c r="H72" s="61">
        <v>32</v>
      </c>
      <c r="I72" s="26">
        <v>100</v>
      </c>
      <c r="J72" s="21">
        <f t="shared" si="1"/>
        <v>3200</v>
      </c>
      <c r="K72" s="7"/>
    </row>
    <row r="73" spans="1:23" x14ac:dyDescent="0.3">
      <c r="A73" s="6"/>
      <c r="B73" s="23">
        <v>56</v>
      </c>
      <c r="C73" s="24">
        <v>44132</v>
      </c>
      <c r="D73" s="25" t="s">
        <v>18</v>
      </c>
      <c r="E73" s="25" t="s">
        <v>141</v>
      </c>
      <c r="F73" s="26">
        <v>150</v>
      </c>
      <c r="G73" s="61">
        <v>235</v>
      </c>
      <c r="H73" s="61">
        <v>85</v>
      </c>
      <c r="I73" s="26">
        <v>100</v>
      </c>
      <c r="J73" s="21">
        <f t="shared" si="1"/>
        <v>8500</v>
      </c>
      <c r="K73" s="7"/>
    </row>
    <row r="74" spans="1:23" x14ac:dyDescent="0.3">
      <c r="A74" s="6"/>
      <c r="B74" s="23">
        <v>57</v>
      </c>
      <c r="C74" s="24">
        <v>44132</v>
      </c>
      <c r="D74" s="25" t="s">
        <v>18</v>
      </c>
      <c r="E74" s="25" t="s">
        <v>55</v>
      </c>
      <c r="F74" s="26">
        <v>150</v>
      </c>
      <c r="G74" s="61">
        <v>100</v>
      </c>
      <c r="H74" s="61">
        <v>-50</v>
      </c>
      <c r="I74" s="26">
        <v>100</v>
      </c>
      <c r="J74" s="21">
        <f t="shared" si="1"/>
        <v>-5000</v>
      </c>
      <c r="K74" s="7"/>
    </row>
    <row r="75" spans="1:23" x14ac:dyDescent="0.3">
      <c r="A75" s="6"/>
      <c r="B75" s="23">
        <v>58</v>
      </c>
      <c r="C75" s="24">
        <v>44133</v>
      </c>
      <c r="D75" s="25" t="s">
        <v>18</v>
      </c>
      <c r="E75" s="25" t="s">
        <v>55</v>
      </c>
      <c r="F75" s="26">
        <v>80</v>
      </c>
      <c r="G75" s="61">
        <v>30</v>
      </c>
      <c r="H75" s="61">
        <v>-50</v>
      </c>
      <c r="I75" s="26">
        <v>100</v>
      </c>
      <c r="J75" s="21">
        <f t="shared" si="1"/>
        <v>-5000</v>
      </c>
      <c r="K75" s="7"/>
      <c r="V75" s="5">
        <f t="shared" si="5"/>
        <v>0</v>
      </c>
      <c r="W75" s="5">
        <f t="shared" si="6"/>
        <v>1</v>
      </c>
    </row>
    <row r="76" spans="1:23" x14ac:dyDescent="0.3">
      <c r="A76" s="6"/>
      <c r="B76" s="23">
        <v>59</v>
      </c>
      <c r="C76" s="24">
        <v>44133</v>
      </c>
      <c r="D76" s="25" t="s">
        <v>18</v>
      </c>
      <c r="E76" s="25" t="s">
        <v>120</v>
      </c>
      <c r="F76" s="26">
        <v>90</v>
      </c>
      <c r="G76" s="61">
        <v>140</v>
      </c>
      <c r="H76" s="61">
        <v>50</v>
      </c>
      <c r="I76" s="26">
        <v>100</v>
      </c>
      <c r="J76" s="21">
        <f t="shared" si="1"/>
        <v>5000</v>
      </c>
      <c r="K76" s="7"/>
      <c r="V76" s="5">
        <f t="shared" si="5"/>
        <v>1</v>
      </c>
      <c r="W76" s="5">
        <f t="shared" si="6"/>
        <v>0</v>
      </c>
    </row>
    <row r="77" spans="1:23" x14ac:dyDescent="0.3">
      <c r="A77" s="6"/>
      <c r="B77" s="23">
        <v>60</v>
      </c>
      <c r="C77" s="24">
        <v>44133</v>
      </c>
      <c r="D77" s="25" t="s">
        <v>18</v>
      </c>
      <c r="E77" s="25" t="s">
        <v>115</v>
      </c>
      <c r="F77" s="61">
        <v>100</v>
      </c>
      <c r="G77" s="61">
        <v>135</v>
      </c>
      <c r="H77" s="61">
        <v>35</v>
      </c>
      <c r="I77" s="26">
        <v>100</v>
      </c>
      <c r="J77" s="21">
        <f t="shared" si="1"/>
        <v>3500</v>
      </c>
      <c r="K77" s="7"/>
      <c r="V77" s="5">
        <f t="shared" si="5"/>
        <v>1</v>
      </c>
      <c r="W77" s="5">
        <f t="shared" si="6"/>
        <v>0</v>
      </c>
    </row>
    <row r="78" spans="1:23" x14ac:dyDescent="0.3">
      <c r="A78" s="6"/>
      <c r="B78" s="23">
        <v>61</v>
      </c>
      <c r="C78" s="24">
        <v>44134</v>
      </c>
      <c r="D78" s="25" t="s">
        <v>18</v>
      </c>
      <c r="E78" s="25" t="s">
        <v>63</v>
      </c>
      <c r="F78" s="61">
        <v>380</v>
      </c>
      <c r="G78" s="61">
        <v>480</v>
      </c>
      <c r="H78" s="61">
        <v>100</v>
      </c>
      <c r="I78" s="26">
        <v>100</v>
      </c>
      <c r="J78" s="21">
        <f t="shared" si="1"/>
        <v>10000</v>
      </c>
      <c r="K78" s="7"/>
    </row>
    <row r="79" spans="1:23" x14ac:dyDescent="0.3">
      <c r="A79" s="6"/>
      <c r="B79" s="23">
        <v>62</v>
      </c>
      <c r="C79" s="24">
        <v>44134</v>
      </c>
      <c r="D79" s="25" t="s">
        <v>18</v>
      </c>
      <c r="E79" s="25" t="s">
        <v>61</v>
      </c>
      <c r="F79" s="61">
        <v>350</v>
      </c>
      <c r="G79" s="61">
        <v>400</v>
      </c>
      <c r="H79" s="61">
        <v>50</v>
      </c>
      <c r="I79" s="26">
        <v>100</v>
      </c>
      <c r="J79" s="21">
        <f t="shared" si="1"/>
        <v>5000</v>
      </c>
      <c r="K79" s="7"/>
    </row>
    <row r="80" spans="1:23" x14ac:dyDescent="0.3">
      <c r="A80" s="6"/>
      <c r="B80" s="23">
        <v>63</v>
      </c>
      <c r="C80" s="24">
        <v>44134</v>
      </c>
      <c r="D80" s="25" t="s">
        <v>18</v>
      </c>
      <c r="E80" s="25" t="s">
        <v>58</v>
      </c>
      <c r="F80" s="61">
        <v>350</v>
      </c>
      <c r="G80" s="61">
        <v>366</v>
      </c>
      <c r="H80" s="61">
        <v>16</v>
      </c>
      <c r="I80" s="26">
        <v>100</v>
      </c>
      <c r="J80" s="21">
        <f t="shared" si="1"/>
        <v>1600</v>
      </c>
      <c r="K80" s="7"/>
      <c r="V80" s="5">
        <f t="shared" si="5"/>
        <v>1</v>
      </c>
      <c r="W80" s="5">
        <f t="shared" si="6"/>
        <v>0</v>
      </c>
    </row>
    <row r="81" spans="1:23" ht="15" thickBot="1" x14ac:dyDescent="0.35">
      <c r="A81" s="6"/>
      <c r="B81" s="23">
        <v>64</v>
      </c>
      <c r="C81" s="24"/>
      <c r="D81" s="25"/>
      <c r="E81" s="25"/>
      <c r="F81" s="26"/>
      <c r="G81" s="26"/>
      <c r="H81" s="25"/>
      <c r="I81" s="26"/>
      <c r="J81" s="27">
        <f t="shared" si="1"/>
        <v>0</v>
      </c>
      <c r="K81" s="7"/>
      <c r="V81" s="5">
        <f t="shared" si="5"/>
        <v>0</v>
      </c>
      <c r="W81" s="5">
        <f t="shared" si="6"/>
        <v>0</v>
      </c>
    </row>
    <row r="82" spans="1:23" ht="24" thickBot="1" x14ac:dyDescent="0.5">
      <c r="A82" s="6"/>
      <c r="B82" s="144" t="s">
        <v>22</v>
      </c>
      <c r="C82" s="145"/>
      <c r="D82" s="145"/>
      <c r="E82" s="145"/>
      <c r="F82" s="145"/>
      <c r="G82" s="145"/>
      <c r="H82" s="146"/>
      <c r="I82" s="28" t="s">
        <v>23</v>
      </c>
      <c r="J82" s="29">
        <f>SUM(J6:J81)</f>
        <v>249400</v>
      </c>
      <c r="K82" s="7"/>
      <c r="W82" s="5">
        <f t="shared" si="6"/>
        <v>0</v>
      </c>
    </row>
    <row r="83" spans="1:23" ht="30" customHeight="1" thickBot="1" x14ac:dyDescent="0.35">
      <c r="A83" s="30"/>
      <c r="B83" s="31"/>
      <c r="C83" s="31"/>
      <c r="D83" s="31"/>
      <c r="E83" s="31"/>
      <c r="F83" s="31"/>
      <c r="G83" s="31"/>
      <c r="H83" s="32"/>
      <c r="I83" s="31"/>
      <c r="J83" s="32"/>
      <c r="K83" s="33"/>
      <c r="L83" s="36"/>
      <c r="M83" s="36"/>
      <c r="N83" s="36"/>
      <c r="O83" s="36"/>
      <c r="P83" s="36"/>
      <c r="Q83" s="36"/>
      <c r="R83" s="36"/>
    </row>
    <row r="84" spans="1:23" ht="15" thickBot="1" x14ac:dyDescent="0.35">
      <c r="L84" s="36"/>
      <c r="M84" s="36"/>
      <c r="N84" s="36"/>
      <c r="O84" s="22"/>
      <c r="P84" s="22"/>
      <c r="Q84" s="22"/>
      <c r="R84" s="22"/>
    </row>
    <row r="85" spans="1:23" s="36" customFormat="1" ht="30" customHeight="1" thickBot="1" x14ac:dyDescent="0.35">
      <c r="A85" s="1"/>
      <c r="B85" s="2"/>
      <c r="C85" s="2"/>
      <c r="D85" s="2"/>
      <c r="E85" s="2"/>
      <c r="F85" s="2"/>
      <c r="G85" s="2"/>
      <c r="H85" s="3"/>
      <c r="I85" s="2"/>
      <c r="J85" s="3"/>
      <c r="K85" s="4"/>
    </row>
    <row r="86" spans="1:23" s="36" customFormat="1" ht="25.2" thickBot="1" x14ac:dyDescent="0.35">
      <c r="A86" s="6" t="s">
        <v>1</v>
      </c>
      <c r="B86" s="119" t="s">
        <v>2</v>
      </c>
      <c r="C86" s="120"/>
      <c r="D86" s="120"/>
      <c r="E86" s="120"/>
      <c r="F86" s="120"/>
      <c r="G86" s="120"/>
      <c r="H86" s="120"/>
      <c r="I86" s="120"/>
      <c r="J86" s="121"/>
      <c r="K86" s="7"/>
    </row>
    <row r="87" spans="1:23" s="36" customFormat="1" ht="16.2" thickBot="1" x14ac:dyDescent="0.35">
      <c r="A87" s="6"/>
      <c r="B87" s="168" t="s">
        <v>109</v>
      </c>
      <c r="C87" s="169"/>
      <c r="D87" s="169"/>
      <c r="E87" s="169"/>
      <c r="F87" s="169"/>
      <c r="G87" s="169"/>
      <c r="H87" s="169"/>
      <c r="I87" s="169"/>
      <c r="J87" s="170"/>
      <c r="K87" s="7"/>
      <c r="L87" s="22"/>
    </row>
    <row r="88" spans="1:23" s="36" customFormat="1" ht="16.2" thickBot="1" x14ac:dyDescent="0.35">
      <c r="A88" s="6"/>
      <c r="B88" s="106" t="s">
        <v>90</v>
      </c>
      <c r="C88" s="107"/>
      <c r="D88" s="107"/>
      <c r="E88" s="107"/>
      <c r="F88" s="107"/>
      <c r="G88" s="107"/>
      <c r="H88" s="107"/>
      <c r="I88" s="107"/>
      <c r="J88" s="108"/>
      <c r="K88" s="7"/>
    </row>
    <row r="89" spans="1:23" s="22" customFormat="1" ht="15" thickBot="1" x14ac:dyDescent="0.35">
      <c r="A89" s="69"/>
      <c r="B89" s="70" t="s">
        <v>9</v>
      </c>
      <c r="C89" s="71" t="s">
        <v>10</v>
      </c>
      <c r="D89" s="72" t="s">
        <v>11</v>
      </c>
      <c r="E89" s="72" t="s">
        <v>12</v>
      </c>
      <c r="F89" s="73" t="s">
        <v>65</v>
      </c>
      <c r="G89" s="73" t="s">
        <v>66</v>
      </c>
      <c r="H89" s="74" t="s">
        <v>67</v>
      </c>
      <c r="I89" s="73" t="s">
        <v>68</v>
      </c>
      <c r="J89" s="75" t="s">
        <v>17</v>
      </c>
      <c r="K89" s="76"/>
      <c r="L89" s="36"/>
      <c r="M89" s="36"/>
      <c r="N89" s="36"/>
      <c r="O89" s="36" t="s">
        <v>21</v>
      </c>
      <c r="P89" s="36"/>
      <c r="Q89" s="36"/>
      <c r="R89" s="36"/>
      <c r="V89" s="5" t="s">
        <v>5</v>
      </c>
      <c r="W89" s="5" t="s">
        <v>6</v>
      </c>
    </row>
    <row r="90" spans="1:23" s="36" customFormat="1" x14ac:dyDescent="0.3">
      <c r="A90" s="6"/>
      <c r="B90" s="14">
        <v>1</v>
      </c>
      <c r="C90" s="18">
        <v>44105</v>
      </c>
      <c r="D90" s="19" t="s">
        <v>69</v>
      </c>
      <c r="E90" s="19" t="s">
        <v>86</v>
      </c>
      <c r="F90" s="35">
        <v>3385</v>
      </c>
      <c r="G90" s="35">
        <v>3408</v>
      </c>
      <c r="H90" s="35">
        <v>-23</v>
      </c>
      <c r="I90" s="20">
        <v>250</v>
      </c>
      <c r="J90" s="16">
        <f t="shared" ref="J90:J132" si="7">I90*H90</f>
        <v>-5750</v>
      </c>
      <c r="K90" s="7"/>
      <c r="V90" s="36">
        <f>IF($J90&gt;0,1,0)</f>
        <v>0</v>
      </c>
      <c r="W90" s="36">
        <f>IF($J90&lt;0,1,0)</f>
        <v>1</v>
      </c>
    </row>
    <row r="91" spans="1:23" s="36" customFormat="1" x14ac:dyDescent="0.3">
      <c r="A91" s="6"/>
      <c r="B91" s="17">
        <f>B90+1</f>
        <v>2</v>
      </c>
      <c r="C91" s="18">
        <v>44105</v>
      </c>
      <c r="D91" s="19" t="s">
        <v>18</v>
      </c>
      <c r="E91" s="19" t="s">
        <v>110</v>
      </c>
      <c r="F91" s="35">
        <v>1460</v>
      </c>
      <c r="G91" s="35">
        <v>1468.75</v>
      </c>
      <c r="H91" s="35">
        <v>8.75</v>
      </c>
      <c r="I91" s="20">
        <v>500</v>
      </c>
      <c r="J91" s="21">
        <f t="shared" si="7"/>
        <v>4375</v>
      </c>
      <c r="K91" s="7"/>
      <c r="L91" s="36" t="s">
        <v>21</v>
      </c>
      <c r="V91" s="36">
        <f t="shared" ref="V91:V132" si="8">IF($J91&gt;0,1,0)</f>
        <v>1</v>
      </c>
      <c r="W91" s="36">
        <f t="shared" ref="W91:W132" si="9">IF($J91&lt;0,1,0)</f>
        <v>0</v>
      </c>
    </row>
    <row r="92" spans="1:23" s="36" customFormat="1" x14ac:dyDescent="0.3">
      <c r="A92" s="6"/>
      <c r="B92" s="17">
        <f t="shared" ref="B92:B132" si="10">B91+1</f>
        <v>3</v>
      </c>
      <c r="C92" s="18">
        <v>44105</v>
      </c>
      <c r="D92" s="19" t="s">
        <v>18</v>
      </c>
      <c r="E92" s="19" t="s">
        <v>111</v>
      </c>
      <c r="F92" s="35">
        <v>191.5</v>
      </c>
      <c r="G92" s="35">
        <v>192.2</v>
      </c>
      <c r="H92" s="35">
        <v>0.7</v>
      </c>
      <c r="I92" s="20">
        <v>3000</v>
      </c>
      <c r="J92" s="21">
        <f t="shared" si="7"/>
        <v>2100</v>
      </c>
      <c r="K92" s="7"/>
      <c r="V92" s="36">
        <f t="shared" si="8"/>
        <v>1</v>
      </c>
      <c r="W92" s="36">
        <f t="shared" si="9"/>
        <v>0</v>
      </c>
    </row>
    <row r="93" spans="1:23" s="36" customFormat="1" x14ac:dyDescent="0.3">
      <c r="A93" s="6"/>
      <c r="B93" s="17">
        <f t="shared" si="10"/>
        <v>4</v>
      </c>
      <c r="C93" s="18">
        <v>44109</v>
      </c>
      <c r="D93" s="19" t="s">
        <v>69</v>
      </c>
      <c r="E93" s="19" t="s">
        <v>80</v>
      </c>
      <c r="F93" s="35">
        <v>904</v>
      </c>
      <c r="G93" s="35">
        <v>902</v>
      </c>
      <c r="H93" s="35">
        <v>2</v>
      </c>
      <c r="I93" s="20">
        <v>550</v>
      </c>
      <c r="J93" s="21">
        <f t="shared" si="7"/>
        <v>1100</v>
      </c>
      <c r="K93" s="7"/>
      <c r="V93" s="36">
        <f t="shared" si="8"/>
        <v>1</v>
      </c>
      <c r="W93" s="36">
        <f t="shared" si="9"/>
        <v>0</v>
      </c>
    </row>
    <row r="94" spans="1:23" s="36" customFormat="1" x14ac:dyDescent="0.3">
      <c r="A94" s="6"/>
      <c r="B94" s="17">
        <f t="shared" si="10"/>
        <v>5</v>
      </c>
      <c r="C94" s="18">
        <v>44109</v>
      </c>
      <c r="D94" s="19" t="s">
        <v>69</v>
      </c>
      <c r="E94" s="19" t="s">
        <v>110</v>
      </c>
      <c r="F94" s="35">
        <v>1460</v>
      </c>
      <c r="G94" s="35">
        <v>1455.5</v>
      </c>
      <c r="H94" s="35">
        <v>4.5</v>
      </c>
      <c r="I94" s="20">
        <v>500</v>
      </c>
      <c r="J94" s="21">
        <f t="shared" si="7"/>
        <v>2250</v>
      </c>
      <c r="K94" s="7"/>
      <c r="V94" s="36">
        <f t="shared" si="8"/>
        <v>1</v>
      </c>
      <c r="W94" s="36">
        <f t="shared" si="9"/>
        <v>0</v>
      </c>
    </row>
    <row r="95" spans="1:23" s="36" customFormat="1" x14ac:dyDescent="0.3">
      <c r="A95" s="6"/>
      <c r="B95" s="17">
        <f t="shared" si="10"/>
        <v>6</v>
      </c>
      <c r="C95" s="18">
        <v>44110</v>
      </c>
      <c r="D95" s="19" t="s">
        <v>69</v>
      </c>
      <c r="E95" s="19" t="s">
        <v>71</v>
      </c>
      <c r="F95" s="20">
        <v>2220</v>
      </c>
      <c r="G95" s="35">
        <v>2213</v>
      </c>
      <c r="H95" s="35">
        <v>7</v>
      </c>
      <c r="I95" s="20">
        <v>505</v>
      </c>
      <c r="J95" s="21">
        <f t="shared" si="7"/>
        <v>3535</v>
      </c>
      <c r="K95" s="7"/>
      <c r="V95" s="36">
        <f t="shared" si="8"/>
        <v>1</v>
      </c>
      <c r="W95" s="36">
        <f t="shared" si="9"/>
        <v>0</v>
      </c>
    </row>
    <row r="96" spans="1:23" s="36" customFormat="1" x14ac:dyDescent="0.3">
      <c r="A96" s="6"/>
      <c r="B96" s="17">
        <f t="shared" si="10"/>
        <v>7</v>
      </c>
      <c r="C96" s="18">
        <v>44111</v>
      </c>
      <c r="D96" s="19" t="s">
        <v>69</v>
      </c>
      <c r="E96" s="19" t="s">
        <v>89</v>
      </c>
      <c r="F96" s="20">
        <v>1332</v>
      </c>
      <c r="G96" s="35">
        <v>1312</v>
      </c>
      <c r="H96" s="35">
        <v>20</v>
      </c>
      <c r="I96" s="20">
        <v>550</v>
      </c>
      <c r="J96" s="21">
        <f t="shared" si="7"/>
        <v>11000</v>
      </c>
      <c r="K96" s="7"/>
      <c r="V96" s="36">
        <f t="shared" si="8"/>
        <v>1</v>
      </c>
      <c r="W96" s="36">
        <f t="shared" si="9"/>
        <v>0</v>
      </c>
    </row>
    <row r="97" spans="1:23" s="36" customFormat="1" x14ac:dyDescent="0.3">
      <c r="A97" s="6"/>
      <c r="B97" s="17">
        <f t="shared" si="10"/>
        <v>8</v>
      </c>
      <c r="C97" s="18">
        <v>44111</v>
      </c>
      <c r="D97" s="19" t="s">
        <v>69</v>
      </c>
      <c r="E97" s="19" t="s">
        <v>70</v>
      </c>
      <c r="F97" s="35">
        <v>453.5</v>
      </c>
      <c r="G97" s="35">
        <v>450</v>
      </c>
      <c r="H97" s="35">
        <v>3.5</v>
      </c>
      <c r="I97" s="20">
        <v>1200</v>
      </c>
      <c r="J97" s="21">
        <f t="shared" si="7"/>
        <v>4200</v>
      </c>
      <c r="K97" s="7"/>
      <c r="V97" s="36">
        <f t="shared" si="8"/>
        <v>1</v>
      </c>
      <c r="W97" s="36">
        <f t="shared" si="9"/>
        <v>0</v>
      </c>
    </row>
    <row r="98" spans="1:23" s="36" customFormat="1" x14ac:dyDescent="0.3">
      <c r="A98" s="6"/>
      <c r="B98" s="17">
        <f t="shared" si="10"/>
        <v>9</v>
      </c>
      <c r="C98" s="18">
        <v>44112</v>
      </c>
      <c r="D98" s="19" t="s">
        <v>18</v>
      </c>
      <c r="E98" s="19" t="s">
        <v>86</v>
      </c>
      <c r="F98" s="35">
        <v>3375</v>
      </c>
      <c r="G98" s="35">
        <v>3389</v>
      </c>
      <c r="H98" s="35">
        <v>14</v>
      </c>
      <c r="I98" s="20">
        <v>250</v>
      </c>
      <c r="J98" s="21">
        <f t="shared" si="7"/>
        <v>3500</v>
      </c>
      <c r="K98" s="7"/>
      <c r="V98" s="36">
        <f t="shared" si="8"/>
        <v>1</v>
      </c>
      <c r="W98" s="36">
        <f t="shared" si="9"/>
        <v>0</v>
      </c>
    </row>
    <row r="99" spans="1:23" s="36" customFormat="1" x14ac:dyDescent="0.3">
      <c r="A99" s="6"/>
      <c r="B99" s="17">
        <f t="shared" si="10"/>
        <v>10</v>
      </c>
      <c r="C99" s="18">
        <v>44112</v>
      </c>
      <c r="D99" s="19" t="s">
        <v>69</v>
      </c>
      <c r="E99" s="19" t="s">
        <v>71</v>
      </c>
      <c r="F99" s="35">
        <v>2250</v>
      </c>
      <c r="G99" s="35">
        <v>2243</v>
      </c>
      <c r="H99" s="35">
        <v>7</v>
      </c>
      <c r="I99" s="20">
        <v>505</v>
      </c>
      <c r="J99" s="21">
        <f t="shared" si="7"/>
        <v>3535</v>
      </c>
      <c r="K99" s="7"/>
      <c r="V99" s="36">
        <f t="shared" si="8"/>
        <v>1</v>
      </c>
      <c r="W99" s="36">
        <f t="shared" si="9"/>
        <v>0</v>
      </c>
    </row>
    <row r="100" spans="1:23" s="36" customFormat="1" x14ac:dyDescent="0.3">
      <c r="A100" s="6"/>
      <c r="B100" s="17">
        <f t="shared" si="10"/>
        <v>11</v>
      </c>
      <c r="C100" s="18">
        <v>44113</v>
      </c>
      <c r="D100" s="19" t="s">
        <v>69</v>
      </c>
      <c r="E100" s="19" t="s">
        <v>118</v>
      </c>
      <c r="F100" s="19">
        <v>384.5</v>
      </c>
      <c r="G100" s="35">
        <v>381.5</v>
      </c>
      <c r="H100" s="35">
        <v>3.5</v>
      </c>
      <c r="I100" s="20">
        <v>1375</v>
      </c>
      <c r="J100" s="21">
        <f t="shared" si="7"/>
        <v>4812.5</v>
      </c>
      <c r="K100" s="7"/>
      <c r="V100" s="36">
        <f t="shared" si="8"/>
        <v>1</v>
      </c>
      <c r="W100" s="36">
        <f t="shared" si="9"/>
        <v>0</v>
      </c>
    </row>
    <row r="101" spans="1:23" s="36" customFormat="1" x14ac:dyDescent="0.3">
      <c r="A101" s="6"/>
      <c r="B101" s="17">
        <f t="shared" si="10"/>
        <v>12</v>
      </c>
      <c r="C101" s="18">
        <v>44113</v>
      </c>
      <c r="D101" s="19" t="s">
        <v>69</v>
      </c>
      <c r="E101" s="19" t="s">
        <v>86</v>
      </c>
      <c r="F101" s="35">
        <v>3405</v>
      </c>
      <c r="G101" s="35">
        <v>3345</v>
      </c>
      <c r="H101" s="35">
        <v>60</v>
      </c>
      <c r="I101" s="20">
        <v>250</v>
      </c>
      <c r="J101" s="21">
        <f t="shared" si="7"/>
        <v>15000</v>
      </c>
      <c r="K101" s="7"/>
      <c r="V101" s="36">
        <f t="shared" si="8"/>
        <v>1</v>
      </c>
      <c r="W101" s="36">
        <f t="shared" si="9"/>
        <v>0</v>
      </c>
    </row>
    <row r="102" spans="1:23" s="36" customFormat="1" x14ac:dyDescent="0.3">
      <c r="A102" s="6"/>
      <c r="B102" s="17">
        <f t="shared" si="10"/>
        <v>13</v>
      </c>
      <c r="C102" s="18">
        <v>44116</v>
      </c>
      <c r="D102" s="19" t="s">
        <v>18</v>
      </c>
      <c r="E102" s="19" t="s">
        <v>71</v>
      </c>
      <c r="F102" s="35">
        <v>2255</v>
      </c>
      <c r="G102" s="35">
        <v>2240</v>
      </c>
      <c r="H102" s="35">
        <v>-15</v>
      </c>
      <c r="I102" s="20">
        <v>505</v>
      </c>
      <c r="J102" s="21">
        <f t="shared" si="7"/>
        <v>-7575</v>
      </c>
      <c r="K102" s="7"/>
      <c r="V102" s="36">
        <f t="shared" si="8"/>
        <v>0</v>
      </c>
      <c r="W102" s="36">
        <f t="shared" si="9"/>
        <v>1</v>
      </c>
    </row>
    <row r="103" spans="1:23" s="36" customFormat="1" x14ac:dyDescent="0.3">
      <c r="A103" s="6"/>
      <c r="B103" s="17">
        <f t="shared" si="10"/>
        <v>14</v>
      </c>
      <c r="C103" s="18">
        <v>44116</v>
      </c>
      <c r="D103" s="19" t="s">
        <v>69</v>
      </c>
      <c r="E103" s="19" t="s">
        <v>70</v>
      </c>
      <c r="F103" s="77">
        <v>468</v>
      </c>
      <c r="G103" s="35">
        <v>463.8</v>
      </c>
      <c r="H103" s="78">
        <v>4.2</v>
      </c>
      <c r="I103" s="20">
        <v>1200</v>
      </c>
      <c r="J103" s="21">
        <f t="shared" si="7"/>
        <v>5040</v>
      </c>
      <c r="K103" s="7"/>
      <c r="V103" s="36">
        <f t="shared" si="8"/>
        <v>1</v>
      </c>
      <c r="W103" s="36">
        <f t="shared" si="9"/>
        <v>0</v>
      </c>
    </row>
    <row r="104" spans="1:23" s="36" customFormat="1" x14ac:dyDescent="0.3">
      <c r="A104" s="6"/>
      <c r="B104" s="17">
        <f t="shared" si="10"/>
        <v>15</v>
      </c>
      <c r="C104" s="18">
        <v>44117</v>
      </c>
      <c r="D104" s="19" t="s">
        <v>69</v>
      </c>
      <c r="E104" s="19" t="s">
        <v>75</v>
      </c>
      <c r="F104" s="35">
        <v>396</v>
      </c>
      <c r="G104" s="35">
        <v>394.2</v>
      </c>
      <c r="H104" s="78">
        <v>1.8</v>
      </c>
      <c r="I104" s="20">
        <v>1375</v>
      </c>
      <c r="J104" s="21">
        <f t="shared" si="7"/>
        <v>2475</v>
      </c>
      <c r="K104" s="7"/>
      <c r="V104" s="36">
        <f t="shared" si="8"/>
        <v>1</v>
      </c>
      <c r="W104" s="36">
        <f t="shared" si="9"/>
        <v>0</v>
      </c>
    </row>
    <row r="105" spans="1:23" s="36" customFormat="1" x14ac:dyDescent="0.3">
      <c r="A105" s="6"/>
      <c r="B105" s="17">
        <f t="shared" si="10"/>
        <v>16</v>
      </c>
      <c r="C105" s="18">
        <v>44117</v>
      </c>
      <c r="D105" s="19" t="s">
        <v>69</v>
      </c>
      <c r="E105" s="19" t="s">
        <v>86</v>
      </c>
      <c r="F105" s="35">
        <v>3295</v>
      </c>
      <c r="G105" s="35">
        <v>3253</v>
      </c>
      <c r="H105" s="78">
        <v>42</v>
      </c>
      <c r="I105" s="20">
        <v>250</v>
      </c>
      <c r="J105" s="21">
        <f t="shared" si="7"/>
        <v>10500</v>
      </c>
      <c r="K105" s="7"/>
      <c r="V105" s="36">
        <f t="shared" si="8"/>
        <v>1</v>
      </c>
      <c r="W105" s="36">
        <f t="shared" si="9"/>
        <v>0</v>
      </c>
    </row>
    <row r="106" spans="1:23" s="36" customFormat="1" x14ac:dyDescent="0.3">
      <c r="A106" s="6"/>
      <c r="B106" s="17">
        <f t="shared" si="10"/>
        <v>17</v>
      </c>
      <c r="C106" s="18">
        <v>44118</v>
      </c>
      <c r="D106" s="19" t="s">
        <v>18</v>
      </c>
      <c r="E106" s="19" t="s">
        <v>119</v>
      </c>
      <c r="F106" s="35">
        <v>373</v>
      </c>
      <c r="G106" s="35">
        <v>377</v>
      </c>
      <c r="H106" s="35">
        <v>4</v>
      </c>
      <c r="I106" s="20">
        <v>1700</v>
      </c>
      <c r="J106" s="21">
        <f t="shared" si="7"/>
        <v>6800</v>
      </c>
      <c r="K106" s="7"/>
      <c r="V106" s="36">
        <f t="shared" si="8"/>
        <v>1</v>
      </c>
      <c r="W106" s="36">
        <f t="shared" si="9"/>
        <v>0</v>
      </c>
    </row>
    <row r="107" spans="1:23" s="36" customFormat="1" x14ac:dyDescent="0.3">
      <c r="A107" s="6"/>
      <c r="B107" s="17">
        <f t="shared" si="10"/>
        <v>18</v>
      </c>
      <c r="C107" s="18">
        <v>44118</v>
      </c>
      <c r="D107" s="19" t="s">
        <v>18</v>
      </c>
      <c r="E107" s="19" t="s">
        <v>71</v>
      </c>
      <c r="F107" s="35">
        <v>2280</v>
      </c>
      <c r="G107" s="35">
        <v>2295</v>
      </c>
      <c r="H107" s="35">
        <v>15</v>
      </c>
      <c r="I107" s="20">
        <v>505</v>
      </c>
      <c r="J107" s="21">
        <f t="shared" si="7"/>
        <v>7575</v>
      </c>
      <c r="K107" s="7"/>
      <c r="V107" s="36">
        <f t="shared" si="8"/>
        <v>1</v>
      </c>
      <c r="W107" s="36">
        <f t="shared" si="9"/>
        <v>0</v>
      </c>
    </row>
    <row r="108" spans="1:23" s="36" customFormat="1" x14ac:dyDescent="0.3">
      <c r="A108" s="6"/>
      <c r="B108" s="17">
        <f t="shared" si="10"/>
        <v>19</v>
      </c>
      <c r="C108" s="18">
        <v>44119</v>
      </c>
      <c r="D108" s="19" t="s">
        <v>18</v>
      </c>
      <c r="E108" s="19" t="s">
        <v>123</v>
      </c>
      <c r="F108" s="35">
        <v>820</v>
      </c>
      <c r="G108" s="35">
        <v>828.8</v>
      </c>
      <c r="H108" s="35">
        <v>8.8000000000000007</v>
      </c>
      <c r="I108" s="20">
        <v>600</v>
      </c>
      <c r="J108" s="21">
        <f t="shared" si="7"/>
        <v>5280</v>
      </c>
      <c r="K108" s="7"/>
      <c r="V108" s="36">
        <f t="shared" si="8"/>
        <v>1</v>
      </c>
      <c r="W108" s="36">
        <f t="shared" si="9"/>
        <v>0</v>
      </c>
    </row>
    <row r="109" spans="1:23" s="36" customFormat="1" x14ac:dyDescent="0.3">
      <c r="A109" s="6"/>
      <c r="B109" s="17">
        <f t="shared" si="10"/>
        <v>20</v>
      </c>
      <c r="C109" s="18">
        <v>44119</v>
      </c>
      <c r="D109" s="19" t="s">
        <v>18</v>
      </c>
      <c r="E109" s="19" t="s">
        <v>124</v>
      </c>
      <c r="F109" s="35">
        <v>525</v>
      </c>
      <c r="G109" s="35">
        <v>521</v>
      </c>
      <c r="H109" s="35">
        <v>-4</v>
      </c>
      <c r="I109" s="20">
        <v>1250</v>
      </c>
      <c r="J109" s="21">
        <f t="shared" si="7"/>
        <v>-5000</v>
      </c>
      <c r="K109" s="7"/>
      <c r="V109" s="36">
        <f t="shared" si="8"/>
        <v>0</v>
      </c>
      <c r="W109" s="36">
        <f t="shared" si="9"/>
        <v>1</v>
      </c>
    </row>
    <row r="110" spans="1:23" s="36" customFormat="1" x14ac:dyDescent="0.3">
      <c r="A110" s="6"/>
      <c r="B110" s="17">
        <f t="shared" si="10"/>
        <v>21</v>
      </c>
      <c r="C110" s="18">
        <v>44120</v>
      </c>
      <c r="D110" s="19" t="s">
        <v>18</v>
      </c>
      <c r="E110" s="19" t="s">
        <v>125</v>
      </c>
      <c r="F110" s="35">
        <v>1260</v>
      </c>
      <c r="G110" s="35">
        <v>1245</v>
      </c>
      <c r="H110" s="35">
        <v>-15</v>
      </c>
      <c r="I110" s="20">
        <v>550</v>
      </c>
      <c r="J110" s="21">
        <f t="shared" si="7"/>
        <v>-8250</v>
      </c>
      <c r="K110" s="7"/>
      <c r="V110" s="36">
        <f t="shared" si="8"/>
        <v>0</v>
      </c>
      <c r="W110" s="36">
        <f t="shared" si="9"/>
        <v>1</v>
      </c>
    </row>
    <row r="111" spans="1:23" s="36" customFormat="1" x14ac:dyDescent="0.3">
      <c r="A111" s="6"/>
      <c r="B111" s="17">
        <f t="shared" si="10"/>
        <v>22</v>
      </c>
      <c r="C111" s="18">
        <v>44120</v>
      </c>
      <c r="D111" s="19" t="s">
        <v>18</v>
      </c>
      <c r="E111" s="19" t="s">
        <v>70</v>
      </c>
      <c r="F111" s="35">
        <v>474</v>
      </c>
      <c r="G111" s="35">
        <v>477</v>
      </c>
      <c r="H111" s="35">
        <v>3</v>
      </c>
      <c r="I111" s="20">
        <v>1200</v>
      </c>
      <c r="J111" s="21">
        <f t="shared" si="7"/>
        <v>3600</v>
      </c>
      <c r="K111" s="7"/>
      <c r="V111" s="36">
        <f t="shared" si="8"/>
        <v>1</v>
      </c>
      <c r="W111" s="36">
        <f t="shared" si="9"/>
        <v>0</v>
      </c>
    </row>
    <row r="112" spans="1:23" s="36" customFormat="1" x14ac:dyDescent="0.3">
      <c r="A112" s="6"/>
      <c r="B112" s="17">
        <f t="shared" si="10"/>
        <v>23</v>
      </c>
      <c r="C112" s="18">
        <v>44120</v>
      </c>
      <c r="D112" s="19" t="s">
        <v>69</v>
      </c>
      <c r="E112" s="19" t="s">
        <v>71</v>
      </c>
      <c r="F112" s="35">
        <v>2190</v>
      </c>
      <c r="G112" s="35">
        <v>2175.6</v>
      </c>
      <c r="H112" s="35">
        <v>14.4</v>
      </c>
      <c r="I112" s="20">
        <v>505</v>
      </c>
      <c r="J112" s="21">
        <f t="shared" si="7"/>
        <v>7272</v>
      </c>
      <c r="K112" s="7"/>
      <c r="V112" s="36">
        <f t="shared" si="8"/>
        <v>1</v>
      </c>
      <c r="W112" s="36">
        <f t="shared" si="9"/>
        <v>0</v>
      </c>
    </row>
    <row r="113" spans="1:23" s="36" customFormat="1" x14ac:dyDescent="0.3">
      <c r="A113" s="6"/>
      <c r="B113" s="17">
        <f t="shared" si="10"/>
        <v>24</v>
      </c>
      <c r="C113" s="18">
        <v>44123</v>
      </c>
      <c r="D113" s="19" t="s">
        <v>69</v>
      </c>
      <c r="E113" s="19" t="s">
        <v>80</v>
      </c>
      <c r="F113" s="35">
        <v>896</v>
      </c>
      <c r="G113" s="35">
        <v>887.5</v>
      </c>
      <c r="H113" s="35">
        <v>8.6999999999999993</v>
      </c>
      <c r="I113" s="20">
        <v>550</v>
      </c>
      <c r="J113" s="21">
        <f t="shared" si="7"/>
        <v>4785</v>
      </c>
      <c r="K113" s="7"/>
      <c r="V113" s="36">
        <f t="shared" si="8"/>
        <v>1</v>
      </c>
      <c r="W113" s="36">
        <f t="shared" si="9"/>
        <v>0</v>
      </c>
    </row>
    <row r="114" spans="1:23" s="36" customFormat="1" x14ac:dyDescent="0.3">
      <c r="A114" s="6"/>
      <c r="B114" s="17">
        <f t="shared" si="10"/>
        <v>25</v>
      </c>
      <c r="C114" s="18">
        <v>44123</v>
      </c>
      <c r="D114" s="19" t="s">
        <v>69</v>
      </c>
      <c r="E114" s="19" t="s">
        <v>127</v>
      </c>
      <c r="F114" s="35">
        <v>1356</v>
      </c>
      <c r="G114" s="35">
        <v>1348</v>
      </c>
      <c r="H114" s="35">
        <v>8</v>
      </c>
      <c r="I114" s="20">
        <v>800</v>
      </c>
      <c r="J114" s="21">
        <f t="shared" si="7"/>
        <v>6400</v>
      </c>
      <c r="K114" s="7"/>
      <c r="V114" s="36">
        <f t="shared" si="8"/>
        <v>1</v>
      </c>
      <c r="W114" s="36">
        <f t="shared" si="9"/>
        <v>0</v>
      </c>
    </row>
    <row r="115" spans="1:23" s="36" customFormat="1" x14ac:dyDescent="0.3">
      <c r="A115" s="6"/>
      <c r="B115" s="17">
        <f t="shared" si="10"/>
        <v>26</v>
      </c>
      <c r="C115" s="18">
        <v>44124</v>
      </c>
      <c r="D115" s="19" t="s">
        <v>69</v>
      </c>
      <c r="E115" s="19" t="s">
        <v>71</v>
      </c>
      <c r="F115" s="35">
        <v>2165</v>
      </c>
      <c r="G115" s="35">
        <v>2158</v>
      </c>
      <c r="H115" s="35">
        <v>7</v>
      </c>
      <c r="I115" s="20">
        <v>505</v>
      </c>
      <c r="J115" s="21">
        <f t="shared" si="7"/>
        <v>3535</v>
      </c>
      <c r="K115" s="7"/>
      <c r="V115" s="36">
        <f t="shared" si="8"/>
        <v>1</v>
      </c>
      <c r="W115" s="36">
        <f t="shared" si="9"/>
        <v>0</v>
      </c>
    </row>
    <row r="116" spans="1:23" s="36" customFormat="1" x14ac:dyDescent="0.3">
      <c r="A116" s="6"/>
      <c r="B116" s="17">
        <f t="shared" si="10"/>
        <v>27</v>
      </c>
      <c r="C116" s="18">
        <v>44124</v>
      </c>
      <c r="D116" s="19" t="s">
        <v>18</v>
      </c>
      <c r="E116" s="19" t="s">
        <v>80</v>
      </c>
      <c r="F116" s="35">
        <v>930</v>
      </c>
      <c r="G116" s="35">
        <v>924</v>
      </c>
      <c r="H116" s="35">
        <v>6</v>
      </c>
      <c r="I116" s="20">
        <v>550</v>
      </c>
      <c r="J116" s="21">
        <f t="shared" si="7"/>
        <v>3300</v>
      </c>
      <c r="K116" s="7"/>
      <c r="V116" s="36">
        <f t="shared" si="8"/>
        <v>1</v>
      </c>
      <c r="W116" s="36">
        <f t="shared" si="9"/>
        <v>0</v>
      </c>
    </row>
    <row r="117" spans="1:23" s="36" customFormat="1" x14ac:dyDescent="0.3">
      <c r="A117" s="6"/>
      <c r="B117" s="17">
        <f t="shared" si="10"/>
        <v>28</v>
      </c>
      <c r="C117" s="18">
        <v>44125</v>
      </c>
      <c r="D117" s="19" t="s">
        <v>69</v>
      </c>
      <c r="E117" s="19" t="s">
        <v>128</v>
      </c>
      <c r="F117" s="35">
        <v>3195</v>
      </c>
      <c r="G117" s="35">
        <v>3150</v>
      </c>
      <c r="H117" s="35">
        <v>45</v>
      </c>
      <c r="I117" s="20">
        <v>300</v>
      </c>
      <c r="J117" s="21">
        <f t="shared" si="7"/>
        <v>13500</v>
      </c>
      <c r="K117" s="7"/>
      <c r="V117" s="36">
        <f t="shared" si="8"/>
        <v>1</v>
      </c>
      <c r="W117" s="36">
        <f t="shared" si="9"/>
        <v>0</v>
      </c>
    </row>
    <row r="118" spans="1:23" s="36" customFormat="1" x14ac:dyDescent="0.3">
      <c r="A118" s="6"/>
      <c r="B118" s="17">
        <f t="shared" si="10"/>
        <v>29</v>
      </c>
      <c r="C118" s="18">
        <v>44125</v>
      </c>
      <c r="D118" s="19" t="s">
        <v>69</v>
      </c>
      <c r="E118" s="19" t="s">
        <v>80</v>
      </c>
      <c r="F118" s="35">
        <v>923</v>
      </c>
      <c r="G118" s="35">
        <v>909.5</v>
      </c>
      <c r="H118" s="35">
        <v>13.5</v>
      </c>
      <c r="I118" s="20">
        <v>550</v>
      </c>
      <c r="J118" s="21">
        <f t="shared" si="7"/>
        <v>7425</v>
      </c>
      <c r="K118" s="7"/>
    </row>
    <row r="119" spans="1:23" s="36" customFormat="1" x14ac:dyDescent="0.3">
      <c r="A119" s="6"/>
      <c r="B119" s="17">
        <f t="shared" si="10"/>
        <v>30</v>
      </c>
      <c r="C119" s="18">
        <v>44126</v>
      </c>
      <c r="D119" s="19" t="s">
        <v>69</v>
      </c>
      <c r="E119" s="19" t="s">
        <v>129</v>
      </c>
      <c r="F119" s="35">
        <v>2235</v>
      </c>
      <c r="G119" s="35">
        <v>2220</v>
      </c>
      <c r="H119" s="35">
        <v>15</v>
      </c>
      <c r="I119" s="20">
        <v>500</v>
      </c>
      <c r="J119" s="21">
        <f t="shared" si="7"/>
        <v>7500</v>
      </c>
      <c r="K119" s="7"/>
    </row>
    <row r="120" spans="1:23" s="36" customFormat="1" x14ac:dyDescent="0.3">
      <c r="A120" s="6"/>
      <c r="B120" s="17">
        <f t="shared" si="10"/>
        <v>31</v>
      </c>
      <c r="C120" s="18">
        <v>44126</v>
      </c>
      <c r="D120" s="19" t="s">
        <v>18</v>
      </c>
      <c r="E120" s="19" t="s">
        <v>86</v>
      </c>
      <c r="F120" s="35">
        <v>3290</v>
      </c>
      <c r="G120" s="35">
        <v>3349</v>
      </c>
      <c r="H120" s="35">
        <v>59</v>
      </c>
      <c r="I120" s="20">
        <v>250</v>
      </c>
      <c r="J120" s="21">
        <f t="shared" si="7"/>
        <v>14750</v>
      </c>
      <c r="K120" s="7"/>
    </row>
    <row r="121" spans="1:23" s="36" customFormat="1" x14ac:dyDescent="0.3">
      <c r="A121" s="6"/>
      <c r="B121" s="17">
        <f t="shared" si="10"/>
        <v>32</v>
      </c>
      <c r="C121" s="18">
        <v>44127</v>
      </c>
      <c r="D121" s="19" t="s">
        <v>69</v>
      </c>
      <c r="E121" s="19" t="s">
        <v>137</v>
      </c>
      <c r="F121" s="35">
        <v>2143</v>
      </c>
      <c r="G121" s="35">
        <v>2130</v>
      </c>
      <c r="H121" s="35">
        <v>13</v>
      </c>
      <c r="I121" s="20">
        <v>300</v>
      </c>
      <c r="J121" s="21">
        <f t="shared" si="7"/>
        <v>3900</v>
      </c>
      <c r="K121" s="7"/>
    </row>
    <row r="122" spans="1:23" s="36" customFormat="1" x14ac:dyDescent="0.3">
      <c r="A122" s="6"/>
      <c r="B122" s="17">
        <f t="shared" si="10"/>
        <v>33</v>
      </c>
      <c r="C122" s="18">
        <v>44127</v>
      </c>
      <c r="D122" s="19" t="s">
        <v>18</v>
      </c>
      <c r="E122" s="19" t="s">
        <v>70</v>
      </c>
      <c r="F122" s="35">
        <v>506.5</v>
      </c>
      <c r="G122" s="35">
        <v>511</v>
      </c>
      <c r="H122" s="35">
        <v>4.5</v>
      </c>
      <c r="I122" s="20">
        <v>1200</v>
      </c>
      <c r="J122" s="21">
        <f t="shared" si="7"/>
        <v>5400</v>
      </c>
      <c r="K122" s="7"/>
    </row>
    <row r="123" spans="1:23" s="36" customFormat="1" x14ac:dyDescent="0.3">
      <c r="A123" s="6"/>
      <c r="B123" s="17">
        <f t="shared" si="10"/>
        <v>34</v>
      </c>
      <c r="C123" s="18">
        <v>44130</v>
      </c>
      <c r="D123" s="19" t="s">
        <v>18</v>
      </c>
      <c r="E123" s="19" t="s">
        <v>70</v>
      </c>
      <c r="F123" s="35">
        <v>506.5</v>
      </c>
      <c r="G123" s="35">
        <v>501.5</v>
      </c>
      <c r="H123" s="35">
        <v>-5</v>
      </c>
      <c r="I123" s="20">
        <v>1200</v>
      </c>
      <c r="J123" s="21">
        <f t="shared" si="7"/>
        <v>-6000</v>
      </c>
      <c r="K123" s="7"/>
    </row>
    <row r="124" spans="1:23" s="36" customFormat="1" x14ac:dyDescent="0.3">
      <c r="A124" s="6"/>
      <c r="B124" s="17">
        <f t="shared" si="10"/>
        <v>35</v>
      </c>
      <c r="C124" s="18">
        <v>44130</v>
      </c>
      <c r="D124" s="19" t="s">
        <v>69</v>
      </c>
      <c r="E124" s="19" t="s">
        <v>71</v>
      </c>
      <c r="F124" s="35">
        <v>2040</v>
      </c>
      <c r="G124" s="35">
        <v>2025</v>
      </c>
      <c r="H124" s="35">
        <v>15</v>
      </c>
      <c r="I124" s="20">
        <v>505</v>
      </c>
      <c r="J124" s="21">
        <f t="shared" si="7"/>
        <v>7575</v>
      </c>
      <c r="K124" s="7"/>
    </row>
    <row r="125" spans="1:23" s="36" customFormat="1" x14ac:dyDescent="0.3">
      <c r="A125" s="6"/>
      <c r="B125" s="17">
        <f t="shared" si="10"/>
        <v>36</v>
      </c>
      <c r="C125" s="18">
        <v>44131</v>
      </c>
      <c r="D125" s="19" t="s">
        <v>69</v>
      </c>
      <c r="E125" s="19" t="s">
        <v>140</v>
      </c>
      <c r="F125" s="35">
        <v>1340</v>
      </c>
      <c r="G125" s="35">
        <v>1330</v>
      </c>
      <c r="H125" s="35">
        <v>10</v>
      </c>
      <c r="I125" s="20">
        <v>800</v>
      </c>
      <c r="J125" s="21">
        <f t="shared" si="7"/>
        <v>8000</v>
      </c>
      <c r="K125" s="7"/>
    </row>
    <row r="126" spans="1:23" s="36" customFormat="1" x14ac:dyDescent="0.3">
      <c r="A126" s="6"/>
      <c r="B126" s="17">
        <f t="shared" si="10"/>
        <v>37</v>
      </c>
      <c r="C126" s="18">
        <v>44132</v>
      </c>
      <c r="D126" s="19" t="s">
        <v>18</v>
      </c>
      <c r="E126" s="19" t="s">
        <v>70</v>
      </c>
      <c r="F126" s="35">
        <v>505</v>
      </c>
      <c r="G126" s="35">
        <v>510</v>
      </c>
      <c r="H126" s="35">
        <v>5</v>
      </c>
      <c r="I126" s="20">
        <v>1200</v>
      </c>
      <c r="J126" s="21">
        <f t="shared" si="7"/>
        <v>6000</v>
      </c>
      <c r="K126" s="7"/>
      <c r="V126" s="36">
        <f t="shared" si="8"/>
        <v>1</v>
      </c>
      <c r="W126" s="36">
        <f t="shared" si="9"/>
        <v>0</v>
      </c>
    </row>
    <row r="127" spans="1:23" s="36" customFormat="1" x14ac:dyDescent="0.3">
      <c r="A127" s="6"/>
      <c r="B127" s="17">
        <f t="shared" si="10"/>
        <v>38</v>
      </c>
      <c r="C127" s="18">
        <v>44132</v>
      </c>
      <c r="D127" s="19" t="s">
        <v>69</v>
      </c>
      <c r="E127" s="19" t="s">
        <v>75</v>
      </c>
      <c r="F127" s="35">
        <v>398.5</v>
      </c>
      <c r="G127" s="35">
        <v>397</v>
      </c>
      <c r="H127" s="35">
        <v>1.5</v>
      </c>
      <c r="I127" s="20">
        <v>1375</v>
      </c>
      <c r="J127" s="21">
        <f t="shared" si="7"/>
        <v>2062.5</v>
      </c>
      <c r="K127" s="7"/>
    </row>
    <row r="128" spans="1:23" s="36" customFormat="1" x14ac:dyDescent="0.3">
      <c r="A128" s="6"/>
      <c r="B128" s="17">
        <f t="shared" si="10"/>
        <v>39</v>
      </c>
      <c r="C128" s="18">
        <v>44133</v>
      </c>
      <c r="D128" s="19" t="s">
        <v>69</v>
      </c>
      <c r="E128" s="19" t="s">
        <v>142</v>
      </c>
      <c r="F128" s="35">
        <v>690</v>
      </c>
      <c r="G128" s="35">
        <v>687</v>
      </c>
      <c r="H128" s="35">
        <v>3</v>
      </c>
      <c r="I128" s="20">
        <v>667</v>
      </c>
      <c r="J128" s="21">
        <f t="shared" si="7"/>
        <v>2001</v>
      </c>
      <c r="K128" s="7"/>
    </row>
    <row r="129" spans="1:23" s="36" customFormat="1" x14ac:dyDescent="0.3">
      <c r="A129" s="6"/>
      <c r="B129" s="17">
        <f t="shared" si="10"/>
        <v>40</v>
      </c>
      <c r="C129" s="18">
        <v>44133</v>
      </c>
      <c r="D129" s="19" t="s">
        <v>18</v>
      </c>
      <c r="E129" s="19" t="s">
        <v>71</v>
      </c>
      <c r="F129" s="35">
        <v>2025</v>
      </c>
      <c r="G129" s="35">
        <v>2040</v>
      </c>
      <c r="H129" s="35">
        <v>15</v>
      </c>
      <c r="I129" s="20">
        <v>505</v>
      </c>
      <c r="J129" s="21">
        <f t="shared" si="7"/>
        <v>7575</v>
      </c>
      <c r="K129" s="7"/>
    </row>
    <row r="130" spans="1:23" s="36" customFormat="1" x14ac:dyDescent="0.3">
      <c r="A130" s="6"/>
      <c r="B130" s="17">
        <f t="shared" si="10"/>
        <v>41</v>
      </c>
      <c r="C130" s="18">
        <v>44134</v>
      </c>
      <c r="D130" s="19" t="s">
        <v>18</v>
      </c>
      <c r="E130" s="19" t="s">
        <v>86</v>
      </c>
      <c r="F130" s="35">
        <v>3335</v>
      </c>
      <c r="G130" s="35">
        <v>3305</v>
      </c>
      <c r="H130" s="35">
        <v>-30</v>
      </c>
      <c r="I130" s="20">
        <v>250</v>
      </c>
      <c r="J130" s="21">
        <f t="shared" si="7"/>
        <v>-7500</v>
      </c>
      <c r="K130" s="7"/>
    </row>
    <row r="131" spans="1:23" s="36" customFormat="1" x14ac:dyDescent="0.3">
      <c r="A131" s="6"/>
      <c r="B131" s="17">
        <f t="shared" si="10"/>
        <v>42</v>
      </c>
      <c r="C131" s="18">
        <v>44134</v>
      </c>
      <c r="D131" s="19" t="s">
        <v>18</v>
      </c>
      <c r="E131" s="19" t="s">
        <v>71</v>
      </c>
      <c r="F131" s="35">
        <v>2030</v>
      </c>
      <c r="G131" s="35">
        <v>2060</v>
      </c>
      <c r="H131" s="35">
        <v>30</v>
      </c>
      <c r="I131" s="20">
        <v>505</v>
      </c>
      <c r="J131" s="21">
        <f t="shared" si="7"/>
        <v>15150</v>
      </c>
      <c r="K131" s="7"/>
    </row>
    <row r="132" spans="1:23" s="36" customFormat="1" ht="15" thickBot="1" x14ac:dyDescent="0.35">
      <c r="A132" s="6"/>
      <c r="B132" s="17">
        <f t="shared" si="10"/>
        <v>43</v>
      </c>
      <c r="C132" s="79"/>
      <c r="D132" s="80"/>
      <c r="E132" s="80"/>
      <c r="F132" s="81"/>
      <c r="G132" s="81"/>
      <c r="H132" s="80"/>
      <c r="I132" s="81"/>
      <c r="J132" s="82">
        <f t="shared" si="7"/>
        <v>0</v>
      </c>
      <c r="K132" s="7"/>
      <c r="V132" s="36">
        <f t="shared" si="8"/>
        <v>0</v>
      </c>
      <c r="W132" s="36">
        <f t="shared" si="9"/>
        <v>0</v>
      </c>
    </row>
    <row r="133" spans="1:23" s="36" customFormat="1" ht="24" thickBot="1" x14ac:dyDescent="0.5">
      <c r="A133" s="6"/>
      <c r="B133" s="165" t="s">
        <v>22</v>
      </c>
      <c r="C133" s="166"/>
      <c r="D133" s="166"/>
      <c r="E133" s="166"/>
      <c r="F133" s="166"/>
      <c r="G133" s="166"/>
      <c r="H133" s="167"/>
      <c r="I133" s="83" t="s">
        <v>23</v>
      </c>
      <c r="J133" s="84">
        <f>SUM(J90:J132)</f>
        <v>182733</v>
      </c>
      <c r="K133" s="7"/>
      <c r="L133" s="5"/>
      <c r="M133" s="5"/>
      <c r="N133" s="5"/>
      <c r="O133" s="5"/>
      <c r="P133" s="5"/>
      <c r="Q133" s="5"/>
      <c r="R133" s="5"/>
      <c r="V133" s="36">
        <f>SUM(V90:V132)</f>
        <v>25</v>
      </c>
      <c r="W133" s="36">
        <f>SUM(W90:W132)</f>
        <v>4</v>
      </c>
    </row>
    <row r="134" spans="1:23" s="36" customFormat="1" ht="30" customHeight="1" thickBot="1" x14ac:dyDescent="0.35">
      <c r="A134" s="30"/>
      <c r="B134" s="31"/>
      <c r="C134" s="31"/>
      <c r="D134" s="31"/>
      <c r="E134" s="31"/>
      <c r="F134" s="31"/>
      <c r="G134" s="31"/>
      <c r="H134" s="32"/>
      <c r="I134" s="31"/>
      <c r="J134" s="32"/>
      <c r="K134" s="33"/>
      <c r="L134" s="5"/>
      <c r="M134" s="5"/>
      <c r="N134" s="5"/>
      <c r="O134" s="5"/>
      <c r="P134" s="5"/>
      <c r="Q134" s="5"/>
      <c r="R134" s="5"/>
    </row>
  </sheetData>
  <mergeCells count="3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133:H133"/>
    <mergeCell ref="M10:O12"/>
    <mergeCell ref="P10:R12"/>
    <mergeCell ref="B82:H82"/>
    <mergeCell ref="B86:J86"/>
    <mergeCell ref="B87:J87"/>
    <mergeCell ref="B88:J88"/>
  </mergeCells>
  <hyperlinks>
    <hyperlink ref="B82" r:id="rId1" xr:uid="{00000000-0004-0000-0300-000000000000}"/>
    <hyperlink ref="M1" location="MASTER!A1" display="Back" xr:uid="{00000000-0004-0000-0300-000001000000}"/>
    <hyperlink ref="B133" r:id="rId2" xr:uid="{00000000-0004-0000-0300-000002000000}"/>
    <hyperlink ref="M6:M7" location="'OCT 2020'!A95" display="EXTRA STOCK FUTURE" xr:uid="{00000000-0004-0000-0300-000003000000}"/>
  </hyperlinks>
  <pageMargins left="0" right="0" top="0" bottom="0" header="0" footer="0"/>
  <pageSetup paperSize="9" orientation="portrait" r:id="rId3"/>
  <drawing r:id="rId4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W176"/>
  <sheetViews>
    <sheetView topLeftCell="A68" zoomScaleNormal="100" workbookViewId="0"/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9.109375" style="5" customWidth="1"/>
    <col min="22" max="23" width="9.109375" style="5" hidden="1" customWidth="1"/>
    <col min="24" max="24" width="9.109375" style="5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225" t="s">
        <v>3</v>
      </c>
      <c r="N2" s="226" t="s">
        <v>4</v>
      </c>
      <c r="O2" s="227" t="s">
        <v>5</v>
      </c>
      <c r="P2" s="227" t="s">
        <v>6</v>
      </c>
      <c r="Q2" s="227" t="s">
        <v>7</v>
      </c>
      <c r="R2" s="224" t="s">
        <v>8</v>
      </c>
    </row>
    <row r="3" spans="1:23" ht="16.2" thickBot="1" x14ac:dyDescent="0.35">
      <c r="A3" s="6"/>
      <c r="B3" s="103">
        <v>45200</v>
      </c>
      <c r="C3" s="104"/>
      <c r="D3" s="104"/>
      <c r="E3" s="104"/>
      <c r="F3" s="104"/>
      <c r="G3" s="104"/>
      <c r="H3" s="104"/>
      <c r="I3" s="104"/>
      <c r="J3" s="105"/>
      <c r="K3" s="7"/>
      <c r="M3" s="225"/>
      <c r="N3" s="226"/>
      <c r="O3" s="227"/>
      <c r="P3" s="227"/>
      <c r="Q3" s="227"/>
      <c r="R3" s="224"/>
    </row>
    <row r="4" spans="1:23" ht="16.5" customHeight="1" thickBot="1" x14ac:dyDescent="0.35">
      <c r="A4" s="6"/>
      <c r="B4" s="106" t="s">
        <v>900</v>
      </c>
      <c r="C4" s="107"/>
      <c r="D4" s="107"/>
      <c r="E4" s="107"/>
      <c r="F4" s="107"/>
      <c r="G4" s="107"/>
      <c r="H4" s="107"/>
      <c r="I4" s="107"/>
      <c r="J4" s="108"/>
      <c r="K4" s="7"/>
      <c r="M4" s="221" t="s">
        <v>107</v>
      </c>
      <c r="N4" s="222">
        <f>COUNT(C6:C58)</f>
        <v>37</v>
      </c>
      <c r="O4" s="222">
        <f>V59</f>
        <v>27</v>
      </c>
      <c r="P4" s="222">
        <f>W59</f>
        <v>9</v>
      </c>
      <c r="Q4" s="222">
        <f>N4-O4-P4</f>
        <v>1</v>
      </c>
      <c r="R4" s="220">
        <f>O4/N4</f>
        <v>0.72972972972972971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221"/>
      <c r="N5" s="222"/>
      <c r="O5" s="222"/>
      <c r="P5" s="222"/>
      <c r="Q5" s="222"/>
      <c r="R5" s="220"/>
      <c r="V5" s="5" t="s">
        <v>5</v>
      </c>
      <c r="W5" s="5" t="s">
        <v>6</v>
      </c>
    </row>
    <row r="6" spans="1:23" ht="15" customHeight="1" thickBot="1" x14ac:dyDescent="0.35">
      <c r="A6" s="6"/>
      <c r="B6" s="88">
        <v>1</v>
      </c>
      <c r="C6" s="89">
        <v>45202</v>
      </c>
      <c r="D6" s="90" t="s">
        <v>18</v>
      </c>
      <c r="E6" s="90" t="s">
        <v>843</v>
      </c>
      <c r="F6" s="90">
        <v>120</v>
      </c>
      <c r="G6" s="90">
        <v>155</v>
      </c>
      <c r="H6" s="91">
        <f>155-120</f>
        <v>35</v>
      </c>
      <c r="I6" s="90">
        <v>120</v>
      </c>
      <c r="J6" s="92">
        <f t="shared" ref="J6:J58" si="0">H6*I6</f>
        <v>4200</v>
      </c>
      <c r="K6" s="7"/>
      <c r="M6" s="221" t="s">
        <v>108</v>
      </c>
      <c r="N6" s="222">
        <f>COUNT(C67:C120)</f>
        <v>7</v>
      </c>
      <c r="O6" s="222">
        <f>V121</f>
        <v>7</v>
      </c>
      <c r="P6" s="222">
        <f>W121</f>
        <v>0</v>
      </c>
      <c r="Q6" s="222">
        <v>0</v>
      </c>
      <c r="R6" s="220">
        <f t="shared" ref="R6" si="1">O6/N6</f>
        <v>1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ht="15" thickBot="1" x14ac:dyDescent="0.35">
      <c r="A7" s="6"/>
      <c r="B7" s="17">
        <v>2</v>
      </c>
      <c r="C7" s="85">
        <v>45202</v>
      </c>
      <c r="D7" s="86" t="s">
        <v>18</v>
      </c>
      <c r="E7" s="86" t="s">
        <v>847</v>
      </c>
      <c r="F7" s="86">
        <v>150</v>
      </c>
      <c r="G7" s="86">
        <v>140</v>
      </c>
      <c r="H7" s="87">
        <v>-10</v>
      </c>
      <c r="I7" s="86">
        <v>120</v>
      </c>
      <c r="J7" s="21">
        <f t="shared" si="0"/>
        <v>-1200</v>
      </c>
      <c r="K7" s="7"/>
      <c r="M7" s="221"/>
      <c r="N7" s="222"/>
      <c r="O7" s="222"/>
      <c r="P7" s="222"/>
      <c r="Q7" s="222"/>
      <c r="R7" s="220"/>
      <c r="V7" s="5">
        <f t="shared" si="2"/>
        <v>0</v>
      </c>
      <c r="W7" s="5">
        <f t="shared" si="3"/>
        <v>1</v>
      </c>
    </row>
    <row r="8" spans="1:23" ht="15" thickBot="1" x14ac:dyDescent="0.35">
      <c r="A8" s="6"/>
      <c r="B8" s="88">
        <v>3</v>
      </c>
      <c r="C8" s="85">
        <v>45203</v>
      </c>
      <c r="D8" s="86" t="s">
        <v>18</v>
      </c>
      <c r="E8" s="86" t="s">
        <v>800</v>
      </c>
      <c r="F8" s="86">
        <v>140</v>
      </c>
      <c r="G8" s="86">
        <v>190</v>
      </c>
      <c r="H8" s="87">
        <v>50</v>
      </c>
      <c r="I8" s="86">
        <v>120</v>
      </c>
      <c r="J8" s="21">
        <f t="shared" si="0"/>
        <v>6000</v>
      </c>
      <c r="K8" s="7"/>
      <c r="M8" s="223" t="s">
        <v>194</v>
      </c>
      <c r="N8" s="222">
        <f>COUNT(C129:C174)</f>
        <v>35</v>
      </c>
      <c r="O8" s="222">
        <v>31</v>
      </c>
      <c r="P8" s="222">
        <v>4</v>
      </c>
      <c r="Q8" s="222">
        <v>0</v>
      </c>
      <c r="R8" s="220">
        <f t="shared" ref="R8:R10" si="4">O8/N8</f>
        <v>0.88571428571428568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45203</v>
      </c>
      <c r="D9" s="86" t="s">
        <v>18</v>
      </c>
      <c r="E9" s="86" t="s">
        <v>800</v>
      </c>
      <c r="F9" s="86">
        <v>140</v>
      </c>
      <c r="G9" s="86">
        <v>90</v>
      </c>
      <c r="H9" s="87">
        <v>-50</v>
      </c>
      <c r="I9" s="86">
        <v>120</v>
      </c>
      <c r="J9" s="21">
        <f t="shared" si="0"/>
        <v>-6000</v>
      </c>
      <c r="K9" s="7"/>
      <c r="M9" s="223"/>
      <c r="N9" s="222"/>
      <c r="O9" s="222"/>
      <c r="P9" s="222"/>
      <c r="Q9" s="222"/>
      <c r="R9" s="220"/>
      <c r="V9" s="5">
        <f t="shared" si="2"/>
        <v>0</v>
      </c>
      <c r="W9" s="5">
        <f t="shared" si="3"/>
        <v>1</v>
      </c>
    </row>
    <row r="10" spans="1:23" ht="16.5" customHeight="1" thickBot="1" x14ac:dyDescent="0.35">
      <c r="A10" s="6"/>
      <c r="B10" s="88">
        <v>5</v>
      </c>
      <c r="C10" s="85">
        <v>45204</v>
      </c>
      <c r="D10" s="86" t="s">
        <v>18</v>
      </c>
      <c r="E10" s="86" t="s">
        <v>838</v>
      </c>
      <c r="F10" s="86">
        <v>150</v>
      </c>
      <c r="G10" s="86">
        <v>180</v>
      </c>
      <c r="H10" s="87">
        <v>30</v>
      </c>
      <c r="I10" s="86">
        <v>120</v>
      </c>
      <c r="J10" s="21">
        <f t="shared" si="0"/>
        <v>3600</v>
      </c>
      <c r="K10" s="7"/>
      <c r="M10" s="218" t="s">
        <v>19</v>
      </c>
      <c r="N10" s="219">
        <f>SUM(N4:N9)</f>
        <v>79</v>
      </c>
      <c r="O10" s="219">
        <f>SUM(O4:O9)</f>
        <v>65</v>
      </c>
      <c r="P10" s="219">
        <f>SUM(P4:P9)</f>
        <v>13</v>
      </c>
      <c r="Q10" s="219">
        <f>SUM(Q4:Q9)</f>
        <v>1</v>
      </c>
      <c r="R10" s="220">
        <f t="shared" si="4"/>
        <v>0.82278481012658233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45204</v>
      </c>
      <c r="D11" s="86" t="s">
        <v>18</v>
      </c>
      <c r="E11" s="86" t="s">
        <v>846</v>
      </c>
      <c r="F11" s="86">
        <v>230</v>
      </c>
      <c r="G11" s="86">
        <v>190</v>
      </c>
      <c r="H11" s="87">
        <v>-40</v>
      </c>
      <c r="I11" s="86">
        <v>120</v>
      </c>
      <c r="J11" s="21">
        <f t="shared" si="0"/>
        <v>-4800</v>
      </c>
      <c r="K11" s="7"/>
      <c r="M11" s="218"/>
      <c r="N11" s="219"/>
      <c r="O11" s="219"/>
      <c r="P11" s="219"/>
      <c r="Q11" s="219"/>
      <c r="R11" s="220"/>
      <c r="V11" s="5">
        <f t="shared" si="2"/>
        <v>0</v>
      </c>
      <c r="W11" s="5">
        <f t="shared" si="3"/>
        <v>1</v>
      </c>
    </row>
    <row r="12" spans="1:23" ht="15" customHeight="1" x14ac:dyDescent="0.3">
      <c r="A12" s="6"/>
      <c r="B12" s="88">
        <v>7</v>
      </c>
      <c r="C12" s="85">
        <v>45205</v>
      </c>
      <c r="D12" s="86" t="s">
        <v>18</v>
      </c>
      <c r="E12" s="86" t="s">
        <v>838</v>
      </c>
      <c r="F12" s="86">
        <v>130</v>
      </c>
      <c r="G12" s="86">
        <v>200</v>
      </c>
      <c r="H12" s="87">
        <f>200-130</f>
        <v>70</v>
      </c>
      <c r="I12" s="86">
        <v>120</v>
      </c>
      <c r="J12" s="21">
        <f t="shared" si="0"/>
        <v>8400</v>
      </c>
      <c r="K12" s="7"/>
      <c r="M12" s="129" t="s">
        <v>20</v>
      </c>
      <c r="N12" s="130"/>
      <c r="O12" s="131"/>
      <c r="P12" s="138">
        <f>R10</f>
        <v>0.82278481012658233</v>
      </c>
      <c r="Q12" s="139"/>
      <c r="R12" s="140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45205</v>
      </c>
      <c r="D13" s="86" t="s">
        <v>18</v>
      </c>
      <c r="E13" s="86" t="s">
        <v>907</v>
      </c>
      <c r="F13" s="86">
        <v>140</v>
      </c>
      <c r="G13" s="86">
        <v>90</v>
      </c>
      <c r="H13" s="87">
        <v>-50</v>
      </c>
      <c r="I13" s="86">
        <v>120</v>
      </c>
      <c r="J13" s="21">
        <f t="shared" si="0"/>
        <v>-6000</v>
      </c>
      <c r="K13" s="7"/>
      <c r="M13" s="129"/>
      <c r="N13" s="130"/>
      <c r="O13" s="131"/>
      <c r="P13" s="138"/>
      <c r="Q13" s="139"/>
      <c r="R13" s="140"/>
      <c r="V13" s="5">
        <f t="shared" si="2"/>
        <v>0</v>
      </c>
      <c r="W13" s="5">
        <f t="shared" si="3"/>
        <v>1</v>
      </c>
    </row>
    <row r="14" spans="1:23" ht="15.75" customHeight="1" thickBot="1" x14ac:dyDescent="0.35">
      <c r="A14" s="6"/>
      <c r="B14" s="88">
        <v>9</v>
      </c>
      <c r="C14" s="85">
        <v>45208</v>
      </c>
      <c r="D14" s="86" t="s">
        <v>18</v>
      </c>
      <c r="E14" s="86" t="s">
        <v>844</v>
      </c>
      <c r="F14" s="86">
        <v>160</v>
      </c>
      <c r="G14" s="86">
        <v>180</v>
      </c>
      <c r="H14" s="87">
        <v>20</v>
      </c>
      <c r="I14" s="86">
        <v>120</v>
      </c>
      <c r="J14" s="21">
        <f t="shared" si="0"/>
        <v>2400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45208</v>
      </c>
      <c r="D15" s="86" t="s">
        <v>18</v>
      </c>
      <c r="E15" s="86" t="s">
        <v>844</v>
      </c>
      <c r="F15" s="86">
        <v>140</v>
      </c>
      <c r="G15" s="86">
        <v>140</v>
      </c>
      <c r="H15" s="87">
        <v>0</v>
      </c>
      <c r="I15" s="86">
        <v>120</v>
      </c>
      <c r="J15" s="21">
        <f t="shared" si="0"/>
        <v>0</v>
      </c>
      <c r="K15" s="7"/>
      <c r="V15" s="5">
        <f t="shared" si="2"/>
        <v>0</v>
      </c>
      <c r="W15" s="5">
        <f t="shared" si="3"/>
        <v>0</v>
      </c>
    </row>
    <row r="16" spans="1:23" x14ac:dyDescent="0.3">
      <c r="A16" s="6"/>
      <c r="B16" s="88">
        <v>11</v>
      </c>
      <c r="C16" s="85">
        <v>45209</v>
      </c>
      <c r="D16" s="86" t="s">
        <v>18</v>
      </c>
      <c r="E16" s="86" t="s">
        <v>799</v>
      </c>
      <c r="F16" s="86">
        <v>150</v>
      </c>
      <c r="G16" s="86">
        <v>165</v>
      </c>
      <c r="H16" s="87">
        <v>15</v>
      </c>
      <c r="I16" s="86">
        <v>120</v>
      </c>
      <c r="J16" s="21">
        <f t="shared" si="0"/>
        <v>1800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85">
        <v>45209</v>
      </c>
      <c r="D17" s="86" t="s">
        <v>18</v>
      </c>
      <c r="E17" s="86" t="s">
        <v>846</v>
      </c>
      <c r="F17" s="86">
        <v>140</v>
      </c>
      <c r="G17" s="86">
        <v>219</v>
      </c>
      <c r="H17" s="87">
        <f>219-140</f>
        <v>79</v>
      </c>
      <c r="I17" s="86">
        <v>120</v>
      </c>
      <c r="J17" s="21">
        <f t="shared" si="0"/>
        <v>9480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85">
        <v>45210</v>
      </c>
      <c r="D18" s="86" t="s">
        <v>18</v>
      </c>
      <c r="E18" s="86" t="s">
        <v>839</v>
      </c>
      <c r="F18" s="86">
        <v>150</v>
      </c>
      <c r="G18" s="86">
        <v>200</v>
      </c>
      <c r="H18" s="87">
        <v>50</v>
      </c>
      <c r="I18" s="86">
        <v>120</v>
      </c>
      <c r="J18" s="21">
        <f t="shared" si="0"/>
        <v>6000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85">
        <v>45210</v>
      </c>
      <c r="D19" s="86" t="s">
        <v>18</v>
      </c>
      <c r="E19" s="86" t="s">
        <v>876</v>
      </c>
      <c r="F19" s="86">
        <v>160</v>
      </c>
      <c r="G19" s="86">
        <v>210</v>
      </c>
      <c r="H19" s="87">
        <f>210-160</f>
        <v>50</v>
      </c>
      <c r="I19" s="86">
        <v>120</v>
      </c>
      <c r="J19" s="21">
        <f t="shared" si="0"/>
        <v>6000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85">
        <v>45211</v>
      </c>
      <c r="D20" s="86" t="s">
        <v>18</v>
      </c>
      <c r="E20" s="86" t="s">
        <v>880</v>
      </c>
      <c r="F20" s="86">
        <v>130</v>
      </c>
      <c r="G20" s="86">
        <v>147</v>
      </c>
      <c r="H20" s="87">
        <v>17</v>
      </c>
      <c r="I20" s="86">
        <v>120</v>
      </c>
      <c r="J20" s="21">
        <f t="shared" si="0"/>
        <v>2040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85">
        <v>45211</v>
      </c>
      <c r="D21" s="86" t="s">
        <v>18</v>
      </c>
      <c r="E21" s="86" t="s">
        <v>853</v>
      </c>
      <c r="F21" s="86">
        <v>200</v>
      </c>
      <c r="G21" s="86">
        <v>216</v>
      </c>
      <c r="H21" s="87">
        <v>16</v>
      </c>
      <c r="I21" s="86">
        <v>120</v>
      </c>
      <c r="J21" s="21">
        <f t="shared" si="0"/>
        <v>1920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45212</v>
      </c>
      <c r="D22" s="19" t="s">
        <v>18</v>
      </c>
      <c r="E22" s="19" t="s">
        <v>799</v>
      </c>
      <c r="F22" s="35">
        <v>150</v>
      </c>
      <c r="G22" s="35">
        <v>183</v>
      </c>
      <c r="H22" s="35">
        <f>183-150</f>
        <v>33</v>
      </c>
      <c r="I22" s="86">
        <v>120</v>
      </c>
      <c r="J22" s="21">
        <f t="shared" si="0"/>
        <v>3960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45215</v>
      </c>
      <c r="D23" s="19" t="s">
        <v>18</v>
      </c>
      <c r="E23" s="19" t="s">
        <v>800</v>
      </c>
      <c r="F23" s="35">
        <v>160</v>
      </c>
      <c r="G23" s="35">
        <v>110</v>
      </c>
      <c r="H23" s="35">
        <v>-50</v>
      </c>
      <c r="I23" s="86">
        <v>120</v>
      </c>
      <c r="J23" s="21">
        <f t="shared" si="0"/>
        <v>-6000</v>
      </c>
      <c r="K23" s="7"/>
      <c r="V23" s="5">
        <f t="shared" si="2"/>
        <v>0</v>
      </c>
      <c r="W23" s="5">
        <f t="shared" si="3"/>
        <v>1</v>
      </c>
    </row>
    <row r="24" spans="1:23" x14ac:dyDescent="0.3">
      <c r="A24" s="6"/>
      <c r="B24" s="88">
        <v>19</v>
      </c>
      <c r="C24" s="18">
        <v>45215</v>
      </c>
      <c r="D24" s="19" t="s">
        <v>18</v>
      </c>
      <c r="E24" s="19" t="s">
        <v>839</v>
      </c>
      <c r="F24" s="35">
        <v>130</v>
      </c>
      <c r="G24" s="35">
        <v>115</v>
      </c>
      <c r="H24" s="35">
        <v>-15</v>
      </c>
      <c r="I24" s="20">
        <v>120</v>
      </c>
      <c r="J24" s="21">
        <f t="shared" si="0"/>
        <v>-1800</v>
      </c>
      <c r="K24" s="7"/>
      <c r="V24" s="5">
        <f t="shared" si="2"/>
        <v>0</v>
      </c>
      <c r="W24" s="5">
        <f t="shared" si="3"/>
        <v>1</v>
      </c>
    </row>
    <row r="25" spans="1:23" x14ac:dyDescent="0.3">
      <c r="A25" s="6"/>
      <c r="B25" s="17">
        <v>20</v>
      </c>
      <c r="C25" s="18">
        <v>45216</v>
      </c>
      <c r="D25" s="19" t="s">
        <v>18</v>
      </c>
      <c r="E25" s="19" t="s">
        <v>839</v>
      </c>
      <c r="F25" s="35">
        <v>150</v>
      </c>
      <c r="G25" s="35">
        <v>162</v>
      </c>
      <c r="H25" s="35">
        <v>12</v>
      </c>
      <c r="I25" s="20">
        <v>120</v>
      </c>
      <c r="J25" s="21">
        <f t="shared" si="0"/>
        <v>1440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45216</v>
      </c>
      <c r="D26" s="19" t="s">
        <v>18</v>
      </c>
      <c r="E26" s="19" t="s">
        <v>910</v>
      </c>
      <c r="F26" s="35">
        <v>120</v>
      </c>
      <c r="G26" s="35">
        <v>132</v>
      </c>
      <c r="H26" s="35">
        <v>12</v>
      </c>
      <c r="I26" s="20">
        <v>120</v>
      </c>
      <c r="J26" s="21">
        <f t="shared" si="0"/>
        <v>1440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45217</v>
      </c>
      <c r="D27" s="19" t="s">
        <v>18</v>
      </c>
      <c r="E27" s="19" t="s">
        <v>798</v>
      </c>
      <c r="F27" s="35">
        <v>140</v>
      </c>
      <c r="G27" s="35">
        <v>210</v>
      </c>
      <c r="H27" s="19">
        <f>210-140</f>
        <v>70</v>
      </c>
      <c r="I27" s="20">
        <v>120</v>
      </c>
      <c r="J27" s="21">
        <f t="shared" si="0"/>
        <v>8400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45217</v>
      </c>
      <c r="D28" s="19" t="s">
        <v>18</v>
      </c>
      <c r="E28" s="19" t="s">
        <v>799</v>
      </c>
      <c r="F28" s="35">
        <v>120</v>
      </c>
      <c r="G28" s="35">
        <v>220</v>
      </c>
      <c r="H28" s="19">
        <v>100</v>
      </c>
      <c r="I28" s="20">
        <v>120</v>
      </c>
      <c r="J28" s="21">
        <f t="shared" si="0"/>
        <v>12000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45218</v>
      </c>
      <c r="D29" s="19" t="s">
        <v>18</v>
      </c>
      <c r="E29" s="19" t="s">
        <v>782</v>
      </c>
      <c r="F29" s="20">
        <v>150</v>
      </c>
      <c r="G29" s="20">
        <v>100</v>
      </c>
      <c r="H29" s="19">
        <v>-50</v>
      </c>
      <c r="I29" s="20">
        <v>120</v>
      </c>
      <c r="J29" s="21">
        <f t="shared" si="0"/>
        <v>-6000</v>
      </c>
      <c r="K29" s="7"/>
      <c r="V29" s="5">
        <f t="shared" si="2"/>
        <v>0</v>
      </c>
      <c r="W29" s="5">
        <f t="shared" si="3"/>
        <v>1</v>
      </c>
    </row>
    <row r="30" spans="1:23" x14ac:dyDescent="0.3">
      <c r="A30" s="6"/>
      <c r="B30" s="88">
        <v>25</v>
      </c>
      <c r="C30" s="24">
        <v>45218</v>
      </c>
      <c r="D30" s="25" t="s">
        <v>18</v>
      </c>
      <c r="E30" s="25" t="s">
        <v>778</v>
      </c>
      <c r="F30" s="26">
        <v>140</v>
      </c>
      <c r="G30" s="61">
        <v>170</v>
      </c>
      <c r="H30" s="61">
        <v>30</v>
      </c>
      <c r="I30" s="26">
        <v>120</v>
      </c>
      <c r="J30" s="21">
        <f t="shared" si="0"/>
        <v>3600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45219</v>
      </c>
      <c r="D31" s="25" t="s">
        <v>18</v>
      </c>
      <c r="E31" s="25" t="s">
        <v>781</v>
      </c>
      <c r="F31" s="26">
        <v>160</v>
      </c>
      <c r="G31" s="61">
        <v>232</v>
      </c>
      <c r="H31" s="61">
        <f>232-160</f>
        <v>72</v>
      </c>
      <c r="I31" s="26">
        <v>120</v>
      </c>
      <c r="J31" s="21">
        <f t="shared" si="0"/>
        <v>8640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45222</v>
      </c>
      <c r="D32" s="25" t="s">
        <v>18</v>
      </c>
      <c r="E32" s="25" t="s">
        <v>781</v>
      </c>
      <c r="F32" s="26">
        <v>150</v>
      </c>
      <c r="G32" s="61">
        <v>100</v>
      </c>
      <c r="H32" s="61">
        <v>-50</v>
      </c>
      <c r="I32" s="26">
        <v>120</v>
      </c>
      <c r="J32" s="21">
        <f t="shared" si="0"/>
        <v>-6000</v>
      </c>
      <c r="K32" s="7"/>
      <c r="V32" s="5">
        <f t="shared" si="2"/>
        <v>0</v>
      </c>
      <c r="W32" s="5">
        <f t="shared" si="3"/>
        <v>1</v>
      </c>
    </row>
    <row r="33" spans="1:23" x14ac:dyDescent="0.3">
      <c r="A33" s="6"/>
      <c r="B33" s="17">
        <v>28</v>
      </c>
      <c r="C33" s="24">
        <v>45222</v>
      </c>
      <c r="D33" s="25" t="s">
        <v>18</v>
      </c>
      <c r="E33" s="25" t="s">
        <v>783</v>
      </c>
      <c r="F33" s="26">
        <v>140</v>
      </c>
      <c r="G33" s="61">
        <v>110</v>
      </c>
      <c r="H33" s="61">
        <v>-30</v>
      </c>
      <c r="I33" s="26">
        <v>120</v>
      </c>
      <c r="J33" s="21">
        <f t="shared" si="0"/>
        <v>-3600</v>
      </c>
      <c r="K33" s="7"/>
      <c r="V33" s="5">
        <f t="shared" si="2"/>
        <v>0</v>
      </c>
      <c r="W33" s="5">
        <f t="shared" si="3"/>
        <v>1</v>
      </c>
    </row>
    <row r="34" spans="1:23" x14ac:dyDescent="0.3">
      <c r="A34" s="6"/>
      <c r="B34" s="88">
        <v>29</v>
      </c>
      <c r="C34" s="24">
        <v>45224</v>
      </c>
      <c r="D34" s="25" t="s">
        <v>18</v>
      </c>
      <c r="E34" s="25" t="s">
        <v>780</v>
      </c>
      <c r="F34" s="26">
        <v>140</v>
      </c>
      <c r="G34" s="61">
        <v>180</v>
      </c>
      <c r="H34" s="61">
        <v>40</v>
      </c>
      <c r="I34" s="26">
        <v>120</v>
      </c>
      <c r="J34" s="21">
        <f t="shared" si="0"/>
        <v>4800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45224</v>
      </c>
      <c r="D35" s="25" t="s">
        <v>18</v>
      </c>
      <c r="E35" s="25" t="s">
        <v>774</v>
      </c>
      <c r="F35" s="26">
        <v>140</v>
      </c>
      <c r="G35" s="61">
        <v>240</v>
      </c>
      <c r="H35" s="61">
        <v>100</v>
      </c>
      <c r="I35" s="26">
        <v>120</v>
      </c>
      <c r="J35" s="21">
        <f t="shared" si="0"/>
        <v>12000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45225</v>
      </c>
      <c r="D36" s="25" t="s">
        <v>18</v>
      </c>
      <c r="E36" s="25" t="s">
        <v>816</v>
      </c>
      <c r="F36" s="26">
        <v>150</v>
      </c>
      <c r="G36" s="61">
        <v>250</v>
      </c>
      <c r="H36" s="61">
        <v>100</v>
      </c>
      <c r="I36" s="26">
        <v>120</v>
      </c>
      <c r="J36" s="21">
        <f t="shared" si="0"/>
        <v>12000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45226</v>
      </c>
      <c r="D37" s="25" t="s">
        <v>18</v>
      </c>
      <c r="E37" s="25" t="s">
        <v>767</v>
      </c>
      <c r="F37" s="26">
        <v>150</v>
      </c>
      <c r="G37" s="61">
        <v>200</v>
      </c>
      <c r="H37" s="61">
        <v>50</v>
      </c>
      <c r="I37" s="26">
        <v>120</v>
      </c>
      <c r="J37" s="21">
        <f t="shared" si="0"/>
        <v>6000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45226</v>
      </c>
      <c r="D38" s="25" t="s">
        <v>18</v>
      </c>
      <c r="E38" s="25" t="s">
        <v>771</v>
      </c>
      <c r="F38" s="26">
        <v>140</v>
      </c>
      <c r="G38" s="61">
        <v>150</v>
      </c>
      <c r="H38" s="61">
        <v>10</v>
      </c>
      <c r="I38" s="26">
        <v>120</v>
      </c>
      <c r="J38" s="21">
        <f t="shared" si="0"/>
        <v>1200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45229</v>
      </c>
      <c r="D39" s="25" t="s">
        <v>18</v>
      </c>
      <c r="E39" s="25" t="s">
        <v>804</v>
      </c>
      <c r="F39" s="26">
        <v>150</v>
      </c>
      <c r="G39" s="61">
        <v>200</v>
      </c>
      <c r="H39" s="61">
        <v>50</v>
      </c>
      <c r="I39" s="26">
        <v>120</v>
      </c>
      <c r="J39" s="21">
        <f t="shared" si="0"/>
        <v>6000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45229</v>
      </c>
      <c r="D40" s="25" t="s">
        <v>18</v>
      </c>
      <c r="E40" s="25" t="s">
        <v>773</v>
      </c>
      <c r="F40" s="26">
        <v>120</v>
      </c>
      <c r="G40" s="61">
        <v>154</v>
      </c>
      <c r="H40" s="61">
        <f>154-120</f>
        <v>34</v>
      </c>
      <c r="I40" s="26">
        <v>120</v>
      </c>
      <c r="J40" s="21">
        <f t="shared" si="0"/>
        <v>4080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18">
        <v>45230</v>
      </c>
      <c r="D41" s="19" t="s">
        <v>18</v>
      </c>
      <c r="E41" s="19" t="s">
        <v>775</v>
      </c>
      <c r="F41" s="35">
        <v>130</v>
      </c>
      <c r="G41" s="35">
        <v>230</v>
      </c>
      <c r="H41" s="35">
        <v>100</v>
      </c>
      <c r="I41" s="26">
        <v>120</v>
      </c>
      <c r="J41" s="21">
        <f t="shared" si="0"/>
        <v>12000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18">
        <v>45230</v>
      </c>
      <c r="D42" s="19" t="s">
        <v>18</v>
      </c>
      <c r="E42" s="19" t="s">
        <v>775</v>
      </c>
      <c r="F42" s="35">
        <v>160</v>
      </c>
      <c r="G42" s="35">
        <v>260</v>
      </c>
      <c r="H42" s="35">
        <v>100</v>
      </c>
      <c r="I42" s="26">
        <v>120</v>
      </c>
      <c r="J42" s="21">
        <f t="shared" si="0"/>
        <v>12000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17">
        <v>38</v>
      </c>
      <c r="C43" s="24"/>
      <c r="D43" s="25"/>
      <c r="E43" s="25"/>
      <c r="F43" s="26"/>
      <c r="G43" s="61"/>
      <c r="H43" s="61"/>
      <c r="I43" s="26"/>
      <c r="J43" s="21">
        <f t="shared" si="0"/>
        <v>0</v>
      </c>
      <c r="K43" s="7"/>
      <c r="V43" s="5">
        <f t="shared" si="2"/>
        <v>0</v>
      </c>
      <c r="W43" s="5">
        <f t="shared" si="3"/>
        <v>0</v>
      </c>
    </row>
    <row r="44" spans="1:23" ht="15" thickBot="1" x14ac:dyDescent="0.35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ht="15" hidden="1" thickBot="1" x14ac:dyDescent="0.35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ht="15" hidden="1" thickBot="1" x14ac:dyDescent="0.35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ht="15" hidden="1" thickBot="1" x14ac:dyDescent="0.35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ht="15" hidden="1" thickBot="1" x14ac:dyDescent="0.35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ht="15" hidden="1" thickBot="1" x14ac:dyDescent="0.35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ht="15" hidden="1" thickBot="1" x14ac:dyDescent="0.35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t="15" hidden="1" thickBot="1" x14ac:dyDescent="0.35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t="15" hidden="1" thickBot="1" x14ac:dyDescent="0.35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t="15" hidden="1" thickBot="1" x14ac:dyDescent="0.35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t="15" hidden="1" thickBot="1" x14ac:dyDescent="0.35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t="15" hidden="1" thickBot="1" x14ac:dyDescent="0.35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t="15" hidden="1" thickBot="1" x14ac:dyDescent="0.35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t="15" hidden="1" thickBot="1" x14ac:dyDescent="0.35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hidden="1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120000</v>
      </c>
      <c r="K59" s="7"/>
      <c r="V59" s="5">
        <f>SUM(V6:V58)</f>
        <v>27</v>
      </c>
      <c r="W59" s="5">
        <f>SUM(W6:W58)</f>
        <v>9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923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>
        <v>45204</v>
      </c>
      <c r="D67" s="67" t="s">
        <v>18</v>
      </c>
      <c r="E67" s="67" t="s">
        <v>814</v>
      </c>
      <c r="F67" s="68">
        <v>219</v>
      </c>
      <c r="G67" s="68">
        <v>220</v>
      </c>
      <c r="H67" s="97">
        <v>1</v>
      </c>
      <c r="I67" s="68">
        <v>2600</v>
      </c>
      <c r="J67" s="92">
        <f>H67*I67</f>
        <v>2600</v>
      </c>
      <c r="K67" s="7"/>
      <c r="V67" s="5">
        <f t="shared" ref="V67:V120" si="5">IF($J67&gt;0,1,0)</f>
        <v>1</v>
      </c>
      <c r="W67" s="5">
        <f t="shared" ref="W67:W120" si="6">IF($J67&lt;0,1,0)</f>
        <v>0</v>
      </c>
    </row>
    <row r="68" spans="1:23" s="36" customFormat="1" x14ac:dyDescent="0.3">
      <c r="A68" s="6"/>
      <c r="B68" s="17">
        <f>B67+1</f>
        <v>2</v>
      </c>
      <c r="C68" s="66">
        <v>45208</v>
      </c>
      <c r="D68" s="67" t="s">
        <v>18</v>
      </c>
      <c r="E68" s="67" t="s">
        <v>123</v>
      </c>
      <c r="F68" s="97">
        <v>1110</v>
      </c>
      <c r="G68" s="97">
        <v>1120</v>
      </c>
      <c r="H68" s="97">
        <v>10</v>
      </c>
      <c r="I68" s="20">
        <v>800</v>
      </c>
      <c r="J68" s="21">
        <f>H68*I68</f>
        <v>8000</v>
      </c>
      <c r="K68" s="7"/>
      <c r="L68" s="36" t="s">
        <v>21</v>
      </c>
      <c r="V68" s="5">
        <f t="shared" si="5"/>
        <v>1</v>
      </c>
      <c r="W68" s="5">
        <f t="shared" si="6"/>
        <v>0</v>
      </c>
    </row>
    <row r="69" spans="1:23" s="36" customFormat="1" x14ac:dyDescent="0.3">
      <c r="A69" s="6"/>
      <c r="B69" s="17">
        <f t="shared" ref="B69:B120" si="7">B68+1</f>
        <v>3</v>
      </c>
      <c r="C69" s="18">
        <v>45209</v>
      </c>
      <c r="D69" s="19" t="s">
        <v>18</v>
      </c>
      <c r="E69" s="19" t="s">
        <v>596</v>
      </c>
      <c r="F69" s="35">
        <v>5180</v>
      </c>
      <c r="G69" s="97">
        <v>5214</v>
      </c>
      <c r="H69" s="35">
        <f>5214-5180</f>
        <v>34</v>
      </c>
      <c r="I69" s="20">
        <v>200</v>
      </c>
      <c r="J69" s="21">
        <f>H69*I69</f>
        <v>6800</v>
      </c>
      <c r="K69" s="7"/>
      <c r="V69" s="5">
        <f t="shared" si="5"/>
        <v>1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>
        <v>45211</v>
      </c>
      <c r="D70" s="19" t="s">
        <v>18</v>
      </c>
      <c r="E70" s="19" t="s">
        <v>181</v>
      </c>
      <c r="F70" s="35">
        <v>2570</v>
      </c>
      <c r="G70" s="97">
        <v>2620</v>
      </c>
      <c r="H70" s="35">
        <f>2620-2570</f>
        <v>50</v>
      </c>
      <c r="I70" s="20">
        <v>300</v>
      </c>
      <c r="J70" s="21">
        <f>H70*I70</f>
        <v>15000</v>
      </c>
      <c r="K70" s="7"/>
      <c r="V70" s="5">
        <f t="shared" si="5"/>
        <v>1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>
        <v>45212</v>
      </c>
      <c r="D71" s="19" t="s">
        <v>18</v>
      </c>
      <c r="E71" s="19" t="s">
        <v>596</v>
      </c>
      <c r="F71" s="35">
        <v>5330</v>
      </c>
      <c r="G71" s="97">
        <v>5370</v>
      </c>
      <c r="H71" s="35">
        <v>40</v>
      </c>
      <c r="I71" s="20">
        <v>200</v>
      </c>
      <c r="J71" s="21">
        <f>H71*I71</f>
        <v>8000</v>
      </c>
      <c r="K71" s="7"/>
      <c r="V71" s="5">
        <f t="shared" si="5"/>
        <v>1</v>
      </c>
      <c r="W71" s="5">
        <f t="shared" si="6"/>
        <v>0</v>
      </c>
    </row>
    <row r="72" spans="1:23" s="36" customFormat="1" hidden="1" x14ac:dyDescent="0.3">
      <c r="A72" s="6"/>
      <c r="B72" s="17">
        <f t="shared" si="7"/>
        <v>6</v>
      </c>
      <c r="C72" s="18"/>
      <c r="D72" s="19"/>
      <c r="E72" s="19"/>
      <c r="F72" s="20"/>
      <c r="G72" s="97"/>
      <c r="H72" s="35"/>
      <c r="I72" s="20"/>
      <c r="J72" s="21">
        <f t="shared" ref="J72:J120" si="8">I72*H72</f>
        <v>0</v>
      </c>
      <c r="K72" s="7"/>
      <c r="V72" s="5">
        <f t="shared" si="5"/>
        <v>0</v>
      </c>
      <c r="W72" s="5">
        <f t="shared" si="6"/>
        <v>0</v>
      </c>
    </row>
    <row r="73" spans="1:23" s="36" customFormat="1" hidden="1" x14ac:dyDescent="0.3">
      <c r="A73" s="6"/>
      <c r="B73" s="17">
        <f t="shared" si="7"/>
        <v>7</v>
      </c>
      <c r="C73" s="18"/>
      <c r="D73" s="19"/>
      <c r="E73" s="19"/>
      <c r="F73" s="35"/>
      <c r="G73" s="97"/>
      <c r="H73" s="35"/>
      <c r="I73" s="20"/>
      <c r="J73" s="21">
        <f t="shared" si="8"/>
        <v>0</v>
      </c>
      <c r="K73" s="7"/>
      <c r="V73" s="5">
        <f t="shared" si="5"/>
        <v>0</v>
      </c>
      <c r="W73" s="5">
        <f t="shared" si="6"/>
        <v>0</v>
      </c>
    </row>
    <row r="74" spans="1:23" s="36" customFormat="1" hidden="1" x14ac:dyDescent="0.3">
      <c r="A74" s="6"/>
      <c r="B74" s="17">
        <f t="shared" si="7"/>
        <v>8</v>
      </c>
      <c r="C74" s="18"/>
      <c r="D74" s="19"/>
      <c r="E74" s="19"/>
      <c r="F74" s="35"/>
      <c r="G74" s="97"/>
      <c r="H74" s="35"/>
      <c r="I74" s="20"/>
      <c r="J74" s="21">
        <f t="shared" si="8"/>
        <v>0</v>
      </c>
      <c r="K74" s="7"/>
      <c r="V74" s="5">
        <f t="shared" si="5"/>
        <v>0</v>
      </c>
      <c r="W74" s="5">
        <f t="shared" si="6"/>
        <v>0</v>
      </c>
    </row>
    <row r="75" spans="1:23" s="36" customFormat="1" hidden="1" x14ac:dyDescent="0.3">
      <c r="A75" s="6"/>
      <c r="B75" s="17">
        <f t="shared" si="7"/>
        <v>9</v>
      </c>
      <c r="C75" s="18"/>
      <c r="D75" s="19"/>
      <c r="E75" s="19"/>
      <c r="F75" s="35"/>
      <c r="G75" s="97"/>
      <c r="H75" s="35"/>
      <c r="I75" s="20"/>
      <c r="J75" s="21">
        <f t="shared" si="8"/>
        <v>0</v>
      </c>
      <c r="K75" s="7"/>
      <c r="V75" s="5">
        <f t="shared" si="5"/>
        <v>0</v>
      </c>
      <c r="W75" s="5">
        <f t="shared" si="6"/>
        <v>0</v>
      </c>
    </row>
    <row r="76" spans="1:23" s="36" customFormat="1" hidden="1" x14ac:dyDescent="0.3">
      <c r="A76" s="6"/>
      <c r="B76" s="17">
        <f t="shared" si="7"/>
        <v>10</v>
      </c>
      <c r="C76" s="18"/>
      <c r="D76" s="19"/>
      <c r="E76" s="19"/>
      <c r="F76" s="35"/>
      <c r="G76" s="97"/>
      <c r="H76" s="35"/>
      <c r="I76" s="20"/>
      <c r="J76" s="21">
        <f t="shared" si="8"/>
        <v>0</v>
      </c>
      <c r="K76" s="7"/>
      <c r="V76" s="5">
        <f t="shared" si="5"/>
        <v>0</v>
      </c>
      <c r="W76" s="5">
        <f t="shared" si="6"/>
        <v>0</v>
      </c>
    </row>
    <row r="77" spans="1:23" s="36" customFormat="1" hidden="1" x14ac:dyDescent="0.3">
      <c r="A77" s="6"/>
      <c r="B77" s="17">
        <f t="shared" si="7"/>
        <v>11</v>
      </c>
      <c r="C77" s="18"/>
      <c r="D77" s="19"/>
      <c r="E77" s="19"/>
      <c r="F77" s="19"/>
      <c r="G77" s="97"/>
      <c r="H77" s="35"/>
      <c r="I77" s="20"/>
      <c r="J77" s="21">
        <f t="shared" si="8"/>
        <v>0</v>
      </c>
      <c r="K77" s="7"/>
      <c r="V77" s="5">
        <f t="shared" si="5"/>
        <v>0</v>
      </c>
      <c r="W77" s="5">
        <f t="shared" si="6"/>
        <v>0</v>
      </c>
    </row>
    <row r="78" spans="1:23" s="36" customFormat="1" hidden="1" x14ac:dyDescent="0.3">
      <c r="A78" s="6"/>
      <c r="B78" s="17">
        <f t="shared" si="7"/>
        <v>12</v>
      </c>
      <c r="C78" s="18"/>
      <c r="D78" s="19"/>
      <c r="E78" s="19"/>
      <c r="F78" s="35"/>
      <c r="G78" s="97"/>
      <c r="H78" s="35"/>
      <c r="I78" s="20"/>
      <c r="J78" s="21">
        <f t="shared" si="8"/>
        <v>0</v>
      </c>
      <c r="K78" s="7"/>
      <c r="V78" s="5">
        <f t="shared" si="5"/>
        <v>0</v>
      </c>
      <c r="W78" s="5">
        <f t="shared" si="6"/>
        <v>0</v>
      </c>
    </row>
    <row r="79" spans="1:23" s="36" customFormat="1" hidden="1" x14ac:dyDescent="0.3">
      <c r="A79" s="6"/>
      <c r="B79" s="17">
        <f t="shared" si="7"/>
        <v>13</v>
      </c>
      <c r="C79" s="18"/>
      <c r="D79" s="19"/>
      <c r="E79" s="19"/>
      <c r="F79" s="77"/>
      <c r="G79" s="97"/>
      <c r="H79" s="78"/>
      <c r="I79" s="20"/>
      <c r="J79" s="21">
        <f t="shared" si="8"/>
        <v>0</v>
      </c>
      <c r="K79" s="7"/>
      <c r="V79" s="5">
        <f t="shared" si="5"/>
        <v>0</v>
      </c>
      <c r="W79" s="5">
        <f t="shared" si="6"/>
        <v>0</v>
      </c>
    </row>
    <row r="80" spans="1:23" s="36" customFormat="1" hidden="1" x14ac:dyDescent="0.3">
      <c r="A80" s="6"/>
      <c r="B80" s="17">
        <f t="shared" si="7"/>
        <v>14</v>
      </c>
      <c r="C80" s="18"/>
      <c r="D80" s="19"/>
      <c r="E80" s="19"/>
      <c r="F80" s="35"/>
      <c r="G80" s="97"/>
      <c r="H80" s="78"/>
      <c r="I80" s="20"/>
      <c r="J80" s="21">
        <f t="shared" si="8"/>
        <v>0</v>
      </c>
      <c r="K80" s="7"/>
      <c r="V80" s="5">
        <f t="shared" si="5"/>
        <v>0</v>
      </c>
      <c r="W80" s="5">
        <f t="shared" si="6"/>
        <v>0</v>
      </c>
    </row>
    <row r="81" spans="1:23" s="36" customFormat="1" hidden="1" x14ac:dyDescent="0.3">
      <c r="A81" s="6"/>
      <c r="B81" s="17">
        <f t="shared" si="7"/>
        <v>15</v>
      </c>
      <c r="C81" s="18"/>
      <c r="D81" s="19"/>
      <c r="E81" s="19"/>
      <c r="F81" s="35"/>
      <c r="G81" s="97"/>
      <c r="H81" s="78"/>
      <c r="I81" s="20"/>
      <c r="J81" s="21">
        <f t="shared" si="8"/>
        <v>0</v>
      </c>
      <c r="K81" s="7"/>
      <c r="V81" s="5">
        <f t="shared" si="5"/>
        <v>0</v>
      </c>
      <c r="W81" s="5">
        <f t="shared" si="6"/>
        <v>0</v>
      </c>
    </row>
    <row r="82" spans="1:23" s="36" customFormat="1" hidden="1" x14ac:dyDescent="0.3">
      <c r="A82" s="6"/>
      <c r="B82" s="17">
        <f t="shared" si="7"/>
        <v>16</v>
      </c>
      <c r="C82" s="18"/>
      <c r="D82" s="19"/>
      <c r="E82" s="19"/>
      <c r="F82" s="35"/>
      <c r="G82" s="97"/>
      <c r="H82" s="35"/>
      <c r="I82" s="20"/>
      <c r="J82" s="21">
        <f t="shared" si="8"/>
        <v>0</v>
      </c>
      <c r="K82" s="7"/>
      <c r="V82" s="5">
        <f t="shared" si="5"/>
        <v>0</v>
      </c>
      <c r="W82" s="5">
        <f t="shared" si="6"/>
        <v>0</v>
      </c>
    </row>
    <row r="83" spans="1:23" s="36" customFormat="1" hidden="1" x14ac:dyDescent="0.3">
      <c r="A83" s="6"/>
      <c r="B83" s="17">
        <f t="shared" si="7"/>
        <v>17</v>
      </c>
      <c r="C83" s="18"/>
      <c r="D83" s="19"/>
      <c r="E83" s="19"/>
      <c r="F83" s="35"/>
      <c r="G83" s="97"/>
      <c r="H83" s="35"/>
      <c r="I83" s="20"/>
      <c r="J83" s="21">
        <f t="shared" si="8"/>
        <v>0</v>
      </c>
      <c r="K83" s="7"/>
      <c r="V83" s="5">
        <f t="shared" si="5"/>
        <v>0</v>
      </c>
      <c r="W83" s="5">
        <f t="shared" si="6"/>
        <v>0</v>
      </c>
    </row>
    <row r="84" spans="1:23" s="36" customFormat="1" hidden="1" x14ac:dyDescent="0.3">
      <c r="A84" s="6"/>
      <c r="B84" s="17">
        <f t="shared" si="7"/>
        <v>18</v>
      </c>
      <c r="C84" s="18"/>
      <c r="D84" s="19"/>
      <c r="E84" s="19"/>
      <c r="F84" s="35"/>
      <c r="G84" s="97"/>
      <c r="H84" s="35"/>
      <c r="I84" s="20"/>
      <c r="J84" s="21">
        <f t="shared" si="8"/>
        <v>0</v>
      </c>
      <c r="K84" s="7"/>
      <c r="V84" s="5">
        <f t="shared" si="5"/>
        <v>0</v>
      </c>
      <c r="W84" s="5">
        <f t="shared" si="6"/>
        <v>0</v>
      </c>
    </row>
    <row r="85" spans="1:23" s="36" customFormat="1" hidden="1" x14ac:dyDescent="0.3">
      <c r="A85" s="6"/>
      <c r="B85" s="17">
        <f t="shared" si="7"/>
        <v>19</v>
      </c>
      <c r="C85" s="18"/>
      <c r="D85" s="19"/>
      <c r="E85" s="19"/>
      <c r="F85" s="35"/>
      <c r="G85" s="97"/>
      <c r="H85" s="35"/>
      <c r="I85" s="20"/>
      <c r="J85" s="21">
        <f t="shared" si="8"/>
        <v>0</v>
      </c>
      <c r="K85" s="7"/>
      <c r="V85" s="5">
        <f t="shared" si="5"/>
        <v>0</v>
      </c>
      <c r="W85" s="5">
        <f t="shared" si="6"/>
        <v>0</v>
      </c>
    </row>
    <row r="86" spans="1:23" s="36" customFormat="1" hidden="1" x14ac:dyDescent="0.3">
      <c r="A86" s="6"/>
      <c r="B86" s="17">
        <f t="shared" si="7"/>
        <v>20</v>
      </c>
      <c r="C86" s="18"/>
      <c r="D86" s="19"/>
      <c r="E86" s="19"/>
      <c r="F86" s="35"/>
      <c r="G86" s="97"/>
      <c r="H86" s="35"/>
      <c r="I86" s="20"/>
      <c r="J86" s="21">
        <f t="shared" si="8"/>
        <v>0</v>
      </c>
      <c r="K86" s="7"/>
      <c r="V86" s="5">
        <f t="shared" si="5"/>
        <v>0</v>
      </c>
      <c r="W86" s="5">
        <f t="shared" si="6"/>
        <v>0</v>
      </c>
    </row>
    <row r="87" spans="1:23" s="36" customFormat="1" hidden="1" x14ac:dyDescent="0.3">
      <c r="A87" s="6"/>
      <c r="B87" s="17">
        <f t="shared" si="7"/>
        <v>21</v>
      </c>
      <c r="C87" s="18"/>
      <c r="D87" s="19"/>
      <c r="E87" s="19"/>
      <c r="F87" s="35"/>
      <c r="G87" s="97"/>
      <c r="H87" s="35"/>
      <c r="I87" s="20"/>
      <c r="J87" s="21">
        <f t="shared" si="8"/>
        <v>0</v>
      </c>
      <c r="K87" s="7"/>
      <c r="V87" s="5">
        <f t="shared" si="5"/>
        <v>0</v>
      </c>
      <c r="W87" s="5">
        <f t="shared" si="6"/>
        <v>0</v>
      </c>
    </row>
    <row r="88" spans="1:23" s="36" customFormat="1" hidden="1" x14ac:dyDescent="0.3">
      <c r="A88" s="6"/>
      <c r="B88" s="17">
        <f t="shared" si="7"/>
        <v>22</v>
      </c>
      <c r="C88" s="18"/>
      <c r="D88" s="19"/>
      <c r="E88" s="19"/>
      <c r="F88" s="77"/>
      <c r="G88" s="97"/>
      <c r="H88" s="78"/>
      <c r="I88" s="20"/>
      <c r="J88" s="21">
        <f t="shared" si="8"/>
        <v>0</v>
      </c>
      <c r="K88" s="7"/>
      <c r="V88" s="5">
        <f t="shared" si="5"/>
        <v>0</v>
      </c>
      <c r="W88" s="5">
        <f t="shared" si="6"/>
        <v>0</v>
      </c>
    </row>
    <row r="89" spans="1:23" s="36" customFormat="1" hidden="1" x14ac:dyDescent="0.3">
      <c r="A89" s="6"/>
      <c r="B89" s="17">
        <f t="shared" si="7"/>
        <v>23</v>
      </c>
      <c r="C89" s="18"/>
      <c r="D89" s="19"/>
      <c r="E89" s="19"/>
      <c r="F89" s="35"/>
      <c r="G89" s="97"/>
      <c r="H89" s="78"/>
      <c r="I89" s="20"/>
      <c r="J89" s="21">
        <f t="shared" si="8"/>
        <v>0</v>
      </c>
      <c r="K89" s="7"/>
      <c r="V89" s="5">
        <f t="shared" si="5"/>
        <v>0</v>
      </c>
      <c r="W89" s="5">
        <f t="shared" si="6"/>
        <v>0</v>
      </c>
    </row>
    <row r="90" spans="1:23" s="36" customFormat="1" hidden="1" x14ac:dyDescent="0.3">
      <c r="A90" s="6"/>
      <c r="B90" s="17">
        <f t="shared" si="7"/>
        <v>24</v>
      </c>
      <c r="C90" s="18"/>
      <c r="D90" s="19"/>
      <c r="E90" s="19"/>
      <c r="F90" s="35"/>
      <c r="G90" s="97"/>
      <c r="H90" s="78"/>
      <c r="I90" s="20"/>
      <c r="J90" s="21">
        <f t="shared" si="8"/>
        <v>0</v>
      </c>
      <c r="K90" s="7"/>
      <c r="V90" s="5">
        <f t="shared" si="5"/>
        <v>0</v>
      </c>
      <c r="W90" s="5">
        <f t="shared" si="6"/>
        <v>0</v>
      </c>
    </row>
    <row r="91" spans="1:23" s="36" customFormat="1" hidden="1" x14ac:dyDescent="0.3">
      <c r="A91" s="6"/>
      <c r="B91" s="17">
        <f t="shared" si="7"/>
        <v>25</v>
      </c>
      <c r="C91" s="18"/>
      <c r="D91" s="19"/>
      <c r="E91" s="19"/>
      <c r="F91" s="35"/>
      <c r="G91" s="97"/>
      <c r="H91" s="35"/>
      <c r="I91" s="20"/>
      <c r="J91" s="21">
        <f t="shared" si="8"/>
        <v>0</v>
      </c>
      <c r="K91" s="7"/>
      <c r="V91" s="5">
        <f t="shared" si="5"/>
        <v>0</v>
      </c>
      <c r="W91" s="5">
        <f t="shared" si="6"/>
        <v>0</v>
      </c>
    </row>
    <row r="92" spans="1:23" s="36" customFormat="1" hidden="1" x14ac:dyDescent="0.3">
      <c r="A92" s="6"/>
      <c r="B92" s="17">
        <f t="shared" si="7"/>
        <v>26</v>
      </c>
      <c r="C92" s="18"/>
      <c r="D92" s="19"/>
      <c r="E92" s="19"/>
      <c r="F92" s="35"/>
      <c r="G92" s="97"/>
      <c r="H92" s="35"/>
      <c r="I92" s="20"/>
      <c r="J92" s="21">
        <f t="shared" si="8"/>
        <v>0</v>
      </c>
      <c r="K92" s="7"/>
      <c r="V92" s="5">
        <f t="shared" si="5"/>
        <v>0</v>
      </c>
      <c r="W92" s="5">
        <f t="shared" si="6"/>
        <v>0</v>
      </c>
    </row>
    <row r="93" spans="1:23" s="36" customFormat="1" hidden="1" x14ac:dyDescent="0.3">
      <c r="A93" s="6"/>
      <c r="B93" s="17">
        <f t="shared" si="7"/>
        <v>27</v>
      </c>
      <c r="C93" s="18"/>
      <c r="D93" s="19"/>
      <c r="E93" s="19"/>
      <c r="F93" s="35"/>
      <c r="G93" s="97"/>
      <c r="H93" s="35"/>
      <c r="I93" s="20"/>
      <c r="J93" s="21">
        <f t="shared" si="8"/>
        <v>0</v>
      </c>
      <c r="K93" s="7"/>
      <c r="V93" s="5">
        <f t="shared" si="5"/>
        <v>0</v>
      </c>
      <c r="W93" s="5">
        <f t="shared" si="6"/>
        <v>0</v>
      </c>
    </row>
    <row r="94" spans="1:23" s="36" customFormat="1" hidden="1" x14ac:dyDescent="0.3">
      <c r="A94" s="6"/>
      <c r="B94" s="17">
        <f t="shared" si="7"/>
        <v>28</v>
      </c>
      <c r="C94" s="18"/>
      <c r="D94" s="19"/>
      <c r="E94" s="19"/>
      <c r="F94" s="35"/>
      <c r="G94" s="97"/>
      <c r="H94" s="35"/>
      <c r="I94" s="20"/>
      <c r="J94" s="21">
        <f t="shared" si="8"/>
        <v>0</v>
      </c>
      <c r="K94" s="7"/>
      <c r="V94" s="5">
        <f t="shared" si="5"/>
        <v>0</v>
      </c>
      <c r="W94" s="5">
        <f t="shared" si="6"/>
        <v>0</v>
      </c>
    </row>
    <row r="95" spans="1:23" s="36" customFormat="1" hidden="1" x14ac:dyDescent="0.3">
      <c r="A95" s="6"/>
      <c r="B95" s="17">
        <f t="shared" si="7"/>
        <v>29</v>
      </c>
      <c r="C95" s="18"/>
      <c r="D95" s="19"/>
      <c r="E95" s="19"/>
      <c r="F95" s="35"/>
      <c r="G95" s="97"/>
      <c r="H95" s="35"/>
      <c r="I95" s="20"/>
      <c r="J95" s="21">
        <f t="shared" si="8"/>
        <v>0</v>
      </c>
      <c r="K95" s="7"/>
      <c r="V95" s="5">
        <f t="shared" si="5"/>
        <v>0</v>
      </c>
      <c r="W95" s="5">
        <f t="shared" si="6"/>
        <v>0</v>
      </c>
    </row>
    <row r="96" spans="1:23" s="36" customFormat="1" hidden="1" x14ac:dyDescent="0.3">
      <c r="A96" s="6"/>
      <c r="B96" s="17">
        <f t="shared" si="7"/>
        <v>30</v>
      </c>
      <c r="C96" s="18"/>
      <c r="D96" s="19"/>
      <c r="E96" s="19"/>
      <c r="F96" s="35"/>
      <c r="G96" s="97"/>
      <c r="H96" s="35"/>
      <c r="I96" s="20"/>
      <c r="J96" s="21">
        <f t="shared" si="8"/>
        <v>0</v>
      </c>
      <c r="K96" s="7"/>
      <c r="V96" s="5">
        <f t="shared" si="5"/>
        <v>0</v>
      </c>
      <c r="W96" s="5">
        <f t="shared" si="6"/>
        <v>0</v>
      </c>
    </row>
    <row r="97" spans="1:23" s="36" customFormat="1" hidden="1" x14ac:dyDescent="0.3">
      <c r="A97" s="6"/>
      <c r="B97" s="17">
        <f t="shared" si="7"/>
        <v>31</v>
      </c>
      <c r="C97" s="18"/>
      <c r="D97" s="19"/>
      <c r="E97" s="19"/>
      <c r="F97" s="35"/>
      <c r="G97" s="97"/>
      <c r="H97" s="35"/>
      <c r="I97" s="20"/>
      <c r="J97" s="21">
        <f t="shared" si="8"/>
        <v>0</v>
      </c>
      <c r="K97" s="7"/>
      <c r="V97" s="5">
        <f t="shared" si="5"/>
        <v>0</v>
      </c>
      <c r="W97" s="5">
        <f t="shared" si="6"/>
        <v>0</v>
      </c>
    </row>
    <row r="98" spans="1:23" s="36" customFormat="1" hidden="1" x14ac:dyDescent="0.3">
      <c r="A98" s="6"/>
      <c r="B98" s="17">
        <f t="shared" si="7"/>
        <v>32</v>
      </c>
      <c r="C98" s="18"/>
      <c r="D98" s="19"/>
      <c r="E98" s="19"/>
      <c r="F98" s="35"/>
      <c r="G98" s="97"/>
      <c r="H98" s="35"/>
      <c r="I98" s="20"/>
      <c r="J98" s="21">
        <f t="shared" si="8"/>
        <v>0</v>
      </c>
      <c r="K98" s="7"/>
      <c r="V98" s="5">
        <f t="shared" si="5"/>
        <v>0</v>
      </c>
      <c r="W98" s="5">
        <f t="shared" si="6"/>
        <v>0</v>
      </c>
    </row>
    <row r="99" spans="1:23" s="36" customFormat="1" hidden="1" x14ac:dyDescent="0.3">
      <c r="A99" s="6"/>
      <c r="B99" s="17">
        <f t="shared" si="7"/>
        <v>33</v>
      </c>
      <c r="C99" s="18"/>
      <c r="D99" s="19"/>
      <c r="E99" s="19"/>
      <c r="F99" s="35"/>
      <c r="G99" s="97"/>
      <c r="H99" s="35"/>
      <c r="I99" s="20"/>
      <c r="J99" s="21">
        <f t="shared" si="8"/>
        <v>0</v>
      </c>
      <c r="K99" s="7"/>
      <c r="V99" s="5">
        <f t="shared" si="5"/>
        <v>0</v>
      </c>
      <c r="W99" s="5">
        <f t="shared" si="6"/>
        <v>0</v>
      </c>
    </row>
    <row r="100" spans="1:23" s="36" customFormat="1" hidden="1" x14ac:dyDescent="0.3">
      <c r="A100" s="6"/>
      <c r="B100" s="17">
        <f t="shared" si="7"/>
        <v>34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hidden="1" x14ac:dyDescent="0.3">
      <c r="A101" s="6"/>
      <c r="B101" s="17">
        <v>35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hidden="1" x14ac:dyDescent="0.3">
      <c r="A102" s="6"/>
      <c r="B102" s="17">
        <v>36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/>
      <c r="W102" s="5"/>
    </row>
    <row r="103" spans="1:23" s="36" customFormat="1" hidden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hidden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hidden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hidden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hidden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hidden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hidden="1" x14ac:dyDescent="0.3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hidden="1" x14ac:dyDescent="0.3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idden="1" x14ac:dyDescent="0.3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idden="1" x14ac:dyDescent="0.3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idden="1" x14ac:dyDescent="0.3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idden="1" x14ac:dyDescent="0.3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idden="1" x14ac:dyDescent="0.3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idden="1" x14ac:dyDescent="0.3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idden="1" x14ac:dyDescent="0.3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idden="1" x14ac:dyDescent="0.3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x14ac:dyDescent="0.3">
      <c r="A119" s="6"/>
      <c r="B119" s="17">
        <f t="shared" si="7"/>
        <v>49</v>
      </c>
      <c r="C119" s="18">
        <v>45217</v>
      </c>
      <c r="D119" s="19" t="s">
        <v>18</v>
      </c>
      <c r="E119" s="19" t="s">
        <v>596</v>
      </c>
      <c r="F119" s="35">
        <v>5460</v>
      </c>
      <c r="G119" s="35">
        <v>5490</v>
      </c>
      <c r="H119" s="35">
        <v>30</v>
      </c>
      <c r="I119" s="20">
        <v>200</v>
      </c>
      <c r="J119" s="21">
        <f t="shared" si="8"/>
        <v>6000</v>
      </c>
      <c r="K119" s="7"/>
      <c r="V119" s="5">
        <f t="shared" si="5"/>
        <v>1</v>
      </c>
      <c r="W119" s="5">
        <f t="shared" si="6"/>
        <v>0</v>
      </c>
    </row>
    <row r="120" spans="1:23" s="36" customFormat="1" ht="15" thickBot="1" x14ac:dyDescent="0.35">
      <c r="A120" s="6"/>
      <c r="B120" s="17">
        <f t="shared" si="7"/>
        <v>50</v>
      </c>
      <c r="C120" s="18">
        <v>45222</v>
      </c>
      <c r="D120" s="19" t="s">
        <v>18</v>
      </c>
      <c r="E120" s="19" t="s">
        <v>596</v>
      </c>
      <c r="F120" s="35">
        <v>5490</v>
      </c>
      <c r="G120" s="35">
        <v>5507</v>
      </c>
      <c r="H120" s="35">
        <f>5507-5490</f>
        <v>17</v>
      </c>
      <c r="I120" s="20">
        <v>200</v>
      </c>
      <c r="J120" s="21">
        <f t="shared" si="8"/>
        <v>3400</v>
      </c>
      <c r="K120" s="7"/>
      <c r="V120" s="5">
        <f t="shared" si="5"/>
        <v>1</v>
      </c>
      <c r="W120" s="5">
        <f t="shared" si="6"/>
        <v>0</v>
      </c>
    </row>
    <row r="121" spans="1:23" s="36" customFormat="1" ht="24" thickBot="1" x14ac:dyDescent="0.5">
      <c r="A121" s="6"/>
      <c r="B121" s="144" t="s">
        <v>22</v>
      </c>
      <c r="C121" s="145"/>
      <c r="D121" s="145"/>
      <c r="E121" s="145"/>
      <c r="F121" s="145"/>
      <c r="G121" s="145"/>
      <c r="H121" s="146"/>
      <c r="I121" s="83" t="s">
        <v>23</v>
      </c>
      <c r="J121" s="84">
        <f>SUM(J67:J120)</f>
        <v>49800</v>
      </c>
      <c r="K121" s="7"/>
      <c r="L121" s="5"/>
      <c r="M121" s="5"/>
      <c r="N121" s="5"/>
      <c r="O121" s="5"/>
      <c r="P121" s="5"/>
      <c r="Q121" s="5"/>
      <c r="R121" s="5"/>
      <c r="V121" s="36">
        <f>SUM(V67:V120)</f>
        <v>7</v>
      </c>
      <c r="W121" s="36">
        <f>SUM(W67:W120)</f>
        <v>0</v>
      </c>
    </row>
    <row r="122" spans="1:23" s="36" customFormat="1" ht="30" customHeight="1" thickBot="1" x14ac:dyDescent="0.35">
      <c r="A122" s="30"/>
      <c r="B122" s="31"/>
      <c r="C122" s="31"/>
      <c r="D122" s="31"/>
      <c r="E122" s="31"/>
      <c r="F122" s="31"/>
      <c r="G122" s="31"/>
      <c r="H122" s="32"/>
      <c r="I122" s="31"/>
      <c r="J122" s="32"/>
      <c r="K122" s="33"/>
      <c r="L122" s="5"/>
      <c r="M122" s="5"/>
      <c r="N122" s="5"/>
      <c r="O122" s="5"/>
      <c r="P122" s="5"/>
      <c r="Q122" s="5"/>
      <c r="R122" s="5"/>
    </row>
    <row r="123" spans="1:23" ht="15" thickBot="1" x14ac:dyDescent="0.35"/>
    <row r="124" spans="1:23" s="36" customFormat="1" ht="30" customHeight="1" thickBot="1" x14ac:dyDescent="0.35">
      <c r="A124" s="1"/>
      <c r="B124" s="2"/>
      <c r="C124" s="2"/>
      <c r="D124" s="2"/>
      <c r="E124" s="2"/>
      <c r="F124" s="2"/>
      <c r="G124" s="2"/>
      <c r="H124" s="3"/>
      <c r="I124" s="2"/>
      <c r="J124" s="3"/>
      <c r="K124" s="4"/>
    </row>
    <row r="125" spans="1:23" s="36" customFormat="1" ht="25.2" thickBot="1" x14ac:dyDescent="0.35">
      <c r="A125" s="6" t="s">
        <v>1</v>
      </c>
      <c r="B125" s="119" t="s">
        <v>2</v>
      </c>
      <c r="C125" s="120"/>
      <c r="D125" s="120"/>
      <c r="E125" s="120"/>
      <c r="F125" s="120"/>
      <c r="G125" s="120"/>
      <c r="H125" s="120"/>
      <c r="I125" s="120"/>
      <c r="J125" s="121"/>
      <c r="K125" s="7"/>
    </row>
    <row r="126" spans="1:23" s="36" customFormat="1" ht="16.2" thickBot="1" x14ac:dyDescent="0.35">
      <c r="A126" s="6"/>
      <c r="B126" s="216">
        <v>45200</v>
      </c>
      <c r="C126" s="169"/>
      <c r="D126" s="169"/>
      <c r="E126" s="169"/>
      <c r="F126" s="169"/>
      <c r="G126" s="169"/>
      <c r="H126" s="169"/>
      <c r="I126" s="169"/>
      <c r="J126" s="170"/>
      <c r="K126" s="7"/>
      <c r="L126" s="22"/>
    </row>
    <row r="127" spans="1:23" s="36" customFormat="1" ht="16.2" thickBot="1" x14ac:dyDescent="0.35">
      <c r="A127" s="6"/>
      <c r="B127" s="106" t="s">
        <v>699</v>
      </c>
      <c r="C127" s="107"/>
      <c r="D127" s="107"/>
      <c r="E127" s="107"/>
      <c r="F127" s="107"/>
      <c r="G127" s="107"/>
      <c r="H127" s="107"/>
      <c r="I127" s="107"/>
      <c r="J127" s="108"/>
      <c r="K127" s="7"/>
    </row>
    <row r="128" spans="1:23" s="22" customFormat="1" ht="15" thickBot="1" x14ac:dyDescent="0.35">
      <c r="A128" s="69"/>
      <c r="B128" s="70" t="s">
        <v>9</v>
      </c>
      <c r="C128" s="71" t="s">
        <v>10</v>
      </c>
      <c r="D128" s="72" t="s">
        <v>11</v>
      </c>
      <c r="E128" s="72" t="s">
        <v>12</v>
      </c>
      <c r="F128" s="73" t="s">
        <v>65</v>
      </c>
      <c r="G128" s="73" t="s">
        <v>66</v>
      </c>
      <c r="H128" s="74" t="s">
        <v>67</v>
      </c>
      <c r="I128" s="73" t="s">
        <v>68</v>
      </c>
      <c r="J128" s="75" t="s">
        <v>17</v>
      </c>
      <c r="K128" s="76"/>
      <c r="L128" s="36"/>
      <c r="M128" s="36"/>
      <c r="N128" s="36"/>
      <c r="O128" s="36" t="s">
        <v>21</v>
      </c>
      <c r="P128" s="36"/>
      <c r="Q128" s="36"/>
      <c r="R128" s="36"/>
      <c r="V128" s="5" t="s">
        <v>5</v>
      </c>
      <c r="W128" s="5" t="s">
        <v>6</v>
      </c>
    </row>
    <row r="129" spans="1:23" s="36" customFormat="1" x14ac:dyDescent="0.3">
      <c r="A129" s="6"/>
      <c r="B129" s="14">
        <v>1</v>
      </c>
      <c r="C129" s="93">
        <v>45202</v>
      </c>
      <c r="D129" s="94" t="s">
        <v>18</v>
      </c>
      <c r="E129" s="94" t="s">
        <v>897</v>
      </c>
      <c r="F129" s="60">
        <v>110</v>
      </c>
      <c r="G129" s="60">
        <v>144</v>
      </c>
      <c r="H129" s="60">
        <f>144-110</f>
        <v>34</v>
      </c>
      <c r="I129" s="15">
        <v>300</v>
      </c>
      <c r="J129" s="16">
        <f t="shared" ref="J129:J174" si="9">I129*H129</f>
        <v>10200</v>
      </c>
      <c r="K129" s="7"/>
      <c r="V129" s="5">
        <f t="shared" ref="V129:V174" si="10">IF($J129&gt;0,1,0)</f>
        <v>1</v>
      </c>
      <c r="W129" s="5">
        <f t="shared" ref="W129:W174" si="11">IF($J129&lt;0,1,0)</f>
        <v>0</v>
      </c>
    </row>
    <row r="130" spans="1:23" s="36" customFormat="1" x14ac:dyDescent="0.3">
      <c r="A130" s="6"/>
      <c r="B130" s="17">
        <f>B129+1</f>
        <v>2</v>
      </c>
      <c r="C130" s="18">
        <v>45202</v>
      </c>
      <c r="D130" s="19" t="s">
        <v>18</v>
      </c>
      <c r="E130" s="19" t="s">
        <v>878</v>
      </c>
      <c r="F130" s="35">
        <v>120</v>
      </c>
      <c r="G130" s="35">
        <v>155</v>
      </c>
      <c r="H130" s="35">
        <f>155-120</f>
        <v>35</v>
      </c>
      <c r="I130" s="20">
        <v>300</v>
      </c>
      <c r="J130" s="21">
        <f t="shared" si="9"/>
        <v>10500</v>
      </c>
      <c r="K130" s="7"/>
      <c r="L130" s="36" t="s">
        <v>21</v>
      </c>
      <c r="V130" s="5">
        <f t="shared" si="10"/>
        <v>1</v>
      </c>
      <c r="W130" s="5">
        <f t="shared" si="11"/>
        <v>0</v>
      </c>
    </row>
    <row r="131" spans="1:23" s="36" customFormat="1" x14ac:dyDescent="0.3">
      <c r="A131" s="6"/>
      <c r="B131" s="17">
        <f t="shared" ref="B131:B151" si="12">B130+1</f>
        <v>3</v>
      </c>
      <c r="C131" s="18">
        <v>45203</v>
      </c>
      <c r="D131" s="19" t="s">
        <v>18</v>
      </c>
      <c r="E131" s="19" t="s">
        <v>877</v>
      </c>
      <c r="F131" s="35">
        <v>120</v>
      </c>
      <c r="G131" s="35">
        <v>155</v>
      </c>
      <c r="H131" s="35">
        <f>155-120</f>
        <v>35</v>
      </c>
      <c r="I131" s="20">
        <v>300</v>
      </c>
      <c r="J131" s="21">
        <f t="shared" si="9"/>
        <v>10500</v>
      </c>
      <c r="K131" s="7"/>
      <c r="V131" s="5">
        <f t="shared" si="10"/>
        <v>1</v>
      </c>
      <c r="W131" s="5">
        <f t="shared" si="11"/>
        <v>0</v>
      </c>
    </row>
    <row r="132" spans="1:23" s="36" customFormat="1" x14ac:dyDescent="0.3">
      <c r="A132" s="6"/>
      <c r="B132" s="17">
        <f t="shared" si="12"/>
        <v>4</v>
      </c>
      <c r="C132" s="18">
        <v>45203</v>
      </c>
      <c r="D132" s="19" t="s">
        <v>925</v>
      </c>
      <c r="E132" s="19" t="s">
        <v>866</v>
      </c>
      <c r="F132" s="35">
        <v>90</v>
      </c>
      <c r="G132" s="35">
        <v>97</v>
      </c>
      <c r="H132" s="35">
        <v>7</v>
      </c>
      <c r="I132" s="20">
        <v>300</v>
      </c>
      <c r="J132" s="21">
        <f t="shared" si="9"/>
        <v>2100</v>
      </c>
      <c r="K132" s="7"/>
      <c r="V132" s="5">
        <f t="shared" si="10"/>
        <v>1</v>
      </c>
      <c r="W132" s="5">
        <f t="shared" si="11"/>
        <v>0</v>
      </c>
    </row>
    <row r="133" spans="1:23" s="36" customFormat="1" x14ac:dyDescent="0.3">
      <c r="A133" s="6"/>
      <c r="B133" s="17">
        <f t="shared" si="12"/>
        <v>5</v>
      </c>
      <c r="C133" s="18">
        <v>45204</v>
      </c>
      <c r="D133" s="19" t="s">
        <v>18</v>
      </c>
      <c r="E133" s="19" t="s">
        <v>870</v>
      </c>
      <c r="F133" s="20">
        <v>90</v>
      </c>
      <c r="G133" s="35">
        <v>116</v>
      </c>
      <c r="H133" s="35">
        <f>116-90</f>
        <v>26</v>
      </c>
      <c r="I133" s="20">
        <v>300</v>
      </c>
      <c r="J133" s="21">
        <f t="shared" ref="J133:J134" si="13">I132*H132</f>
        <v>2100</v>
      </c>
      <c r="K133" s="7"/>
      <c r="V133" s="5">
        <f t="shared" si="10"/>
        <v>1</v>
      </c>
      <c r="W133" s="5">
        <f t="shared" si="11"/>
        <v>0</v>
      </c>
    </row>
    <row r="134" spans="1:23" s="36" customFormat="1" x14ac:dyDescent="0.3">
      <c r="A134" s="6"/>
      <c r="B134" s="17">
        <f t="shared" si="12"/>
        <v>6</v>
      </c>
      <c r="C134" s="18">
        <v>45205</v>
      </c>
      <c r="D134" s="19" t="s">
        <v>18</v>
      </c>
      <c r="E134" s="19" t="s">
        <v>926</v>
      </c>
      <c r="F134" s="35">
        <v>95</v>
      </c>
      <c r="G134" s="35">
        <v>130</v>
      </c>
      <c r="H134" s="35">
        <f>130-95</f>
        <v>35</v>
      </c>
      <c r="I134" s="20">
        <v>300</v>
      </c>
      <c r="J134" s="21">
        <f t="shared" si="13"/>
        <v>7800</v>
      </c>
      <c r="K134" s="7"/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si="12"/>
        <v>7</v>
      </c>
      <c r="C135" s="18">
        <v>45205</v>
      </c>
      <c r="D135" s="19" t="s">
        <v>18</v>
      </c>
      <c r="E135" s="19" t="s">
        <v>926</v>
      </c>
      <c r="F135" s="35">
        <v>125</v>
      </c>
      <c r="G135" s="35">
        <v>130</v>
      </c>
      <c r="H135" s="35">
        <v>5</v>
      </c>
      <c r="I135" s="20">
        <v>300</v>
      </c>
      <c r="J135" s="21">
        <f t="shared" si="9"/>
        <v>1500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8</v>
      </c>
      <c r="C136" s="18">
        <v>45208</v>
      </c>
      <c r="D136" s="19" t="s">
        <v>18</v>
      </c>
      <c r="E136" s="19" t="s">
        <v>875</v>
      </c>
      <c r="F136" s="35">
        <v>110</v>
      </c>
      <c r="G136" s="35">
        <v>130</v>
      </c>
      <c r="H136" s="35">
        <v>20</v>
      </c>
      <c r="I136" s="20">
        <v>300</v>
      </c>
      <c r="J136" s="21">
        <f t="shared" si="9"/>
        <v>6000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9</v>
      </c>
      <c r="C137" s="18">
        <v>45208</v>
      </c>
      <c r="D137" s="19" t="s">
        <v>18</v>
      </c>
      <c r="E137" s="19" t="s">
        <v>875</v>
      </c>
      <c r="F137" s="35">
        <v>105</v>
      </c>
      <c r="G137" s="35">
        <v>108</v>
      </c>
      <c r="H137" s="35">
        <v>3</v>
      </c>
      <c r="I137" s="100">
        <v>300</v>
      </c>
      <c r="J137" s="21">
        <f t="shared" si="9"/>
        <v>900</v>
      </c>
      <c r="K137" s="7"/>
      <c r="V137" s="5">
        <f t="shared" si="10"/>
        <v>1</v>
      </c>
      <c r="W137" s="5">
        <f t="shared" si="11"/>
        <v>0</v>
      </c>
    </row>
    <row r="138" spans="1:23" s="36" customFormat="1" x14ac:dyDescent="0.3">
      <c r="A138" s="6"/>
      <c r="B138" s="17">
        <f t="shared" si="12"/>
        <v>10</v>
      </c>
      <c r="C138" s="18">
        <v>45209</v>
      </c>
      <c r="D138" s="19" t="s">
        <v>18</v>
      </c>
      <c r="E138" s="19" t="s">
        <v>879</v>
      </c>
      <c r="F138" s="35">
        <v>120</v>
      </c>
      <c r="G138" s="35">
        <v>155</v>
      </c>
      <c r="H138" s="35">
        <f>155-120</f>
        <v>35</v>
      </c>
      <c r="I138" s="20">
        <v>300</v>
      </c>
      <c r="J138" s="21">
        <f t="shared" si="9"/>
        <v>10500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11</v>
      </c>
      <c r="C139" s="18">
        <v>45209</v>
      </c>
      <c r="D139" s="19" t="s">
        <v>18</v>
      </c>
      <c r="E139" s="19" t="s">
        <v>926</v>
      </c>
      <c r="F139" s="19">
        <v>120</v>
      </c>
      <c r="G139" s="35">
        <v>135</v>
      </c>
      <c r="H139" s="35">
        <v>15</v>
      </c>
      <c r="I139" s="20">
        <v>300</v>
      </c>
      <c r="J139" s="21">
        <f t="shared" si="9"/>
        <v>4500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12</v>
      </c>
      <c r="C140" s="18">
        <v>45210</v>
      </c>
      <c r="D140" s="19" t="s">
        <v>18</v>
      </c>
      <c r="E140" s="19" t="s">
        <v>888</v>
      </c>
      <c r="F140" s="35">
        <v>125</v>
      </c>
      <c r="G140" s="35">
        <v>150</v>
      </c>
      <c r="H140" s="35">
        <v>25</v>
      </c>
      <c r="I140" s="20">
        <v>300</v>
      </c>
      <c r="J140" s="21">
        <f t="shared" si="9"/>
        <v>7500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13</v>
      </c>
      <c r="C141" s="18">
        <v>45210</v>
      </c>
      <c r="D141" s="19" t="s">
        <v>18</v>
      </c>
      <c r="E141" s="19" t="s">
        <v>886</v>
      </c>
      <c r="F141" s="35">
        <v>115</v>
      </c>
      <c r="G141" s="35">
        <v>95</v>
      </c>
      <c r="H141" s="35">
        <f>115-95</f>
        <v>20</v>
      </c>
      <c r="I141" s="20">
        <v>300</v>
      </c>
      <c r="J141" s="21">
        <f t="shared" si="9"/>
        <v>6000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14</v>
      </c>
      <c r="C142" s="18">
        <v>45211</v>
      </c>
      <c r="D142" s="19" t="s">
        <v>18</v>
      </c>
      <c r="E142" s="19" t="s">
        <v>103</v>
      </c>
      <c r="F142" s="77">
        <v>100</v>
      </c>
      <c r="G142" s="35">
        <v>135</v>
      </c>
      <c r="H142" s="78">
        <v>35</v>
      </c>
      <c r="I142" s="20">
        <v>300</v>
      </c>
      <c r="J142" s="21">
        <f t="shared" si="9"/>
        <v>10500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15</v>
      </c>
      <c r="C143" s="18">
        <v>45211</v>
      </c>
      <c r="D143" s="19" t="s">
        <v>18</v>
      </c>
      <c r="E143" s="19" t="s">
        <v>888</v>
      </c>
      <c r="F143" s="35">
        <v>115</v>
      </c>
      <c r="G143" s="35">
        <v>95</v>
      </c>
      <c r="H143" s="78">
        <v>31</v>
      </c>
      <c r="I143" s="20">
        <v>300</v>
      </c>
      <c r="J143" s="21">
        <f t="shared" si="9"/>
        <v>9300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16</v>
      </c>
      <c r="C144" s="18">
        <v>45212</v>
      </c>
      <c r="D144" s="19" t="s">
        <v>18</v>
      </c>
      <c r="E144" s="19" t="s">
        <v>894</v>
      </c>
      <c r="F144" s="35">
        <v>150</v>
      </c>
      <c r="G144" s="35">
        <v>183</v>
      </c>
      <c r="H144" s="78">
        <f>183-150</f>
        <v>33</v>
      </c>
      <c r="I144" s="20">
        <v>300</v>
      </c>
      <c r="J144" s="21">
        <f t="shared" si="9"/>
        <v>9900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17</v>
      </c>
      <c r="C145" s="18">
        <v>45215</v>
      </c>
      <c r="D145" s="19" t="s">
        <v>18</v>
      </c>
      <c r="E145" s="19" t="s">
        <v>886</v>
      </c>
      <c r="F145" s="35">
        <v>100</v>
      </c>
      <c r="G145" s="35">
        <v>106</v>
      </c>
      <c r="H145" s="78">
        <v>6</v>
      </c>
      <c r="I145" s="20">
        <v>300</v>
      </c>
      <c r="J145" s="21">
        <f t="shared" si="9"/>
        <v>1800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18</v>
      </c>
      <c r="C146" s="18">
        <v>45215</v>
      </c>
      <c r="D146" s="19" t="s">
        <v>18</v>
      </c>
      <c r="E146" s="19" t="s">
        <v>894</v>
      </c>
      <c r="F146" s="35">
        <v>110</v>
      </c>
      <c r="G146" s="35">
        <v>117</v>
      </c>
      <c r="H146" s="78">
        <v>7</v>
      </c>
      <c r="I146" s="20">
        <v>300</v>
      </c>
      <c r="J146" s="21">
        <f t="shared" si="9"/>
        <v>2100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19</v>
      </c>
      <c r="C147" s="18">
        <v>45216</v>
      </c>
      <c r="D147" s="19" t="s">
        <v>18</v>
      </c>
      <c r="E147" s="19" t="s">
        <v>886</v>
      </c>
      <c r="F147" s="35">
        <v>115</v>
      </c>
      <c r="G147" s="35">
        <v>130</v>
      </c>
      <c r="H147" s="78">
        <v>15</v>
      </c>
      <c r="I147" s="20">
        <v>300</v>
      </c>
      <c r="J147" s="21">
        <f t="shared" si="9"/>
        <v>4500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20</v>
      </c>
      <c r="C148" s="18">
        <v>45216</v>
      </c>
      <c r="D148" s="19" t="s">
        <v>18</v>
      </c>
      <c r="E148" s="19" t="s">
        <v>887</v>
      </c>
      <c r="F148" s="35">
        <v>105</v>
      </c>
      <c r="G148" s="35">
        <v>135</v>
      </c>
      <c r="H148" s="35">
        <v>30</v>
      </c>
      <c r="I148" s="20">
        <v>300</v>
      </c>
      <c r="J148" s="21">
        <f t="shared" si="9"/>
        <v>9000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21</v>
      </c>
      <c r="C149" s="18">
        <v>45217</v>
      </c>
      <c r="D149" s="19" t="s">
        <v>18</v>
      </c>
      <c r="E149" s="19" t="s">
        <v>888</v>
      </c>
      <c r="F149" s="35">
        <v>135</v>
      </c>
      <c r="G149" s="35">
        <v>160</v>
      </c>
      <c r="H149" s="35">
        <f>160-135</f>
        <v>25</v>
      </c>
      <c r="I149" s="20">
        <v>300</v>
      </c>
      <c r="J149" s="21">
        <f t="shared" si="9"/>
        <v>7500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22</v>
      </c>
      <c r="C150" s="18">
        <v>45218</v>
      </c>
      <c r="D150" s="19" t="s">
        <v>18</v>
      </c>
      <c r="E150" s="19" t="s">
        <v>903</v>
      </c>
      <c r="F150" s="35">
        <v>150</v>
      </c>
      <c r="G150" s="35">
        <v>175</v>
      </c>
      <c r="H150" s="35">
        <f>175-150</f>
        <v>25</v>
      </c>
      <c r="I150" s="20">
        <v>300</v>
      </c>
      <c r="J150" s="21">
        <f t="shared" si="9"/>
        <v>7500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23</v>
      </c>
      <c r="C151" s="18">
        <v>45219</v>
      </c>
      <c r="D151" s="19" t="s">
        <v>18</v>
      </c>
      <c r="E151" s="19" t="s">
        <v>906</v>
      </c>
      <c r="F151" s="35">
        <v>130</v>
      </c>
      <c r="G151" s="35">
        <v>112</v>
      </c>
      <c r="H151" s="35">
        <v>-18</v>
      </c>
      <c r="I151" s="20">
        <v>300</v>
      </c>
      <c r="J151" s="21">
        <f t="shared" si="9"/>
        <v>-5400</v>
      </c>
      <c r="K151" s="7"/>
      <c r="V151" s="5">
        <f t="shared" si="10"/>
        <v>0</v>
      </c>
      <c r="W151" s="5">
        <f t="shared" si="11"/>
        <v>1</v>
      </c>
    </row>
    <row r="152" spans="1:23" s="36" customFormat="1" x14ac:dyDescent="0.3">
      <c r="A152" s="6"/>
      <c r="B152" s="17">
        <f>B151+1</f>
        <v>24</v>
      </c>
      <c r="C152" s="18">
        <v>45219</v>
      </c>
      <c r="D152" s="19" t="s">
        <v>18</v>
      </c>
      <c r="E152" s="19" t="s">
        <v>897</v>
      </c>
      <c r="F152" s="35">
        <v>125</v>
      </c>
      <c r="G152" s="35">
        <v>144</v>
      </c>
      <c r="H152" s="35">
        <f>144-125</f>
        <v>19</v>
      </c>
      <c r="I152" s="20">
        <v>300</v>
      </c>
      <c r="J152" s="21">
        <f t="shared" si="9"/>
        <v>5700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ref="B153:B174" si="14">B152+1</f>
        <v>25</v>
      </c>
      <c r="C153" s="18">
        <v>45222</v>
      </c>
      <c r="D153" s="19" t="s">
        <v>18</v>
      </c>
      <c r="E153" s="19" t="s">
        <v>906</v>
      </c>
      <c r="F153" s="35">
        <v>105</v>
      </c>
      <c r="G153" s="35">
        <v>85</v>
      </c>
      <c r="H153" s="35">
        <v>-15</v>
      </c>
      <c r="I153" s="20">
        <v>300</v>
      </c>
      <c r="J153" s="21">
        <f t="shared" si="9"/>
        <v>-4500</v>
      </c>
      <c r="K153" s="7"/>
      <c r="V153" s="5">
        <f t="shared" si="10"/>
        <v>0</v>
      </c>
      <c r="W153" s="5">
        <f t="shared" si="11"/>
        <v>1</v>
      </c>
    </row>
    <row r="154" spans="1:23" s="36" customFormat="1" x14ac:dyDescent="0.3">
      <c r="A154" s="6"/>
      <c r="B154" s="17">
        <f t="shared" si="14"/>
        <v>26</v>
      </c>
      <c r="C154" s="18">
        <v>45222</v>
      </c>
      <c r="D154" s="19" t="s">
        <v>18</v>
      </c>
      <c r="E154" s="19" t="s">
        <v>877</v>
      </c>
      <c r="F154" s="35">
        <v>120</v>
      </c>
      <c r="G154" s="35">
        <v>154</v>
      </c>
      <c r="H154" s="35">
        <f>154-120</f>
        <v>34</v>
      </c>
      <c r="I154" s="20">
        <v>300</v>
      </c>
      <c r="J154" s="21">
        <f t="shared" si="9"/>
        <v>10200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si="14"/>
        <v>27</v>
      </c>
      <c r="C155" s="18">
        <v>45224</v>
      </c>
      <c r="D155" s="19" t="s">
        <v>18</v>
      </c>
      <c r="E155" s="19" t="s">
        <v>927</v>
      </c>
      <c r="F155" s="35">
        <v>110</v>
      </c>
      <c r="G155" s="35">
        <v>125</v>
      </c>
      <c r="H155" s="35">
        <f>125-110</f>
        <v>15</v>
      </c>
      <c r="I155" s="20">
        <v>300</v>
      </c>
      <c r="J155" s="21">
        <f t="shared" si="9"/>
        <v>4500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4"/>
        <v>28</v>
      </c>
      <c r="C156" s="18">
        <v>45224</v>
      </c>
      <c r="D156" s="19" t="s">
        <v>18</v>
      </c>
      <c r="E156" s="19" t="s">
        <v>909</v>
      </c>
      <c r="F156" s="35">
        <v>100</v>
      </c>
      <c r="G156" s="35">
        <v>135</v>
      </c>
      <c r="H156" s="35">
        <v>35</v>
      </c>
      <c r="I156" s="20">
        <v>300</v>
      </c>
      <c r="J156" s="21">
        <f t="shared" si="9"/>
        <v>10500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4"/>
        <v>29</v>
      </c>
      <c r="C157" s="18">
        <v>45225</v>
      </c>
      <c r="D157" s="19" t="s">
        <v>18</v>
      </c>
      <c r="E157" s="19" t="s">
        <v>928</v>
      </c>
      <c r="F157" s="35">
        <v>105</v>
      </c>
      <c r="G157" s="35">
        <v>140</v>
      </c>
      <c r="H157" s="19">
        <f>140-105</f>
        <v>35</v>
      </c>
      <c r="I157" s="20">
        <v>300</v>
      </c>
      <c r="J157" s="21">
        <f t="shared" si="9"/>
        <v>10500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4"/>
        <v>30</v>
      </c>
      <c r="C158" s="18">
        <v>45226</v>
      </c>
      <c r="D158" s="19" t="s">
        <v>18</v>
      </c>
      <c r="E158" s="19" t="s">
        <v>929</v>
      </c>
      <c r="F158" s="35">
        <v>100</v>
      </c>
      <c r="G158" s="35">
        <v>135</v>
      </c>
      <c r="H158" s="35">
        <v>35</v>
      </c>
      <c r="I158" s="20">
        <v>300</v>
      </c>
      <c r="J158" s="21">
        <f t="shared" si="9"/>
        <v>10500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4"/>
        <v>31</v>
      </c>
      <c r="C159" s="18">
        <v>45226</v>
      </c>
      <c r="D159" s="19" t="s">
        <v>18</v>
      </c>
      <c r="E159" s="19" t="s">
        <v>855</v>
      </c>
      <c r="F159" s="35">
        <v>110</v>
      </c>
      <c r="G159" s="35">
        <v>131</v>
      </c>
      <c r="H159" s="35">
        <f>131-110</f>
        <v>21</v>
      </c>
      <c r="I159" s="20">
        <v>300</v>
      </c>
      <c r="J159" s="21">
        <f t="shared" si="9"/>
        <v>6300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 t="shared" si="14"/>
        <v>32</v>
      </c>
      <c r="C160" s="18">
        <v>45229</v>
      </c>
      <c r="D160" s="19" t="s">
        <v>18</v>
      </c>
      <c r="E160" s="19" t="s">
        <v>928</v>
      </c>
      <c r="F160" s="35">
        <v>110</v>
      </c>
      <c r="G160" s="35">
        <v>145</v>
      </c>
      <c r="H160" s="35">
        <f>145-110</f>
        <v>35</v>
      </c>
      <c r="I160" s="20">
        <v>300</v>
      </c>
      <c r="J160" s="21">
        <f t="shared" si="9"/>
        <v>10500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si="14"/>
        <v>33</v>
      </c>
      <c r="C161" s="18">
        <v>45229</v>
      </c>
      <c r="D161" s="19" t="s">
        <v>18</v>
      </c>
      <c r="E161" s="19" t="s">
        <v>930</v>
      </c>
      <c r="F161" s="35">
        <v>105</v>
      </c>
      <c r="G161" s="35">
        <v>120</v>
      </c>
      <c r="H161" s="35">
        <f>120-105</f>
        <v>15</v>
      </c>
      <c r="I161" s="20">
        <v>300</v>
      </c>
      <c r="J161" s="21">
        <f t="shared" si="9"/>
        <v>4500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4"/>
        <v>34</v>
      </c>
      <c r="C162" s="18">
        <v>45230</v>
      </c>
      <c r="D162" s="19" t="s">
        <v>18</v>
      </c>
      <c r="E162" s="19" t="s">
        <v>931</v>
      </c>
      <c r="F162" s="35">
        <v>100</v>
      </c>
      <c r="G162" s="35">
        <v>135</v>
      </c>
      <c r="H162" s="35">
        <v>35</v>
      </c>
      <c r="I162" s="20">
        <v>300</v>
      </c>
      <c r="J162" s="21">
        <f t="shared" si="9"/>
        <v>10500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4"/>
        <v>35</v>
      </c>
      <c r="C163" s="18">
        <v>45230</v>
      </c>
      <c r="D163" s="19" t="s">
        <v>18</v>
      </c>
      <c r="E163" s="19" t="s">
        <v>932</v>
      </c>
      <c r="F163" s="35">
        <v>115</v>
      </c>
      <c r="G163" s="35">
        <v>95</v>
      </c>
      <c r="H163" s="35">
        <v>-20</v>
      </c>
      <c r="I163" s="20">
        <v>300</v>
      </c>
      <c r="J163" s="21">
        <f t="shared" si="9"/>
        <v>-6000</v>
      </c>
      <c r="K163" s="7"/>
      <c r="V163" s="5">
        <f t="shared" si="10"/>
        <v>0</v>
      </c>
      <c r="W163" s="5">
        <f t="shared" si="11"/>
        <v>1</v>
      </c>
    </row>
    <row r="164" spans="1:23" s="36" customFormat="1" x14ac:dyDescent="0.3">
      <c r="A164" s="6"/>
      <c r="B164" s="17">
        <f t="shared" si="14"/>
        <v>36</v>
      </c>
      <c r="C164" s="18"/>
      <c r="D164" s="19"/>
      <c r="E164" s="19"/>
      <c r="F164" s="35"/>
      <c r="G164" s="35"/>
      <c r="H164" s="35"/>
      <c r="I164" s="20"/>
      <c r="J164" s="21">
        <f t="shared" si="9"/>
        <v>0</v>
      </c>
      <c r="K164" s="7"/>
      <c r="V164" s="5">
        <f t="shared" si="10"/>
        <v>0</v>
      </c>
      <c r="W164" s="5">
        <f t="shared" si="11"/>
        <v>0</v>
      </c>
    </row>
    <row r="165" spans="1:23" s="36" customFormat="1" hidden="1" x14ac:dyDescent="0.3">
      <c r="A165" s="6"/>
      <c r="B165" s="17">
        <f t="shared" si="14"/>
        <v>37</v>
      </c>
      <c r="C165" s="18"/>
      <c r="D165" s="19"/>
      <c r="E165" s="19"/>
      <c r="F165" s="35"/>
      <c r="G165" s="35"/>
      <c r="H165" s="35"/>
      <c r="I165" s="20"/>
      <c r="J165" s="21">
        <f t="shared" si="9"/>
        <v>0</v>
      </c>
      <c r="K165" s="7"/>
      <c r="V165" s="5">
        <f t="shared" si="10"/>
        <v>0</v>
      </c>
      <c r="W165" s="5">
        <f t="shared" si="11"/>
        <v>0</v>
      </c>
    </row>
    <row r="166" spans="1:23" s="36" customFormat="1" hidden="1" x14ac:dyDescent="0.3">
      <c r="A166" s="6"/>
      <c r="B166" s="17">
        <f t="shared" si="14"/>
        <v>38</v>
      </c>
      <c r="C166" s="18"/>
      <c r="D166" s="19"/>
      <c r="E166" s="19"/>
      <c r="F166" s="35"/>
      <c r="G166" s="35"/>
      <c r="H166" s="35"/>
      <c r="I166" s="20"/>
      <c r="J166" s="21">
        <f t="shared" si="9"/>
        <v>0</v>
      </c>
      <c r="K166" s="7"/>
      <c r="V166" s="5">
        <f t="shared" si="10"/>
        <v>0</v>
      </c>
      <c r="W166" s="5">
        <f t="shared" si="11"/>
        <v>0</v>
      </c>
    </row>
    <row r="167" spans="1:23" s="36" customFormat="1" hidden="1" x14ac:dyDescent="0.3">
      <c r="A167" s="6"/>
      <c r="B167" s="17">
        <f t="shared" si="14"/>
        <v>39</v>
      </c>
      <c r="C167" s="18"/>
      <c r="D167" s="19"/>
      <c r="E167" s="19"/>
      <c r="F167" s="35"/>
      <c r="G167" s="35"/>
      <c r="H167" s="35"/>
      <c r="I167" s="20"/>
      <c r="J167" s="21">
        <f t="shared" si="9"/>
        <v>0</v>
      </c>
      <c r="K167" s="7"/>
      <c r="V167" s="5">
        <f t="shared" si="10"/>
        <v>0</v>
      </c>
      <c r="W167" s="5">
        <f t="shared" si="11"/>
        <v>0</v>
      </c>
    </row>
    <row r="168" spans="1:23" s="36" customFormat="1" hidden="1" x14ac:dyDescent="0.3">
      <c r="A168" s="6"/>
      <c r="B168" s="17">
        <f t="shared" si="14"/>
        <v>40</v>
      </c>
      <c r="C168" s="18"/>
      <c r="D168" s="19"/>
      <c r="E168" s="19"/>
      <c r="F168" s="35"/>
      <c r="G168" s="35"/>
      <c r="H168" s="35"/>
      <c r="I168" s="20"/>
      <c r="J168" s="21">
        <f t="shared" si="9"/>
        <v>0</v>
      </c>
      <c r="K168" s="7"/>
      <c r="V168" s="5">
        <f t="shared" si="10"/>
        <v>0</v>
      </c>
      <c r="W168" s="5">
        <f t="shared" si="11"/>
        <v>0</v>
      </c>
    </row>
    <row r="169" spans="1:23" s="36" customFormat="1" hidden="1" x14ac:dyDescent="0.3">
      <c r="A169" s="6"/>
      <c r="B169" s="17">
        <f t="shared" si="14"/>
        <v>41</v>
      </c>
      <c r="C169" s="18"/>
      <c r="D169" s="19"/>
      <c r="E169" s="19"/>
      <c r="F169" s="35"/>
      <c r="G169" s="35"/>
      <c r="H169" s="35"/>
      <c r="I169" s="20"/>
      <c r="J169" s="21">
        <f t="shared" si="9"/>
        <v>0</v>
      </c>
      <c r="K169" s="7"/>
      <c r="V169" s="5">
        <f t="shared" si="10"/>
        <v>0</v>
      </c>
      <c r="W169" s="5">
        <f t="shared" si="11"/>
        <v>0</v>
      </c>
    </row>
    <row r="170" spans="1:23" s="36" customFormat="1" hidden="1" x14ac:dyDescent="0.3">
      <c r="A170" s="6"/>
      <c r="B170" s="17">
        <f t="shared" si="14"/>
        <v>42</v>
      </c>
      <c r="C170" s="18"/>
      <c r="D170" s="19"/>
      <c r="E170" s="19"/>
      <c r="F170" s="35"/>
      <c r="G170" s="35"/>
      <c r="H170" s="35"/>
      <c r="I170" s="20"/>
      <c r="J170" s="21">
        <f t="shared" si="9"/>
        <v>0</v>
      </c>
      <c r="K170" s="7"/>
      <c r="V170" s="5">
        <f t="shared" si="10"/>
        <v>0</v>
      </c>
      <c r="W170" s="5">
        <f t="shared" si="11"/>
        <v>0</v>
      </c>
    </row>
    <row r="171" spans="1:23" s="36" customFormat="1" hidden="1" x14ac:dyDescent="0.3">
      <c r="A171" s="6"/>
      <c r="B171" s="17">
        <f t="shared" si="14"/>
        <v>43</v>
      </c>
      <c r="C171" s="18"/>
      <c r="D171" s="19"/>
      <c r="E171" s="19"/>
      <c r="F171" s="35"/>
      <c r="G171" s="35"/>
      <c r="H171" s="35"/>
      <c r="I171" s="20"/>
      <c r="J171" s="21">
        <f t="shared" si="9"/>
        <v>0</v>
      </c>
      <c r="K171" s="7"/>
      <c r="V171" s="5">
        <f t="shared" si="10"/>
        <v>0</v>
      </c>
      <c r="W171" s="5">
        <f t="shared" si="11"/>
        <v>0</v>
      </c>
    </row>
    <row r="172" spans="1:23" s="36" customFormat="1" hidden="1" x14ac:dyDescent="0.3">
      <c r="A172" s="6"/>
      <c r="B172" s="17">
        <f t="shared" si="14"/>
        <v>44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hidden="1" x14ac:dyDescent="0.3">
      <c r="A173" s="6"/>
      <c r="B173" s="17">
        <f t="shared" si="14"/>
        <v>45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ht="15" hidden="1" thickBot="1" x14ac:dyDescent="0.35">
      <c r="A174" s="6"/>
      <c r="B174" s="95">
        <f t="shared" si="14"/>
        <v>46</v>
      </c>
      <c r="C174" s="79"/>
      <c r="D174" s="80"/>
      <c r="E174" s="80"/>
      <c r="F174" s="96"/>
      <c r="G174" s="96"/>
      <c r="H174" s="96"/>
      <c r="I174" s="81"/>
      <c r="J174" s="82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ht="24" thickBot="1" x14ac:dyDescent="0.5">
      <c r="A175" s="6"/>
      <c r="B175" s="165" t="s">
        <v>22</v>
      </c>
      <c r="C175" s="166"/>
      <c r="D175" s="166"/>
      <c r="E175" s="166"/>
      <c r="F175" s="166"/>
      <c r="G175" s="166"/>
      <c r="H175" s="167"/>
      <c r="I175" s="83" t="s">
        <v>23</v>
      </c>
      <c r="J175" s="84">
        <f>SUM(J129:J174)</f>
        <v>210000</v>
      </c>
      <c r="K175" s="7"/>
      <c r="L175" s="5"/>
      <c r="M175" s="5"/>
      <c r="N175" s="5"/>
      <c r="O175" s="5"/>
      <c r="P175" s="5"/>
      <c r="Q175" s="5"/>
      <c r="R175" s="5"/>
      <c r="V175" s="36">
        <f>SUM(V129:V174)</f>
        <v>32</v>
      </c>
      <c r="W175" s="36">
        <f>SUM(W129:W174)</f>
        <v>3</v>
      </c>
    </row>
    <row r="176" spans="1:23" s="36" customFormat="1" ht="30" customHeight="1" thickBot="1" x14ac:dyDescent="0.35">
      <c r="A176" s="30"/>
      <c r="B176" s="31"/>
      <c r="C176" s="31"/>
      <c r="D176" s="31"/>
      <c r="E176" s="31"/>
      <c r="F176" s="31"/>
      <c r="G176" s="31"/>
      <c r="H176" s="32"/>
      <c r="I176" s="31"/>
      <c r="J176" s="32"/>
      <c r="K176" s="33"/>
      <c r="L176" s="5"/>
      <c r="M176" s="5"/>
      <c r="N176" s="5"/>
      <c r="O176" s="5"/>
      <c r="P176" s="5"/>
      <c r="Q176" s="5"/>
      <c r="R176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B121:H121"/>
    <mergeCell ref="B125:J125"/>
    <mergeCell ref="B126:J126"/>
    <mergeCell ref="B127:J127"/>
    <mergeCell ref="B175:H175"/>
  </mergeCells>
  <hyperlinks>
    <hyperlink ref="B59" r:id="rId1" xr:uid="{00000000-0004-0000-2700-000000000000}"/>
    <hyperlink ref="B121" r:id="rId2" xr:uid="{00000000-0004-0000-2700-000001000000}"/>
    <hyperlink ref="B175" r:id="rId3" xr:uid="{00000000-0004-0000-2700-000002000000}"/>
    <hyperlink ref="M1" location="MASTER!A1" display="Back" xr:uid="{00000000-0004-0000-2700-000003000000}"/>
    <hyperlink ref="M6:M7" location="'OCT 2023'!A70" display="EXTRA STOCK FUTURE" xr:uid="{00000000-0004-0000-2700-000004000000}"/>
    <hyperlink ref="M8:M9" location="'OCT 2023'!A140" display="EXTRA NIFTY OPTION" xr:uid="{00000000-0004-0000-2700-000005000000}"/>
    <hyperlink ref="M4:M5" location="'OCT 2023'!A1" display="EXTRA BANKNIFTY OPTION" xr:uid="{00000000-0004-0000-2700-000006000000}"/>
  </hyperlinks>
  <pageMargins left="0" right="0" top="0" bottom="0" header="0" footer="0"/>
  <pageSetup paperSize="9" orientation="portrait" r:id="rId4"/>
  <drawing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W176"/>
  <sheetViews>
    <sheetView topLeftCell="A137" zoomScaleNormal="100" workbookViewId="0">
      <selection activeCell="I156" sqref="I156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1" width="9.109375" style="5" customWidth="1"/>
    <col min="22" max="23" width="9.109375" style="5" hidden="1" customWidth="1"/>
    <col min="24" max="24" width="9.109375" style="5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225" t="s">
        <v>3</v>
      </c>
      <c r="N2" s="226" t="s">
        <v>4</v>
      </c>
      <c r="O2" s="227" t="s">
        <v>5</v>
      </c>
      <c r="P2" s="227" t="s">
        <v>6</v>
      </c>
      <c r="Q2" s="227" t="s">
        <v>7</v>
      </c>
      <c r="R2" s="224" t="s">
        <v>8</v>
      </c>
    </row>
    <row r="3" spans="1:23" ht="16.2" thickBot="1" x14ac:dyDescent="0.35">
      <c r="A3" s="6"/>
      <c r="B3" s="103">
        <v>45231</v>
      </c>
      <c r="C3" s="104"/>
      <c r="D3" s="104"/>
      <c r="E3" s="104"/>
      <c r="F3" s="104"/>
      <c r="G3" s="104"/>
      <c r="H3" s="104"/>
      <c r="I3" s="104"/>
      <c r="J3" s="105"/>
      <c r="K3" s="7"/>
      <c r="M3" s="225"/>
      <c r="N3" s="226"/>
      <c r="O3" s="227"/>
      <c r="P3" s="227"/>
      <c r="Q3" s="227"/>
      <c r="R3" s="224"/>
    </row>
    <row r="4" spans="1:23" ht="16.5" customHeight="1" thickBot="1" x14ac:dyDescent="0.35">
      <c r="A4" s="6"/>
      <c r="B4" s="106" t="s">
        <v>900</v>
      </c>
      <c r="C4" s="107"/>
      <c r="D4" s="107"/>
      <c r="E4" s="107"/>
      <c r="F4" s="107"/>
      <c r="G4" s="107"/>
      <c r="H4" s="107"/>
      <c r="I4" s="107"/>
      <c r="J4" s="108"/>
      <c r="K4" s="7"/>
      <c r="M4" s="221" t="s">
        <v>107</v>
      </c>
      <c r="N4" s="222">
        <f>COUNT(C6:C58)</f>
        <v>26</v>
      </c>
      <c r="O4" s="222">
        <f>V59</f>
        <v>20</v>
      </c>
      <c r="P4" s="222">
        <f>W59</f>
        <v>6</v>
      </c>
      <c r="Q4" s="222">
        <f>N4-O4-P4</f>
        <v>0</v>
      </c>
      <c r="R4" s="220">
        <f>O4/N4</f>
        <v>0.76923076923076927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221"/>
      <c r="N5" s="222"/>
      <c r="O5" s="222"/>
      <c r="P5" s="222"/>
      <c r="Q5" s="222"/>
      <c r="R5" s="220"/>
      <c r="V5" s="5" t="s">
        <v>5</v>
      </c>
      <c r="W5" s="5" t="s">
        <v>6</v>
      </c>
    </row>
    <row r="6" spans="1:23" ht="15" customHeight="1" thickBot="1" x14ac:dyDescent="0.35">
      <c r="A6" s="6"/>
      <c r="B6" s="88">
        <v>1</v>
      </c>
      <c r="C6" s="89">
        <v>45231</v>
      </c>
      <c r="D6" s="90" t="s">
        <v>18</v>
      </c>
      <c r="E6" s="90" t="s">
        <v>768</v>
      </c>
      <c r="F6" s="90">
        <v>140</v>
      </c>
      <c r="G6" s="90">
        <v>230</v>
      </c>
      <c r="H6" s="91">
        <f>230-140</f>
        <v>90</v>
      </c>
      <c r="I6" s="90">
        <v>120</v>
      </c>
      <c r="J6" s="92">
        <f t="shared" ref="J6:J58" si="0">H6*I6</f>
        <v>10800</v>
      </c>
      <c r="K6" s="7"/>
      <c r="M6" s="221" t="s">
        <v>108</v>
      </c>
      <c r="N6" s="222">
        <f>COUNT(C67:C120)</f>
        <v>0</v>
      </c>
      <c r="O6" s="222">
        <f>V121</f>
        <v>0</v>
      </c>
      <c r="P6" s="222">
        <f>W121</f>
        <v>0</v>
      </c>
      <c r="Q6" s="222">
        <v>0</v>
      </c>
      <c r="R6" s="220" t="e">
        <f t="shared" ref="R6" si="1">O6/N6</f>
        <v>#DIV/0!</v>
      </c>
      <c r="V6" s="5">
        <f t="shared" ref="V6:V58" si="2">IF($J6&gt;0,1,0)</f>
        <v>1</v>
      </c>
      <c r="W6" s="5">
        <f t="shared" ref="W6:W58" si="3">IF($J6&lt;0,1,0)</f>
        <v>0</v>
      </c>
    </row>
    <row r="7" spans="1:23" ht="15" thickBot="1" x14ac:dyDescent="0.35">
      <c r="A7" s="6"/>
      <c r="B7" s="17">
        <v>2</v>
      </c>
      <c r="C7" s="85">
        <v>45232</v>
      </c>
      <c r="D7" s="86" t="s">
        <v>18</v>
      </c>
      <c r="E7" s="86" t="s">
        <v>769</v>
      </c>
      <c r="F7" s="86">
        <v>150</v>
      </c>
      <c r="G7" s="86">
        <v>200</v>
      </c>
      <c r="H7" s="87">
        <v>50</v>
      </c>
      <c r="I7" s="86">
        <v>120</v>
      </c>
      <c r="J7" s="21">
        <f t="shared" si="0"/>
        <v>6000</v>
      </c>
      <c r="K7" s="7"/>
      <c r="M7" s="221"/>
      <c r="N7" s="222"/>
      <c r="O7" s="222"/>
      <c r="P7" s="222"/>
      <c r="Q7" s="222"/>
      <c r="R7" s="220"/>
      <c r="V7" s="5">
        <f t="shared" si="2"/>
        <v>1</v>
      </c>
      <c r="W7" s="5">
        <f t="shared" si="3"/>
        <v>0</v>
      </c>
    </row>
    <row r="8" spans="1:23" ht="15" thickBot="1" x14ac:dyDescent="0.35">
      <c r="A8" s="6"/>
      <c r="B8" s="88">
        <v>3</v>
      </c>
      <c r="C8" s="85">
        <v>45233</v>
      </c>
      <c r="D8" s="86" t="s">
        <v>18</v>
      </c>
      <c r="E8" s="86" t="s">
        <v>769</v>
      </c>
      <c r="F8" s="86">
        <v>150</v>
      </c>
      <c r="G8" s="86">
        <v>200</v>
      </c>
      <c r="H8" s="87">
        <v>50</v>
      </c>
      <c r="I8" s="86">
        <v>120</v>
      </c>
      <c r="J8" s="21">
        <f t="shared" si="0"/>
        <v>6000</v>
      </c>
      <c r="K8" s="7"/>
      <c r="M8" s="223" t="s">
        <v>194</v>
      </c>
      <c r="N8" s="222">
        <v>26</v>
      </c>
      <c r="O8" s="222">
        <v>26</v>
      </c>
      <c r="P8" s="222">
        <v>0</v>
      </c>
      <c r="Q8" s="222">
        <v>0</v>
      </c>
      <c r="R8" s="220">
        <f t="shared" ref="R8:R10" si="4">O8/N8</f>
        <v>1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45233</v>
      </c>
      <c r="D9" s="86" t="s">
        <v>18</v>
      </c>
      <c r="E9" s="86" t="s">
        <v>769</v>
      </c>
      <c r="F9" s="86">
        <v>160</v>
      </c>
      <c r="G9" s="86">
        <v>189</v>
      </c>
      <c r="H9" s="87">
        <f>189-160</f>
        <v>29</v>
      </c>
      <c r="I9" s="86">
        <v>120</v>
      </c>
      <c r="J9" s="21">
        <f t="shared" si="0"/>
        <v>3480</v>
      </c>
      <c r="K9" s="7"/>
      <c r="M9" s="223"/>
      <c r="N9" s="222"/>
      <c r="O9" s="222"/>
      <c r="P9" s="222"/>
      <c r="Q9" s="222"/>
      <c r="R9" s="220"/>
      <c r="V9" s="5">
        <f t="shared" si="2"/>
        <v>1</v>
      </c>
      <c r="W9" s="5">
        <f t="shared" si="3"/>
        <v>0</v>
      </c>
    </row>
    <row r="10" spans="1:23" ht="16.5" customHeight="1" thickBot="1" x14ac:dyDescent="0.35">
      <c r="A10" s="6"/>
      <c r="B10" s="88">
        <v>5</v>
      </c>
      <c r="C10" s="85">
        <v>45236</v>
      </c>
      <c r="D10" s="86" t="s">
        <v>18</v>
      </c>
      <c r="E10" s="86" t="s">
        <v>809</v>
      </c>
      <c r="F10" s="86">
        <v>130</v>
      </c>
      <c r="G10" s="86">
        <v>80</v>
      </c>
      <c r="H10" s="87">
        <v>-50</v>
      </c>
      <c r="I10" s="86">
        <v>120</v>
      </c>
      <c r="J10" s="21">
        <f t="shared" si="0"/>
        <v>-6000</v>
      </c>
      <c r="K10" s="7"/>
      <c r="M10" s="218" t="s">
        <v>19</v>
      </c>
      <c r="N10" s="219">
        <f>SUM(N4:N9)</f>
        <v>52</v>
      </c>
      <c r="O10" s="219">
        <v>47</v>
      </c>
      <c r="P10" s="219">
        <f>SUM(P4:P9)</f>
        <v>6</v>
      </c>
      <c r="Q10" s="219">
        <f>SUM(Q4:Q9)</f>
        <v>0</v>
      </c>
      <c r="R10" s="220">
        <f t="shared" si="4"/>
        <v>0.90384615384615385</v>
      </c>
      <c r="V10" s="5">
        <f t="shared" si="2"/>
        <v>0</v>
      </c>
      <c r="W10" s="5">
        <f t="shared" si="3"/>
        <v>1</v>
      </c>
    </row>
    <row r="11" spans="1:23" ht="15.75" customHeight="1" thickBot="1" x14ac:dyDescent="0.35">
      <c r="A11" s="6"/>
      <c r="B11" s="17">
        <v>6</v>
      </c>
      <c r="C11" s="85">
        <v>45237</v>
      </c>
      <c r="D11" s="86" t="s">
        <v>18</v>
      </c>
      <c r="E11" s="86" t="s">
        <v>778</v>
      </c>
      <c r="F11" s="86">
        <v>160</v>
      </c>
      <c r="G11" s="86">
        <v>260</v>
      </c>
      <c r="H11" s="87">
        <v>100</v>
      </c>
      <c r="I11" s="86">
        <v>120</v>
      </c>
      <c r="J11" s="21">
        <f t="shared" si="0"/>
        <v>12000</v>
      </c>
      <c r="K11" s="7"/>
      <c r="M11" s="218"/>
      <c r="N11" s="219"/>
      <c r="O11" s="219"/>
      <c r="P11" s="219"/>
      <c r="Q11" s="219"/>
      <c r="R11" s="220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45237</v>
      </c>
      <c r="D12" s="86" t="s">
        <v>18</v>
      </c>
      <c r="E12" s="86" t="s">
        <v>801</v>
      </c>
      <c r="F12" s="86">
        <v>120</v>
      </c>
      <c r="G12" s="86">
        <v>220</v>
      </c>
      <c r="H12" s="87">
        <v>100</v>
      </c>
      <c r="I12" s="86">
        <v>120</v>
      </c>
      <c r="J12" s="21">
        <f t="shared" si="0"/>
        <v>12000</v>
      </c>
      <c r="K12" s="7"/>
      <c r="M12" s="129" t="s">
        <v>20</v>
      </c>
      <c r="N12" s="130"/>
      <c r="O12" s="131"/>
      <c r="P12" s="138">
        <f>R10</f>
        <v>0.90384615384615385</v>
      </c>
      <c r="Q12" s="139"/>
      <c r="R12" s="140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45238</v>
      </c>
      <c r="D13" s="86" t="s">
        <v>18</v>
      </c>
      <c r="E13" s="86" t="s">
        <v>801</v>
      </c>
      <c r="F13" s="86">
        <v>160</v>
      </c>
      <c r="G13" s="86">
        <v>200</v>
      </c>
      <c r="H13" s="87">
        <f>200-160</f>
        <v>40</v>
      </c>
      <c r="I13" s="86">
        <v>120</v>
      </c>
      <c r="J13" s="21">
        <f t="shared" si="0"/>
        <v>4800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45238</v>
      </c>
      <c r="D14" s="86" t="s">
        <v>18</v>
      </c>
      <c r="E14" s="86" t="s">
        <v>769</v>
      </c>
      <c r="F14" s="86">
        <v>150</v>
      </c>
      <c r="G14" s="86">
        <v>100</v>
      </c>
      <c r="H14" s="87">
        <v>-50</v>
      </c>
      <c r="I14" s="86">
        <v>120</v>
      </c>
      <c r="J14" s="21">
        <f t="shared" si="0"/>
        <v>-6000</v>
      </c>
      <c r="K14" s="7"/>
      <c r="M14" s="132"/>
      <c r="N14" s="133"/>
      <c r="O14" s="134"/>
      <c r="P14" s="141"/>
      <c r="Q14" s="142"/>
      <c r="R14" s="143"/>
      <c r="V14" s="5">
        <f t="shared" si="2"/>
        <v>0</v>
      </c>
      <c r="W14" s="5">
        <f t="shared" si="3"/>
        <v>1</v>
      </c>
    </row>
    <row r="15" spans="1:23" x14ac:dyDescent="0.3">
      <c r="A15" s="6"/>
      <c r="B15" s="17">
        <v>10</v>
      </c>
      <c r="C15" s="85">
        <v>45239</v>
      </c>
      <c r="D15" s="86" t="s">
        <v>18</v>
      </c>
      <c r="E15" s="86" t="s">
        <v>781</v>
      </c>
      <c r="F15" s="86">
        <v>150</v>
      </c>
      <c r="G15" s="86">
        <v>227</v>
      </c>
      <c r="H15" s="87">
        <f>227-150</f>
        <v>77</v>
      </c>
      <c r="I15" s="86">
        <v>120</v>
      </c>
      <c r="J15" s="21">
        <f t="shared" si="0"/>
        <v>9240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85">
        <v>45239</v>
      </c>
      <c r="D16" s="86" t="s">
        <v>18</v>
      </c>
      <c r="E16" s="86" t="s">
        <v>781</v>
      </c>
      <c r="F16" s="86">
        <v>140</v>
      </c>
      <c r="G16" s="86">
        <v>173</v>
      </c>
      <c r="H16" s="87">
        <f>173-140</f>
        <v>33</v>
      </c>
      <c r="I16" s="86">
        <v>120</v>
      </c>
      <c r="J16" s="21">
        <f t="shared" si="0"/>
        <v>3960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85">
        <v>45240</v>
      </c>
      <c r="D17" s="86" t="s">
        <v>18</v>
      </c>
      <c r="E17" s="86" t="s">
        <v>783</v>
      </c>
      <c r="F17" s="86">
        <v>140</v>
      </c>
      <c r="G17" s="86">
        <v>190</v>
      </c>
      <c r="H17" s="87">
        <v>50</v>
      </c>
      <c r="I17" s="86">
        <v>120</v>
      </c>
      <c r="J17" s="21">
        <f t="shared" si="0"/>
        <v>6000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85">
        <v>45240</v>
      </c>
      <c r="D18" s="86" t="s">
        <v>18</v>
      </c>
      <c r="E18" s="86" t="s">
        <v>784</v>
      </c>
      <c r="F18" s="86">
        <v>140</v>
      </c>
      <c r="G18" s="86">
        <v>236</v>
      </c>
      <c r="H18" s="87">
        <f>236-140</f>
        <v>96</v>
      </c>
      <c r="I18" s="86">
        <v>120</v>
      </c>
      <c r="J18" s="21">
        <f t="shared" si="0"/>
        <v>11520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85">
        <v>45250</v>
      </c>
      <c r="D19" s="86" t="s">
        <v>18</v>
      </c>
      <c r="E19" s="86" t="s">
        <v>782</v>
      </c>
      <c r="F19" s="86">
        <v>130</v>
      </c>
      <c r="G19" s="86">
        <v>80</v>
      </c>
      <c r="H19" s="87">
        <v>-50</v>
      </c>
      <c r="I19" s="86">
        <v>120</v>
      </c>
      <c r="J19" s="21">
        <f t="shared" si="0"/>
        <v>-6000</v>
      </c>
      <c r="K19" s="7"/>
      <c r="V19" s="5">
        <f t="shared" si="2"/>
        <v>0</v>
      </c>
      <c r="W19" s="5">
        <f t="shared" si="3"/>
        <v>1</v>
      </c>
    </row>
    <row r="20" spans="1:23" x14ac:dyDescent="0.3">
      <c r="A20" s="6"/>
      <c r="B20" s="88">
        <v>15</v>
      </c>
      <c r="C20" s="85">
        <v>45250</v>
      </c>
      <c r="D20" s="86" t="s">
        <v>18</v>
      </c>
      <c r="E20" s="86" t="s">
        <v>836</v>
      </c>
      <c r="F20" s="86">
        <v>130</v>
      </c>
      <c r="G20" s="86">
        <v>145</v>
      </c>
      <c r="H20" s="87">
        <f>145-130</f>
        <v>15</v>
      </c>
      <c r="I20" s="86">
        <v>120</v>
      </c>
      <c r="J20" s="21">
        <f t="shared" si="0"/>
        <v>1800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85">
        <v>45251</v>
      </c>
      <c r="D21" s="86" t="s">
        <v>18</v>
      </c>
      <c r="E21" s="86" t="s">
        <v>783</v>
      </c>
      <c r="F21" s="86">
        <v>150</v>
      </c>
      <c r="G21" s="86">
        <v>100</v>
      </c>
      <c r="H21" s="87">
        <v>-50</v>
      </c>
      <c r="I21" s="86">
        <v>120</v>
      </c>
      <c r="J21" s="21">
        <f t="shared" si="0"/>
        <v>-6000</v>
      </c>
      <c r="K21" s="7"/>
      <c r="O21" s="22"/>
      <c r="P21" s="22"/>
      <c r="Q21" s="22"/>
      <c r="R21" s="22"/>
      <c r="V21" s="5">
        <f t="shared" si="2"/>
        <v>0</v>
      </c>
      <c r="W21" s="5">
        <f t="shared" si="3"/>
        <v>1</v>
      </c>
    </row>
    <row r="22" spans="1:23" x14ac:dyDescent="0.3">
      <c r="A22" s="6"/>
      <c r="B22" s="88">
        <v>17</v>
      </c>
      <c r="C22" s="18">
        <v>45251</v>
      </c>
      <c r="D22" s="19" t="s">
        <v>18</v>
      </c>
      <c r="E22" s="19" t="s">
        <v>802</v>
      </c>
      <c r="F22" s="35">
        <v>160</v>
      </c>
      <c r="G22" s="35">
        <v>110</v>
      </c>
      <c r="H22" s="35">
        <v>-50</v>
      </c>
      <c r="I22" s="86">
        <v>120</v>
      </c>
      <c r="J22" s="21">
        <f t="shared" si="0"/>
        <v>-6000</v>
      </c>
      <c r="K22" s="7"/>
      <c r="V22" s="5">
        <f t="shared" si="2"/>
        <v>0</v>
      </c>
      <c r="W22" s="5">
        <f t="shared" si="3"/>
        <v>1</v>
      </c>
    </row>
    <row r="23" spans="1:23" x14ac:dyDescent="0.3">
      <c r="A23" s="6"/>
      <c r="B23" s="17">
        <v>18</v>
      </c>
      <c r="C23" s="18">
        <v>45252</v>
      </c>
      <c r="D23" s="19" t="s">
        <v>18</v>
      </c>
      <c r="E23" s="19" t="s">
        <v>769</v>
      </c>
      <c r="F23" s="35">
        <v>120</v>
      </c>
      <c r="G23" s="35">
        <v>137</v>
      </c>
      <c r="H23" s="35">
        <f>137-120</f>
        <v>17</v>
      </c>
      <c r="I23" s="86">
        <v>120</v>
      </c>
      <c r="J23" s="21">
        <f t="shared" si="0"/>
        <v>2040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45253</v>
      </c>
      <c r="D24" s="19" t="s">
        <v>18</v>
      </c>
      <c r="E24" s="19" t="s">
        <v>784</v>
      </c>
      <c r="F24" s="35">
        <v>150</v>
      </c>
      <c r="G24" s="35">
        <v>186</v>
      </c>
      <c r="H24" s="35">
        <f>186-150</f>
        <v>36</v>
      </c>
      <c r="I24" s="20">
        <v>120</v>
      </c>
      <c r="J24" s="21">
        <f t="shared" si="0"/>
        <v>4320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45253</v>
      </c>
      <c r="D25" s="19" t="s">
        <v>18</v>
      </c>
      <c r="E25" s="19" t="s">
        <v>836</v>
      </c>
      <c r="F25" s="35">
        <v>160</v>
      </c>
      <c r="G25" s="35">
        <v>175</v>
      </c>
      <c r="H25" s="35">
        <v>15</v>
      </c>
      <c r="I25" s="20">
        <v>120</v>
      </c>
      <c r="J25" s="21">
        <f t="shared" si="0"/>
        <v>1800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45254</v>
      </c>
      <c r="D26" s="19" t="s">
        <v>18</v>
      </c>
      <c r="E26" s="19" t="s">
        <v>778</v>
      </c>
      <c r="F26" s="35">
        <v>160</v>
      </c>
      <c r="G26" s="35">
        <v>182</v>
      </c>
      <c r="H26" s="35">
        <v>22</v>
      </c>
      <c r="I26" s="20">
        <v>120</v>
      </c>
      <c r="J26" s="21">
        <f t="shared" si="0"/>
        <v>2640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45258</v>
      </c>
      <c r="D27" s="19" t="s">
        <v>18</v>
      </c>
      <c r="E27" s="19" t="s">
        <v>784</v>
      </c>
      <c r="F27" s="35">
        <v>130</v>
      </c>
      <c r="G27" s="35">
        <v>230</v>
      </c>
      <c r="H27" s="19">
        <v>100</v>
      </c>
      <c r="I27" s="20">
        <v>120</v>
      </c>
      <c r="J27" s="21">
        <f t="shared" si="0"/>
        <v>12000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45259</v>
      </c>
      <c r="D28" s="19" t="s">
        <v>18</v>
      </c>
      <c r="E28" s="19" t="s">
        <v>797</v>
      </c>
      <c r="F28" s="35">
        <v>120</v>
      </c>
      <c r="G28" s="35">
        <v>220</v>
      </c>
      <c r="H28" s="19">
        <v>100</v>
      </c>
      <c r="I28" s="20">
        <v>120</v>
      </c>
      <c r="J28" s="21">
        <f t="shared" si="0"/>
        <v>12000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45259</v>
      </c>
      <c r="D29" s="19" t="s">
        <v>18</v>
      </c>
      <c r="E29" s="19" t="s">
        <v>798</v>
      </c>
      <c r="F29" s="20">
        <v>160</v>
      </c>
      <c r="G29" s="20">
        <v>260</v>
      </c>
      <c r="H29" s="19">
        <v>100</v>
      </c>
      <c r="I29" s="20">
        <v>120</v>
      </c>
      <c r="J29" s="21">
        <f t="shared" si="0"/>
        <v>12000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45260</v>
      </c>
      <c r="D30" s="25" t="s">
        <v>18</v>
      </c>
      <c r="E30" s="25" t="s">
        <v>847</v>
      </c>
      <c r="F30" s="26">
        <v>170</v>
      </c>
      <c r="G30" s="61">
        <v>120</v>
      </c>
      <c r="H30" s="61">
        <v>-50</v>
      </c>
      <c r="I30" s="26">
        <v>120</v>
      </c>
      <c r="J30" s="21">
        <f t="shared" si="0"/>
        <v>-6000</v>
      </c>
      <c r="K30" s="7"/>
      <c r="V30" s="5">
        <f t="shared" si="2"/>
        <v>0</v>
      </c>
      <c r="W30" s="5">
        <f t="shared" si="3"/>
        <v>1</v>
      </c>
    </row>
    <row r="31" spans="1:23" x14ac:dyDescent="0.3">
      <c r="A31" s="6"/>
      <c r="B31" s="17">
        <v>26</v>
      </c>
      <c r="C31" s="24">
        <v>45260</v>
      </c>
      <c r="D31" s="25" t="s">
        <v>18</v>
      </c>
      <c r="E31" s="25" t="s">
        <v>847</v>
      </c>
      <c r="F31" s="26">
        <v>100</v>
      </c>
      <c r="G31" s="61">
        <v>140</v>
      </c>
      <c r="H31" s="61">
        <v>40</v>
      </c>
      <c r="I31" s="26">
        <v>120</v>
      </c>
      <c r="J31" s="21">
        <f t="shared" si="0"/>
        <v>4800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/>
      <c r="D32" s="25"/>
      <c r="E32" s="25"/>
      <c r="F32" s="26"/>
      <c r="G32" s="61"/>
      <c r="H32" s="61"/>
      <c r="I32" s="26"/>
      <c r="J32" s="21">
        <f t="shared" si="0"/>
        <v>0</v>
      </c>
      <c r="K32" s="7"/>
      <c r="V32" s="5">
        <f t="shared" si="2"/>
        <v>0</v>
      </c>
      <c r="W32" s="5">
        <f t="shared" si="3"/>
        <v>0</v>
      </c>
    </row>
    <row r="33" spans="1:23" x14ac:dyDescent="0.3">
      <c r="A33" s="6"/>
      <c r="B33" s="17">
        <v>28</v>
      </c>
      <c r="C33" s="24"/>
      <c r="D33" s="25"/>
      <c r="E33" s="25"/>
      <c r="F33" s="26"/>
      <c r="G33" s="61"/>
      <c r="H33" s="61"/>
      <c r="I33" s="26"/>
      <c r="J33" s="21">
        <f t="shared" si="0"/>
        <v>0</v>
      </c>
      <c r="K33" s="7"/>
      <c r="V33" s="5">
        <f t="shared" si="2"/>
        <v>0</v>
      </c>
      <c r="W33" s="5">
        <f t="shared" si="3"/>
        <v>0</v>
      </c>
    </row>
    <row r="34" spans="1:23" x14ac:dyDescent="0.3">
      <c r="A34" s="6"/>
      <c r="B34" s="88">
        <v>29</v>
      </c>
      <c r="C34" s="24"/>
      <c r="D34" s="25"/>
      <c r="E34" s="25"/>
      <c r="F34" s="26"/>
      <c r="G34" s="61"/>
      <c r="H34" s="61"/>
      <c r="I34" s="26"/>
      <c r="J34" s="21">
        <f t="shared" si="0"/>
        <v>0</v>
      </c>
      <c r="K34" s="7"/>
      <c r="V34" s="5">
        <f t="shared" si="2"/>
        <v>0</v>
      </c>
      <c r="W34" s="5">
        <f t="shared" si="3"/>
        <v>0</v>
      </c>
    </row>
    <row r="35" spans="1:23" x14ac:dyDescent="0.3">
      <c r="A35" s="6"/>
      <c r="B35" s="17">
        <v>30</v>
      </c>
      <c r="C35" s="24"/>
      <c r="D35" s="25"/>
      <c r="E35" s="25"/>
      <c r="F35" s="26"/>
      <c r="G35" s="61"/>
      <c r="H35" s="61"/>
      <c r="I35" s="26"/>
      <c r="J35" s="21">
        <f t="shared" si="0"/>
        <v>0</v>
      </c>
      <c r="K35" s="7"/>
      <c r="V35" s="5">
        <f t="shared" si="2"/>
        <v>0</v>
      </c>
      <c r="W35" s="5">
        <f t="shared" si="3"/>
        <v>0</v>
      </c>
    </row>
    <row r="36" spans="1:23" x14ac:dyDescent="0.3">
      <c r="A36" s="6"/>
      <c r="B36" s="88">
        <v>31</v>
      </c>
      <c r="C36" s="24"/>
      <c r="D36" s="25"/>
      <c r="E36" s="25"/>
      <c r="F36" s="26"/>
      <c r="G36" s="61"/>
      <c r="H36" s="61"/>
      <c r="I36" s="26"/>
      <c r="J36" s="21">
        <f t="shared" si="0"/>
        <v>0</v>
      </c>
      <c r="K36" s="7"/>
      <c r="V36" s="5">
        <f t="shared" si="2"/>
        <v>0</v>
      </c>
      <c r="W36" s="5">
        <f t="shared" si="3"/>
        <v>0</v>
      </c>
    </row>
    <row r="37" spans="1:23" x14ac:dyDescent="0.3">
      <c r="A37" s="6"/>
      <c r="B37" s="17">
        <v>32</v>
      </c>
      <c r="C37" s="24"/>
      <c r="D37" s="25"/>
      <c r="E37" s="25"/>
      <c r="F37" s="26"/>
      <c r="G37" s="61"/>
      <c r="H37" s="61"/>
      <c r="I37" s="26"/>
      <c r="J37" s="21">
        <f t="shared" si="0"/>
        <v>0</v>
      </c>
      <c r="K37" s="7"/>
      <c r="V37" s="5">
        <f t="shared" si="2"/>
        <v>0</v>
      </c>
      <c r="W37" s="5">
        <f t="shared" si="3"/>
        <v>0</v>
      </c>
    </row>
    <row r="38" spans="1:23" x14ac:dyDescent="0.3">
      <c r="A38" s="6"/>
      <c r="B38" s="88">
        <v>33</v>
      </c>
      <c r="C38" s="24"/>
      <c r="D38" s="25"/>
      <c r="E38" s="25"/>
      <c r="F38" s="26"/>
      <c r="G38" s="61"/>
      <c r="H38" s="61"/>
      <c r="I38" s="26"/>
      <c r="J38" s="21">
        <f t="shared" si="0"/>
        <v>0</v>
      </c>
      <c r="K38" s="7"/>
      <c r="V38" s="5">
        <f t="shared" si="2"/>
        <v>0</v>
      </c>
      <c r="W38" s="5">
        <f t="shared" si="3"/>
        <v>0</v>
      </c>
    </row>
    <row r="39" spans="1:23" x14ac:dyDescent="0.3">
      <c r="A39" s="6"/>
      <c r="B39" s="17">
        <v>34</v>
      </c>
      <c r="C39" s="24"/>
      <c r="D39" s="25"/>
      <c r="E39" s="25"/>
      <c r="F39" s="26"/>
      <c r="G39" s="61"/>
      <c r="H39" s="61"/>
      <c r="I39" s="26"/>
      <c r="J39" s="21">
        <f t="shared" si="0"/>
        <v>0</v>
      </c>
      <c r="K39" s="7"/>
      <c r="V39" s="5">
        <f t="shared" si="2"/>
        <v>0</v>
      </c>
      <c r="W39" s="5">
        <f t="shared" si="3"/>
        <v>0</v>
      </c>
    </row>
    <row r="40" spans="1:23" x14ac:dyDescent="0.3">
      <c r="A40" s="6"/>
      <c r="B40" s="88">
        <v>35</v>
      </c>
      <c r="C40" s="24"/>
      <c r="D40" s="25"/>
      <c r="E40" s="25"/>
      <c r="F40" s="26"/>
      <c r="G40" s="61"/>
      <c r="H40" s="61"/>
      <c r="I40" s="26"/>
      <c r="J40" s="21">
        <f t="shared" si="0"/>
        <v>0</v>
      </c>
      <c r="K40" s="7"/>
      <c r="V40" s="5">
        <f t="shared" si="2"/>
        <v>0</v>
      </c>
      <c r="W40" s="5">
        <f t="shared" si="3"/>
        <v>0</v>
      </c>
    </row>
    <row r="41" spans="1:23" x14ac:dyDescent="0.3">
      <c r="A41" s="6"/>
      <c r="B41" s="17">
        <v>36</v>
      </c>
      <c r="C41" s="18"/>
      <c r="D41" s="19"/>
      <c r="E41" s="19"/>
      <c r="F41" s="35"/>
      <c r="G41" s="35"/>
      <c r="H41" s="35"/>
      <c r="I41" s="26"/>
      <c r="J41" s="21">
        <f t="shared" si="0"/>
        <v>0</v>
      </c>
      <c r="K41" s="7"/>
      <c r="V41" s="5">
        <f t="shared" si="2"/>
        <v>0</v>
      </c>
      <c r="W41" s="5">
        <f t="shared" si="3"/>
        <v>0</v>
      </c>
    </row>
    <row r="42" spans="1:23" x14ac:dyDescent="0.3">
      <c r="A42" s="6"/>
      <c r="B42" s="17">
        <v>37</v>
      </c>
      <c r="C42" s="18"/>
      <c r="D42" s="19"/>
      <c r="E42" s="19"/>
      <c r="F42" s="35"/>
      <c r="G42" s="35"/>
      <c r="H42" s="35"/>
      <c r="I42" s="26"/>
      <c r="J42" s="21">
        <f t="shared" si="0"/>
        <v>0</v>
      </c>
      <c r="K42" s="7"/>
      <c r="V42" s="5">
        <f t="shared" si="2"/>
        <v>0</v>
      </c>
      <c r="W42" s="5">
        <f t="shared" si="3"/>
        <v>0</v>
      </c>
    </row>
    <row r="43" spans="1:23" x14ac:dyDescent="0.3">
      <c r="A43" s="6"/>
      <c r="B43" s="17">
        <v>38</v>
      </c>
      <c r="C43" s="24"/>
      <c r="D43" s="25"/>
      <c r="E43" s="25"/>
      <c r="F43" s="26"/>
      <c r="G43" s="61"/>
      <c r="H43" s="61"/>
      <c r="I43" s="26"/>
      <c r="J43" s="21">
        <f t="shared" si="0"/>
        <v>0</v>
      </c>
      <c r="K43" s="7"/>
      <c r="V43" s="5">
        <f t="shared" si="2"/>
        <v>0</v>
      </c>
      <c r="W43" s="5">
        <f t="shared" si="3"/>
        <v>0</v>
      </c>
    </row>
    <row r="44" spans="1:23" ht="15" thickBot="1" x14ac:dyDescent="0.35">
      <c r="A44" s="6"/>
      <c r="B44" s="17">
        <v>39</v>
      </c>
      <c r="C44" s="24"/>
      <c r="D44" s="25"/>
      <c r="E44" s="25"/>
      <c r="F44" s="26"/>
      <c r="G44" s="61"/>
      <c r="H44" s="61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ht="15" hidden="1" thickBot="1" x14ac:dyDescent="0.35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ht="15" hidden="1" thickBot="1" x14ac:dyDescent="0.35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ht="15" hidden="1" thickBot="1" x14ac:dyDescent="0.35">
      <c r="A47" s="6"/>
      <c r="B47" s="88">
        <v>39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ht="15" hidden="1" thickBot="1" x14ac:dyDescent="0.35">
      <c r="A48" s="6"/>
      <c r="B48" s="17">
        <v>40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ht="15" hidden="1" thickBot="1" x14ac:dyDescent="0.35">
      <c r="A49" s="6"/>
      <c r="B49" s="88">
        <v>41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ht="15" hidden="1" thickBot="1" x14ac:dyDescent="0.35">
      <c r="A50" s="6"/>
      <c r="B50" s="17">
        <v>42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t="15" hidden="1" thickBot="1" x14ac:dyDescent="0.35">
      <c r="A51" s="6"/>
      <c r="B51" s="88">
        <v>43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t="15" hidden="1" thickBot="1" x14ac:dyDescent="0.35">
      <c r="A52" s="6"/>
      <c r="B52" s="17">
        <v>44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t="15" hidden="1" thickBot="1" x14ac:dyDescent="0.35">
      <c r="A53" s="6"/>
      <c r="B53" s="88">
        <v>45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t="15" hidden="1" thickBot="1" x14ac:dyDescent="0.35">
      <c r="A54" s="6"/>
      <c r="B54" s="17">
        <v>46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t="15" hidden="1" thickBot="1" x14ac:dyDescent="0.35">
      <c r="A55" s="6"/>
      <c r="B55" s="88">
        <v>47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t="15" hidden="1" thickBot="1" x14ac:dyDescent="0.35">
      <c r="A56" s="6"/>
      <c r="B56" s="17">
        <v>48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t="15" hidden="1" thickBot="1" x14ac:dyDescent="0.35">
      <c r="A57" s="6"/>
      <c r="B57" s="88">
        <v>49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hidden="1" thickBot="1" x14ac:dyDescent="0.35">
      <c r="A58" s="6"/>
      <c r="B58" s="17">
        <v>50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24" thickBot="1" x14ac:dyDescent="0.5">
      <c r="A59" s="6"/>
      <c r="B59" s="144" t="s">
        <v>22</v>
      </c>
      <c r="C59" s="145"/>
      <c r="D59" s="145"/>
      <c r="E59" s="145"/>
      <c r="F59" s="145"/>
      <c r="G59" s="145"/>
      <c r="H59" s="146"/>
      <c r="I59" s="28" t="s">
        <v>23</v>
      </c>
      <c r="J59" s="29">
        <f>SUM(J6:J58)</f>
        <v>103200</v>
      </c>
      <c r="K59" s="7"/>
      <c r="V59" s="5">
        <f>SUM(V6:V58)</f>
        <v>20</v>
      </c>
      <c r="W59" s="5">
        <f>SUM(W6:W58)</f>
        <v>6</v>
      </c>
    </row>
    <row r="60" spans="1:23" ht="30" customHeight="1" thickBot="1" x14ac:dyDescent="0.35">
      <c r="A60" s="30"/>
      <c r="B60" s="31"/>
      <c r="C60" s="31"/>
      <c r="D60" s="31"/>
      <c r="E60" s="31"/>
      <c r="F60" s="31"/>
      <c r="G60" s="31"/>
      <c r="H60" s="32"/>
      <c r="I60" s="31"/>
      <c r="J60" s="32"/>
      <c r="K60" s="33"/>
      <c r="L60" s="36"/>
      <c r="M60" s="36"/>
      <c r="N60" s="36"/>
      <c r="O60" s="36"/>
      <c r="P60" s="36"/>
      <c r="Q60" s="36"/>
      <c r="R60" s="36"/>
    </row>
    <row r="61" spans="1:23" ht="15" thickBot="1" x14ac:dyDescent="0.35">
      <c r="L61" s="36"/>
      <c r="M61" s="36"/>
      <c r="N61" s="36"/>
      <c r="O61" s="22"/>
      <c r="P61" s="22"/>
      <c r="Q61" s="22"/>
      <c r="R61" s="22"/>
    </row>
    <row r="62" spans="1:23" s="36" customFormat="1" ht="30" customHeight="1" thickBot="1" x14ac:dyDescent="0.35">
      <c r="A62" s="1"/>
      <c r="B62" s="2"/>
      <c r="C62" s="2"/>
      <c r="D62" s="2"/>
      <c r="E62" s="2"/>
      <c r="F62" s="2"/>
      <c r="G62" s="2"/>
      <c r="H62" s="3"/>
      <c r="I62" s="2"/>
      <c r="J62" s="3"/>
      <c r="K62" s="4"/>
    </row>
    <row r="63" spans="1:23" s="36" customFormat="1" ht="25.2" thickBot="1" x14ac:dyDescent="0.35">
      <c r="A63" s="6" t="s">
        <v>1</v>
      </c>
      <c r="B63" s="119" t="s">
        <v>2</v>
      </c>
      <c r="C63" s="120"/>
      <c r="D63" s="120"/>
      <c r="E63" s="120"/>
      <c r="F63" s="120"/>
      <c r="G63" s="120"/>
      <c r="H63" s="120"/>
      <c r="I63" s="120"/>
      <c r="J63" s="121"/>
      <c r="K63" s="7"/>
    </row>
    <row r="64" spans="1:23" s="36" customFormat="1" ht="16.2" thickBot="1" x14ac:dyDescent="0.35">
      <c r="A64" s="6"/>
      <c r="B64" s="168" t="s">
        <v>933</v>
      </c>
      <c r="C64" s="169"/>
      <c r="D64" s="169"/>
      <c r="E64" s="169"/>
      <c r="F64" s="169"/>
      <c r="G64" s="169"/>
      <c r="H64" s="169"/>
      <c r="I64" s="169"/>
      <c r="J64" s="170"/>
      <c r="K64" s="7"/>
      <c r="L64" s="22"/>
    </row>
    <row r="65" spans="1:23" s="36" customFormat="1" ht="16.2" thickBot="1" x14ac:dyDescent="0.35">
      <c r="A65" s="6"/>
      <c r="B65" s="106" t="s">
        <v>90</v>
      </c>
      <c r="C65" s="107"/>
      <c r="D65" s="107"/>
      <c r="E65" s="107"/>
      <c r="F65" s="107"/>
      <c r="G65" s="107"/>
      <c r="H65" s="107"/>
      <c r="I65" s="107"/>
      <c r="J65" s="108"/>
      <c r="K65" s="7"/>
    </row>
    <row r="66" spans="1:23" s="22" customFormat="1" ht="15" thickBot="1" x14ac:dyDescent="0.35">
      <c r="A66" s="69"/>
      <c r="B66" s="8" t="s">
        <v>9</v>
      </c>
      <c r="C66" s="9" t="s">
        <v>10</v>
      </c>
      <c r="D66" s="10" t="s">
        <v>11</v>
      </c>
      <c r="E66" s="10" t="s">
        <v>12</v>
      </c>
      <c r="F66" s="11" t="s">
        <v>65</v>
      </c>
      <c r="G66" s="11" t="s">
        <v>66</v>
      </c>
      <c r="H66" s="12" t="s">
        <v>67</v>
      </c>
      <c r="I66" s="11" t="s">
        <v>68</v>
      </c>
      <c r="J66" s="13" t="s">
        <v>17</v>
      </c>
      <c r="K66" s="76"/>
      <c r="L66" s="36"/>
      <c r="M66" s="36"/>
      <c r="N66" s="36"/>
      <c r="O66" s="36" t="s">
        <v>21</v>
      </c>
      <c r="P66" s="36"/>
      <c r="Q66" s="36"/>
      <c r="R66" s="36"/>
      <c r="V66" s="5" t="s">
        <v>5</v>
      </c>
      <c r="W66" s="5" t="s">
        <v>6</v>
      </c>
    </row>
    <row r="67" spans="1:23" s="36" customFormat="1" x14ac:dyDescent="0.3">
      <c r="A67" s="6"/>
      <c r="B67" s="88">
        <v>1</v>
      </c>
      <c r="C67" s="66"/>
      <c r="D67" s="67"/>
      <c r="E67" s="67"/>
      <c r="F67" s="68"/>
      <c r="G67" s="68"/>
      <c r="H67" s="97"/>
      <c r="I67" s="68"/>
      <c r="J67" s="92">
        <f>H67*I67</f>
        <v>0</v>
      </c>
      <c r="K67" s="7"/>
      <c r="V67" s="5">
        <f t="shared" ref="V67:V120" si="5">IF($J67&gt;0,1,0)</f>
        <v>0</v>
      </c>
      <c r="W67" s="5">
        <f t="shared" ref="W67:W120" si="6">IF($J67&lt;0,1,0)</f>
        <v>0</v>
      </c>
    </row>
    <row r="68" spans="1:23" s="36" customFormat="1" x14ac:dyDescent="0.3">
      <c r="A68" s="6"/>
      <c r="B68" s="17">
        <f>B67+1</f>
        <v>2</v>
      </c>
      <c r="C68" s="66"/>
      <c r="D68" s="67"/>
      <c r="E68" s="67"/>
      <c r="F68" s="97"/>
      <c r="G68" s="97"/>
      <c r="H68" s="97"/>
      <c r="I68" s="20"/>
      <c r="J68" s="21">
        <f>H68*I68</f>
        <v>0</v>
      </c>
      <c r="K68" s="7"/>
      <c r="L68" s="36" t="s">
        <v>21</v>
      </c>
      <c r="V68" s="5">
        <f t="shared" si="5"/>
        <v>0</v>
      </c>
      <c r="W68" s="5">
        <f t="shared" si="6"/>
        <v>0</v>
      </c>
    </row>
    <row r="69" spans="1:23" s="36" customFormat="1" x14ac:dyDescent="0.3">
      <c r="A69" s="6"/>
      <c r="B69" s="17">
        <f t="shared" ref="B69:B120" si="7">B68+1</f>
        <v>3</v>
      </c>
      <c r="C69" s="18"/>
      <c r="D69" s="19"/>
      <c r="E69" s="19"/>
      <c r="F69" s="35"/>
      <c r="G69" s="97"/>
      <c r="H69" s="35"/>
      <c r="I69" s="20"/>
      <c r="J69" s="21">
        <f>H69*I69</f>
        <v>0</v>
      </c>
      <c r="K69" s="7"/>
      <c r="V69" s="5">
        <f t="shared" si="5"/>
        <v>0</v>
      </c>
      <c r="W69" s="5">
        <f t="shared" si="6"/>
        <v>0</v>
      </c>
    </row>
    <row r="70" spans="1:23" s="36" customFormat="1" x14ac:dyDescent="0.3">
      <c r="A70" s="6"/>
      <c r="B70" s="17">
        <f t="shared" si="7"/>
        <v>4</v>
      </c>
      <c r="C70" s="18"/>
      <c r="D70" s="19"/>
      <c r="E70" s="19"/>
      <c r="F70" s="35"/>
      <c r="G70" s="97"/>
      <c r="H70" s="35"/>
      <c r="I70" s="20"/>
      <c r="J70" s="21">
        <f>H70*I70</f>
        <v>0</v>
      </c>
      <c r="K70" s="7"/>
      <c r="V70" s="5">
        <f t="shared" si="5"/>
        <v>0</v>
      </c>
      <c r="W70" s="5">
        <f t="shared" si="6"/>
        <v>0</v>
      </c>
    </row>
    <row r="71" spans="1:23" s="36" customFormat="1" x14ac:dyDescent="0.3">
      <c r="A71" s="6"/>
      <c r="B71" s="17">
        <f t="shared" si="7"/>
        <v>5</v>
      </c>
      <c r="C71" s="18"/>
      <c r="D71" s="19"/>
      <c r="E71" s="19"/>
      <c r="F71" s="35"/>
      <c r="G71" s="97"/>
      <c r="H71" s="35"/>
      <c r="I71" s="20"/>
      <c r="J71" s="21">
        <f>H71*I71</f>
        <v>0</v>
      </c>
      <c r="K71" s="7"/>
      <c r="V71" s="5">
        <f t="shared" si="5"/>
        <v>0</v>
      </c>
      <c r="W71" s="5">
        <f t="shared" si="6"/>
        <v>0</v>
      </c>
    </row>
    <row r="72" spans="1:23" s="36" customFormat="1" hidden="1" x14ac:dyDescent="0.3">
      <c r="A72" s="6"/>
      <c r="B72" s="17">
        <f t="shared" si="7"/>
        <v>6</v>
      </c>
      <c r="C72" s="18"/>
      <c r="D72" s="19"/>
      <c r="E72" s="19"/>
      <c r="F72" s="20"/>
      <c r="G72" s="97"/>
      <c r="H72" s="35"/>
      <c r="I72" s="20"/>
      <c r="J72" s="21">
        <f t="shared" ref="J72:J120" si="8">I72*H72</f>
        <v>0</v>
      </c>
      <c r="K72" s="7"/>
      <c r="V72" s="5">
        <f t="shared" si="5"/>
        <v>0</v>
      </c>
      <c r="W72" s="5">
        <f t="shared" si="6"/>
        <v>0</v>
      </c>
    </row>
    <row r="73" spans="1:23" s="36" customFormat="1" hidden="1" x14ac:dyDescent="0.3">
      <c r="A73" s="6"/>
      <c r="B73" s="17">
        <f t="shared" si="7"/>
        <v>7</v>
      </c>
      <c r="C73" s="18"/>
      <c r="D73" s="19"/>
      <c r="E73" s="19"/>
      <c r="F73" s="35"/>
      <c r="G73" s="97"/>
      <c r="H73" s="35"/>
      <c r="I73" s="20"/>
      <c r="J73" s="21">
        <f t="shared" si="8"/>
        <v>0</v>
      </c>
      <c r="K73" s="7"/>
      <c r="V73" s="5">
        <f t="shared" si="5"/>
        <v>0</v>
      </c>
      <c r="W73" s="5">
        <f t="shared" si="6"/>
        <v>0</v>
      </c>
    </row>
    <row r="74" spans="1:23" s="36" customFormat="1" hidden="1" x14ac:dyDescent="0.3">
      <c r="A74" s="6"/>
      <c r="B74" s="17">
        <f t="shared" si="7"/>
        <v>8</v>
      </c>
      <c r="C74" s="18"/>
      <c r="D74" s="19"/>
      <c r="E74" s="19"/>
      <c r="F74" s="35"/>
      <c r="G74" s="97"/>
      <c r="H74" s="35"/>
      <c r="I74" s="20"/>
      <c r="J74" s="21">
        <f t="shared" si="8"/>
        <v>0</v>
      </c>
      <c r="K74" s="7"/>
      <c r="V74" s="5">
        <f t="shared" si="5"/>
        <v>0</v>
      </c>
      <c r="W74" s="5">
        <f t="shared" si="6"/>
        <v>0</v>
      </c>
    </row>
    <row r="75" spans="1:23" s="36" customFormat="1" hidden="1" x14ac:dyDescent="0.3">
      <c r="A75" s="6"/>
      <c r="B75" s="17">
        <f t="shared" si="7"/>
        <v>9</v>
      </c>
      <c r="C75" s="18"/>
      <c r="D75" s="19"/>
      <c r="E75" s="19"/>
      <c r="F75" s="35"/>
      <c r="G75" s="97"/>
      <c r="H75" s="35"/>
      <c r="I75" s="20"/>
      <c r="J75" s="21">
        <f t="shared" si="8"/>
        <v>0</v>
      </c>
      <c r="K75" s="7"/>
      <c r="V75" s="5">
        <f t="shared" si="5"/>
        <v>0</v>
      </c>
      <c r="W75" s="5">
        <f t="shared" si="6"/>
        <v>0</v>
      </c>
    </row>
    <row r="76" spans="1:23" s="36" customFormat="1" hidden="1" x14ac:dyDescent="0.3">
      <c r="A76" s="6"/>
      <c r="B76" s="17">
        <f t="shared" si="7"/>
        <v>10</v>
      </c>
      <c r="C76" s="18"/>
      <c r="D76" s="19"/>
      <c r="E76" s="19"/>
      <c r="F76" s="35"/>
      <c r="G76" s="97"/>
      <c r="H76" s="35"/>
      <c r="I76" s="20"/>
      <c r="J76" s="21">
        <f t="shared" si="8"/>
        <v>0</v>
      </c>
      <c r="K76" s="7"/>
      <c r="V76" s="5">
        <f t="shared" si="5"/>
        <v>0</v>
      </c>
      <c r="W76" s="5">
        <f t="shared" si="6"/>
        <v>0</v>
      </c>
    </row>
    <row r="77" spans="1:23" s="36" customFormat="1" hidden="1" x14ac:dyDescent="0.3">
      <c r="A77" s="6"/>
      <c r="B77" s="17">
        <f t="shared" si="7"/>
        <v>11</v>
      </c>
      <c r="C77" s="18"/>
      <c r="D77" s="19"/>
      <c r="E77" s="19"/>
      <c r="F77" s="19"/>
      <c r="G77" s="97"/>
      <c r="H77" s="35"/>
      <c r="I77" s="20"/>
      <c r="J77" s="21">
        <f t="shared" si="8"/>
        <v>0</v>
      </c>
      <c r="K77" s="7"/>
      <c r="V77" s="5">
        <f t="shared" si="5"/>
        <v>0</v>
      </c>
      <c r="W77" s="5">
        <f t="shared" si="6"/>
        <v>0</v>
      </c>
    </row>
    <row r="78" spans="1:23" s="36" customFormat="1" hidden="1" x14ac:dyDescent="0.3">
      <c r="A78" s="6"/>
      <c r="B78" s="17">
        <f t="shared" si="7"/>
        <v>12</v>
      </c>
      <c r="C78" s="18"/>
      <c r="D78" s="19"/>
      <c r="E78" s="19"/>
      <c r="F78" s="35"/>
      <c r="G78" s="97"/>
      <c r="H78" s="35"/>
      <c r="I78" s="20"/>
      <c r="J78" s="21">
        <f t="shared" si="8"/>
        <v>0</v>
      </c>
      <c r="K78" s="7"/>
      <c r="V78" s="5">
        <f t="shared" si="5"/>
        <v>0</v>
      </c>
      <c r="W78" s="5">
        <f t="shared" si="6"/>
        <v>0</v>
      </c>
    </row>
    <row r="79" spans="1:23" s="36" customFormat="1" hidden="1" x14ac:dyDescent="0.3">
      <c r="A79" s="6"/>
      <c r="B79" s="17">
        <f t="shared" si="7"/>
        <v>13</v>
      </c>
      <c r="C79" s="18"/>
      <c r="D79" s="19"/>
      <c r="E79" s="19"/>
      <c r="F79" s="77"/>
      <c r="G79" s="97"/>
      <c r="H79" s="78"/>
      <c r="I79" s="20"/>
      <c r="J79" s="21">
        <f t="shared" si="8"/>
        <v>0</v>
      </c>
      <c r="K79" s="7"/>
      <c r="V79" s="5">
        <f t="shared" si="5"/>
        <v>0</v>
      </c>
      <c r="W79" s="5">
        <f t="shared" si="6"/>
        <v>0</v>
      </c>
    </row>
    <row r="80" spans="1:23" s="36" customFormat="1" hidden="1" x14ac:dyDescent="0.3">
      <c r="A80" s="6"/>
      <c r="B80" s="17">
        <f t="shared" si="7"/>
        <v>14</v>
      </c>
      <c r="C80" s="18"/>
      <c r="D80" s="19"/>
      <c r="E80" s="19"/>
      <c r="F80" s="35"/>
      <c r="G80" s="97"/>
      <c r="H80" s="78"/>
      <c r="I80" s="20"/>
      <c r="J80" s="21">
        <f t="shared" si="8"/>
        <v>0</v>
      </c>
      <c r="K80" s="7"/>
      <c r="V80" s="5">
        <f t="shared" si="5"/>
        <v>0</v>
      </c>
      <c r="W80" s="5">
        <f t="shared" si="6"/>
        <v>0</v>
      </c>
    </row>
    <row r="81" spans="1:23" s="36" customFormat="1" hidden="1" x14ac:dyDescent="0.3">
      <c r="A81" s="6"/>
      <c r="B81" s="17">
        <f t="shared" si="7"/>
        <v>15</v>
      </c>
      <c r="C81" s="18"/>
      <c r="D81" s="19"/>
      <c r="E81" s="19"/>
      <c r="F81" s="35"/>
      <c r="G81" s="97"/>
      <c r="H81" s="78"/>
      <c r="I81" s="20"/>
      <c r="J81" s="21">
        <f t="shared" si="8"/>
        <v>0</v>
      </c>
      <c r="K81" s="7"/>
      <c r="V81" s="5">
        <f t="shared" si="5"/>
        <v>0</v>
      </c>
      <c r="W81" s="5">
        <f t="shared" si="6"/>
        <v>0</v>
      </c>
    </row>
    <row r="82" spans="1:23" s="36" customFormat="1" hidden="1" x14ac:dyDescent="0.3">
      <c r="A82" s="6"/>
      <c r="B82" s="17">
        <f t="shared" si="7"/>
        <v>16</v>
      </c>
      <c r="C82" s="18"/>
      <c r="D82" s="19"/>
      <c r="E82" s="19"/>
      <c r="F82" s="35"/>
      <c r="G82" s="97"/>
      <c r="H82" s="35"/>
      <c r="I82" s="20"/>
      <c r="J82" s="21">
        <f t="shared" si="8"/>
        <v>0</v>
      </c>
      <c r="K82" s="7"/>
      <c r="V82" s="5">
        <f t="shared" si="5"/>
        <v>0</v>
      </c>
      <c r="W82" s="5">
        <f t="shared" si="6"/>
        <v>0</v>
      </c>
    </row>
    <row r="83" spans="1:23" s="36" customFormat="1" hidden="1" x14ac:dyDescent="0.3">
      <c r="A83" s="6"/>
      <c r="B83" s="17">
        <f t="shared" si="7"/>
        <v>17</v>
      </c>
      <c r="C83" s="18"/>
      <c r="D83" s="19"/>
      <c r="E83" s="19"/>
      <c r="F83" s="35"/>
      <c r="G83" s="97"/>
      <c r="H83" s="35"/>
      <c r="I83" s="20"/>
      <c r="J83" s="21">
        <f t="shared" si="8"/>
        <v>0</v>
      </c>
      <c r="K83" s="7"/>
      <c r="V83" s="5">
        <f t="shared" si="5"/>
        <v>0</v>
      </c>
      <c r="W83" s="5">
        <f t="shared" si="6"/>
        <v>0</v>
      </c>
    </row>
    <row r="84" spans="1:23" s="36" customFormat="1" hidden="1" x14ac:dyDescent="0.3">
      <c r="A84" s="6"/>
      <c r="B84" s="17">
        <f t="shared" si="7"/>
        <v>18</v>
      </c>
      <c r="C84" s="18"/>
      <c r="D84" s="19"/>
      <c r="E84" s="19"/>
      <c r="F84" s="35"/>
      <c r="G84" s="97"/>
      <c r="H84" s="35"/>
      <c r="I84" s="20"/>
      <c r="J84" s="21">
        <f t="shared" si="8"/>
        <v>0</v>
      </c>
      <c r="K84" s="7"/>
      <c r="V84" s="5">
        <f t="shared" si="5"/>
        <v>0</v>
      </c>
      <c r="W84" s="5">
        <f t="shared" si="6"/>
        <v>0</v>
      </c>
    </row>
    <row r="85" spans="1:23" s="36" customFormat="1" hidden="1" x14ac:dyDescent="0.3">
      <c r="A85" s="6"/>
      <c r="B85" s="17">
        <f t="shared" si="7"/>
        <v>19</v>
      </c>
      <c r="C85" s="18"/>
      <c r="D85" s="19"/>
      <c r="E85" s="19"/>
      <c r="F85" s="35"/>
      <c r="G85" s="97"/>
      <c r="H85" s="35"/>
      <c r="I85" s="20"/>
      <c r="J85" s="21">
        <f t="shared" si="8"/>
        <v>0</v>
      </c>
      <c r="K85" s="7"/>
      <c r="V85" s="5">
        <f t="shared" si="5"/>
        <v>0</v>
      </c>
      <c r="W85" s="5">
        <f t="shared" si="6"/>
        <v>0</v>
      </c>
    </row>
    <row r="86" spans="1:23" s="36" customFormat="1" hidden="1" x14ac:dyDescent="0.3">
      <c r="A86" s="6"/>
      <c r="B86" s="17">
        <f t="shared" si="7"/>
        <v>20</v>
      </c>
      <c r="C86" s="18"/>
      <c r="D86" s="19"/>
      <c r="E86" s="19"/>
      <c r="F86" s="35"/>
      <c r="G86" s="97"/>
      <c r="H86" s="35"/>
      <c r="I86" s="20"/>
      <c r="J86" s="21">
        <f t="shared" si="8"/>
        <v>0</v>
      </c>
      <c r="K86" s="7"/>
      <c r="V86" s="5">
        <f t="shared" si="5"/>
        <v>0</v>
      </c>
      <c r="W86" s="5">
        <f t="shared" si="6"/>
        <v>0</v>
      </c>
    </row>
    <row r="87" spans="1:23" s="36" customFormat="1" hidden="1" x14ac:dyDescent="0.3">
      <c r="A87" s="6"/>
      <c r="B87" s="17">
        <f t="shared" si="7"/>
        <v>21</v>
      </c>
      <c r="C87" s="18"/>
      <c r="D87" s="19"/>
      <c r="E87" s="19"/>
      <c r="F87" s="35"/>
      <c r="G87" s="97"/>
      <c r="H87" s="35"/>
      <c r="I87" s="20"/>
      <c r="J87" s="21">
        <f t="shared" si="8"/>
        <v>0</v>
      </c>
      <c r="K87" s="7"/>
      <c r="V87" s="5">
        <f t="shared" si="5"/>
        <v>0</v>
      </c>
      <c r="W87" s="5">
        <f t="shared" si="6"/>
        <v>0</v>
      </c>
    </row>
    <row r="88" spans="1:23" s="36" customFormat="1" hidden="1" x14ac:dyDescent="0.3">
      <c r="A88" s="6"/>
      <c r="B88" s="17">
        <f t="shared" si="7"/>
        <v>22</v>
      </c>
      <c r="C88" s="18"/>
      <c r="D88" s="19"/>
      <c r="E88" s="19"/>
      <c r="F88" s="77"/>
      <c r="G88" s="97"/>
      <c r="H88" s="78"/>
      <c r="I88" s="20"/>
      <c r="J88" s="21">
        <f t="shared" si="8"/>
        <v>0</v>
      </c>
      <c r="K88" s="7"/>
      <c r="V88" s="5">
        <f t="shared" si="5"/>
        <v>0</v>
      </c>
      <c r="W88" s="5">
        <f t="shared" si="6"/>
        <v>0</v>
      </c>
    </row>
    <row r="89" spans="1:23" s="36" customFormat="1" hidden="1" x14ac:dyDescent="0.3">
      <c r="A89" s="6"/>
      <c r="B89" s="17">
        <f t="shared" si="7"/>
        <v>23</v>
      </c>
      <c r="C89" s="18"/>
      <c r="D89" s="19"/>
      <c r="E89" s="19"/>
      <c r="F89" s="35"/>
      <c r="G89" s="97"/>
      <c r="H89" s="78"/>
      <c r="I89" s="20"/>
      <c r="J89" s="21">
        <f t="shared" si="8"/>
        <v>0</v>
      </c>
      <c r="K89" s="7"/>
      <c r="V89" s="5">
        <f t="shared" si="5"/>
        <v>0</v>
      </c>
      <c r="W89" s="5">
        <f t="shared" si="6"/>
        <v>0</v>
      </c>
    </row>
    <row r="90" spans="1:23" s="36" customFormat="1" hidden="1" x14ac:dyDescent="0.3">
      <c r="A90" s="6"/>
      <c r="B90" s="17">
        <f t="shared" si="7"/>
        <v>24</v>
      </c>
      <c r="C90" s="18"/>
      <c r="D90" s="19"/>
      <c r="E90" s="19"/>
      <c r="F90" s="35"/>
      <c r="G90" s="97"/>
      <c r="H90" s="78"/>
      <c r="I90" s="20"/>
      <c r="J90" s="21">
        <f t="shared" si="8"/>
        <v>0</v>
      </c>
      <c r="K90" s="7"/>
      <c r="V90" s="5">
        <f t="shared" si="5"/>
        <v>0</v>
      </c>
      <c r="W90" s="5">
        <f t="shared" si="6"/>
        <v>0</v>
      </c>
    </row>
    <row r="91" spans="1:23" s="36" customFormat="1" hidden="1" x14ac:dyDescent="0.3">
      <c r="A91" s="6"/>
      <c r="B91" s="17">
        <f t="shared" si="7"/>
        <v>25</v>
      </c>
      <c r="C91" s="18"/>
      <c r="D91" s="19"/>
      <c r="E91" s="19"/>
      <c r="F91" s="35"/>
      <c r="G91" s="97"/>
      <c r="H91" s="35"/>
      <c r="I91" s="20"/>
      <c r="J91" s="21">
        <f t="shared" si="8"/>
        <v>0</v>
      </c>
      <c r="K91" s="7"/>
      <c r="V91" s="5">
        <f t="shared" si="5"/>
        <v>0</v>
      </c>
      <c r="W91" s="5">
        <f t="shared" si="6"/>
        <v>0</v>
      </c>
    </row>
    <row r="92" spans="1:23" s="36" customFormat="1" hidden="1" x14ac:dyDescent="0.3">
      <c r="A92" s="6"/>
      <c r="B92" s="17">
        <f t="shared" si="7"/>
        <v>26</v>
      </c>
      <c r="C92" s="18"/>
      <c r="D92" s="19"/>
      <c r="E92" s="19"/>
      <c r="F92" s="35"/>
      <c r="G92" s="97"/>
      <c r="H92" s="35"/>
      <c r="I92" s="20"/>
      <c r="J92" s="21">
        <f t="shared" si="8"/>
        <v>0</v>
      </c>
      <c r="K92" s="7"/>
      <c r="V92" s="5">
        <f t="shared" si="5"/>
        <v>0</v>
      </c>
      <c r="W92" s="5">
        <f t="shared" si="6"/>
        <v>0</v>
      </c>
    </row>
    <row r="93" spans="1:23" s="36" customFormat="1" hidden="1" x14ac:dyDescent="0.3">
      <c r="A93" s="6"/>
      <c r="B93" s="17">
        <f t="shared" si="7"/>
        <v>27</v>
      </c>
      <c r="C93" s="18"/>
      <c r="D93" s="19"/>
      <c r="E93" s="19"/>
      <c r="F93" s="35"/>
      <c r="G93" s="97"/>
      <c r="H93" s="35"/>
      <c r="I93" s="20"/>
      <c r="J93" s="21">
        <f t="shared" si="8"/>
        <v>0</v>
      </c>
      <c r="K93" s="7"/>
      <c r="V93" s="5">
        <f t="shared" si="5"/>
        <v>0</v>
      </c>
      <c r="W93" s="5">
        <f t="shared" si="6"/>
        <v>0</v>
      </c>
    </row>
    <row r="94" spans="1:23" s="36" customFormat="1" hidden="1" x14ac:dyDescent="0.3">
      <c r="A94" s="6"/>
      <c r="B94" s="17">
        <f t="shared" si="7"/>
        <v>28</v>
      </c>
      <c r="C94" s="18"/>
      <c r="D94" s="19"/>
      <c r="E94" s="19"/>
      <c r="F94" s="35"/>
      <c r="G94" s="97"/>
      <c r="H94" s="35"/>
      <c r="I94" s="20"/>
      <c r="J94" s="21">
        <f t="shared" si="8"/>
        <v>0</v>
      </c>
      <c r="K94" s="7"/>
      <c r="V94" s="5">
        <f t="shared" si="5"/>
        <v>0</v>
      </c>
      <c r="W94" s="5">
        <f t="shared" si="6"/>
        <v>0</v>
      </c>
    </row>
    <row r="95" spans="1:23" s="36" customFormat="1" hidden="1" x14ac:dyDescent="0.3">
      <c r="A95" s="6"/>
      <c r="B95" s="17">
        <f t="shared" si="7"/>
        <v>29</v>
      </c>
      <c r="C95" s="18"/>
      <c r="D95" s="19"/>
      <c r="E95" s="19"/>
      <c r="F95" s="35"/>
      <c r="G95" s="97"/>
      <c r="H95" s="35"/>
      <c r="I95" s="20"/>
      <c r="J95" s="21">
        <f t="shared" si="8"/>
        <v>0</v>
      </c>
      <c r="K95" s="7"/>
      <c r="V95" s="5">
        <f t="shared" si="5"/>
        <v>0</v>
      </c>
      <c r="W95" s="5">
        <f t="shared" si="6"/>
        <v>0</v>
      </c>
    </row>
    <row r="96" spans="1:23" s="36" customFormat="1" hidden="1" x14ac:dyDescent="0.3">
      <c r="A96" s="6"/>
      <c r="B96" s="17">
        <f t="shared" si="7"/>
        <v>30</v>
      </c>
      <c r="C96" s="18"/>
      <c r="D96" s="19"/>
      <c r="E96" s="19"/>
      <c r="F96" s="35"/>
      <c r="G96" s="97"/>
      <c r="H96" s="35"/>
      <c r="I96" s="20"/>
      <c r="J96" s="21">
        <f t="shared" si="8"/>
        <v>0</v>
      </c>
      <c r="K96" s="7"/>
      <c r="V96" s="5">
        <f t="shared" si="5"/>
        <v>0</v>
      </c>
      <c r="W96" s="5">
        <f t="shared" si="6"/>
        <v>0</v>
      </c>
    </row>
    <row r="97" spans="1:23" s="36" customFormat="1" hidden="1" x14ac:dyDescent="0.3">
      <c r="A97" s="6"/>
      <c r="B97" s="17">
        <f t="shared" si="7"/>
        <v>31</v>
      </c>
      <c r="C97" s="18"/>
      <c r="D97" s="19"/>
      <c r="E97" s="19"/>
      <c r="F97" s="35"/>
      <c r="G97" s="97"/>
      <c r="H97" s="35"/>
      <c r="I97" s="20"/>
      <c r="J97" s="21">
        <f t="shared" si="8"/>
        <v>0</v>
      </c>
      <c r="K97" s="7"/>
      <c r="V97" s="5">
        <f t="shared" si="5"/>
        <v>0</v>
      </c>
      <c r="W97" s="5">
        <f t="shared" si="6"/>
        <v>0</v>
      </c>
    </row>
    <row r="98" spans="1:23" s="36" customFormat="1" hidden="1" x14ac:dyDescent="0.3">
      <c r="A98" s="6"/>
      <c r="B98" s="17">
        <f t="shared" si="7"/>
        <v>32</v>
      </c>
      <c r="C98" s="18"/>
      <c r="D98" s="19"/>
      <c r="E98" s="19"/>
      <c r="F98" s="35"/>
      <c r="G98" s="97"/>
      <c r="H98" s="35"/>
      <c r="I98" s="20"/>
      <c r="J98" s="21">
        <f t="shared" si="8"/>
        <v>0</v>
      </c>
      <c r="K98" s="7"/>
      <c r="V98" s="5">
        <f t="shared" si="5"/>
        <v>0</v>
      </c>
      <c r="W98" s="5">
        <f t="shared" si="6"/>
        <v>0</v>
      </c>
    </row>
    <row r="99" spans="1:23" s="36" customFormat="1" hidden="1" x14ac:dyDescent="0.3">
      <c r="A99" s="6"/>
      <c r="B99" s="17">
        <f t="shared" si="7"/>
        <v>33</v>
      </c>
      <c r="C99" s="18"/>
      <c r="D99" s="19"/>
      <c r="E99" s="19"/>
      <c r="F99" s="35"/>
      <c r="G99" s="97"/>
      <c r="H99" s="35"/>
      <c r="I99" s="20"/>
      <c r="J99" s="21">
        <f t="shared" si="8"/>
        <v>0</v>
      </c>
      <c r="K99" s="7"/>
      <c r="V99" s="5">
        <f t="shared" si="5"/>
        <v>0</v>
      </c>
      <c r="W99" s="5">
        <f t="shared" si="6"/>
        <v>0</v>
      </c>
    </row>
    <row r="100" spans="1:23" s="36" customFormat="1" hidden="1" x14ac:dyDescent="0.3">
      <c r="A100" s="6"/>
      <c r="B100" s="17">
        <f t="shared" si="7"/>
        <v>34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hidden="1" x14ac:dyDescent="0.3">
      <c r="A101" s="6"/>
      <c r="B101" s="17">
        <v>35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hidden="1" x14ac:dyDescent="0.3">
      <c r="A102" s="6"/>
      <c r="B102" s="17">
        <v>36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/>
      <c r="W102" s="5"/>
    </row>
    <row r="103" spans="1:23" s="36" customFormat="1" hidden="1" x14ac:dyDescent="0.3">
      <c r="A103" s="6"/>
      <c r="B103" s="17">
        <v>37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/>
      <c r="W103" s="5"/>
    </row>
    <row r="104" spans="1:23" s="36" customFormat="1" hidden="1" x14ac:dyDescent="0.3">
      <c r="A104" s="6"/>
      <c r="B104" s="17">
        <v>38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hidden="1" x14ac:dyDescent="0.3">
      <c r="A105" s="6"/>
      <c r="B105" s="17">
        <v>39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hidden="1" x14ac:dyDescent="0.3">
      <c r="A106" s="6"/>
      <c r="B106" s="17">
        <v>40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hidden="1" x14ac:dyDescent="0.3">
      <c r="A107" s="6"/>
      <c r="B107" s="17">
        <v>41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hidden="1" x14ac:dyDescent="0.3">
      <c r="A108" s="6"/>
      <c r="B108" s="17">
        <v>42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hidden="1" x14ac:dyDescent="0.3">
      <c r="A109" s="6"/>
      <c r="B109" s="17">
        <v>43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hidden="1" x14ac:dyDescent="0.3">
      <c r="A110" s="6"/>
      <c r="B110" s="17">
        <v>40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>
        <f t="shared" si="5"/>
        <v>0</v>
      </c>
      <c r="W110" s="5">
        <f t="shared" si="6"/>
        <v>0</v>
      </c>
    </row>
    <row r="111" spans="1:23" s="36" customFormat="1" hidden="1" x14ac:dyDescent="0.3">
      <c r="A111" s="6"/>
      <c r="B111" s="17">
        <v>41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>
        <f t="shared" si="5"/>
        <v>0</v>
      </c>
      <c r="W111" s="5">
        <f t="shared" si="6"/>
        <v>0</v>
      </c>
    </row>
    <row r="112" spans="1:23" s="36" customFormat="1" hidden="1" x14ac:dyDescent="0.3">
      <c r="A112" s="6"/>
      <c r="B112" s="17">
        <f t="shared" si="7"/>
        <v>42</v>
      </c>
      <c r="C112" s="18"/>
      <c r="D112" s="19"/>
      <c r="E112" s="19"/>
      <c r="F112" s="35"/>
      <c r="G112" s="35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idden="1" x14ac:dyDescent="0.3">
      <c r="A113" s="6"/>
      <c r="B113" s="17">
        <f t="shared" si="7"/>
        <v>43</v>
      </c>
      <c r="C113" s="18"/>
      <c r="D113" s="19"/>
      <c r="E113" s="19"/>
      <c r="F113" s="35"/>
      <c r="G113" s="35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idden="1" x14ac:dyDescent="0.3">
      <c r="A114" s="6"/>
      <c r="B114" s="17">
        <f t="shared" si="7"/>
        <v>44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idden="1" x14ac:dyDescent="0.3">
      <c r="A115" s="6"/>
      <c r="B115" s="17">
        <f t="shared" si="7"/>
        <v>45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idden="1" x14ac:dyDescent="0.3">
      <c r="A116" s="6"/>
      <c r="B116" s="17">
        <f t="shared" si="7"/>
        <v>46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idden="1" x14ac:dyDescent="0.3">
      <c r="A117" s="6"/>
      <c r="B117" s="17">
        <f t="shared" si="7"/>
        <v>47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idden="1" x14ac:dyDescent="0.3">
      <c r="A118" s="6"/>
      <c r="B118" s="17">
        <f t="shared" si="7"/>
        <v>48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x14ac:dyDescent="0.3">
      <c r="A119" s="6"/>
      <c r="B119" s="17">
        <f t="shared" si="7"/>
        <v>49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t="15" thickBot="1" x14ac:dyDescent="0.35">
      <c r="A120" s="6"/>
      <c r="B120" s="17">
        <f t="shared" si="7"/>
        <v>50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t="24" thickBot="1" x14ac:dyDescent="0.5">
      <c r="A121" s="6"/>
      <c r="B121" s="144" t="s">
        <v>22</v>
      </c>
      <c r="C121" s="145"/>
      <c r="D121" s="145"/>
      <c r="E121" s="145"/>
      <c r="F121" s="145"/>
      <c r="G121" s="145"/>
      <c r="H121" s="146"/>
      <c r="I121" s="83" t="s">
        <v>23</v>
      </c>
      <c r="J121" s="84">
        <f>SUM(J67:J120)</f>
        <v>0</v>
      </c>
      <c r="K121" s="7"/>
      <c r="L121" s="5"/>
      <c r="M121" s="5"/>
      <c r="N121" s="5"/>
      <c r="O121" s="5"/>
      <c r="P121" s="5"/>
      <c r="Q121" s="5"/>
      <c r="R121" s="5"/>
      <c r="V121" s="36">
        <f>SUM(V67:V120)</f>
        <v>0</v>
      </c>
      <c r="W121" s="36">
        <f>SUM(W67:W120)</f>
        <v>0</v>
      </c>
    </row>
    <row r="122" spans="1:23" s="36" customFormat="1" ht="30" customHeight="1" thickBot="1" x14ac:dyDescent="0.35">
      <c r="A122" s="30"/>
      <c r="B122" s="31"/>
      <c r="C122" s="31"/>
      <c r="D122" s="31"/>
      <c r="E122" s="31"/>
      <c r="F122" s="31"/>
      <c r="G122" s="31"/>
      <c r="H122" s="32"/>
      <c r="I122" s="31"/>
      <c r="J122" s="32"/>
      <c r="K122" s="33"/>
      <c r="L122" s="5"/>
      <c r="M122" s="5"/>
      <c r="N122" s="5"/>
      <c r="O122" s="5"/>
      <c r="P122" s="5"/>
      <c r="Q122" s="5"/>
      <c r="R122" s="5"/>
    </row>
    <row r="123" spans="1:23" ht="15" thickBot="1" x14ac:dyDescent="0.35"/>
    <row r="124" spans="1:23" s="36" customFormat="1" ht="30" customHeight="1" thickBot="1" x14ac:dyDescent="0.35">
      <c r="A124" s="1"/>
      <c r="B124" s="2"/>
      <c r="C124" s="2"/>
      <c r="D124" s="2"/>
      <c r="E124" s="2"/>
      <c r="F124" s="2"/>
      <c r="G124" s="2"/>
      <c r="H124" s="3"/>
      <c r="I124" s="2"/>
      <c r="J124" s="3"/>
      <c r="K124" s="4"/>
    </row>
    <row r="125" spans="1:23" s="36" customFormat="1" ht="25.2" thickBot="1" x14ac:dyDescent="0.35">
      <c r="A125" s="6" t="s">
        <v>1</v>
      </c>
      <c r="B125" s="119" t="s">
        <v>2</v>
      </c>
      <c r="C125" s="120"/>
      <c r="D125" s="120"/>
      <c r="E125" s="120"/>
      <c r="F125" s="120"/>
      <c r="G125" s="120"/>
      <c r="H125" s="120"/>
      <c r="I125" s="120"/>
      <c r="J125" s="121"/>
      <c r="K125" s="7"/>
    </row>
    <row r="126" spans="1:23" s="36" customFormat="1" ht="16.2" thickBot="1" x14ac:dyDescent="0.35">
      <c r="A126" s="6"/>
      <c r="B126" s="216">
        <v>45231</v>
      </c>
      <c r="C126" s="169"/>
      <c r="D126" s="169"/>
      <c r="E126" s="169"/>
      <c r="F126" s="169"/>
      <c r="G126" s="169"/>
      <c r="H126" s="169"/>
      <c r="I126" s="169"/>
      <c r="J126" s="170"/>
      <c r="K126" s="7"/>
      <c r="L126" s="22"/>
    </row>
    <row r="127" spans="1:23" s="36" customFormat="1" ht="16.2" thickBot="1" x14ac:dyDescent="0.35">
      <c r="A127" s="6"/>
      <c r="B127" s="106" t="s">
        <v>699</v>
      </c>
      <c r="C127" s="107"/>
      <c r="D127" s="107"/>
      <c r="E127" s="107"/>
      <c r="F127" s="107"/>
      <c r="G127" s="107"/>
      <c r="H127" s="107"/>
      <c r="I127" s="107"/>
      <c r="J127" s="108"/>
      <c r="K127" s="7"/>
    </row>
    <row r="128" spans="1:23" s="22" customFormat="1" ht="15" thickBot="1" x14ac:dyDescent="0.35">
      <c r="A128" s="69"/>
      <c r="B128" s="70" t="s">
        <v>9</v>
      </c>
      <c r="C128" s="71" t="s">
        <v>10</v>
      </c>
      <c r="D128" s="72" t="s">
        <v>11</v>
      </c>
      <c r="E128" s="72" t="s">
        <v>12</v>
      </c>
      <c r="F128" s="73" t="s">
        <v>65</v>
      </c>
      <c r="G128" s="73" t="s">
        <v>66</v>
      </c>
      <c r="H128" s="74" t="s">
        <v>67</v>
      </c>
      <c r="I128" s="73" t="s">
        <v>68</v>
      </c>
      <c r="J128" s="75" t="s">
        <v>17</v>
      </c>
      <c r="K128" s="76"/>
      <c r="L128" s="36"/>
      <c r="M128" s="36"/>
      <c r="N128" s="36"/>
      <c r="O128" s="36" t="s">
        <v>21</v>
      </c>
      <c r="P128" s="36"/>
      <c r="Q128" s="36"/>
      <c r="R128" s="36"/>
      <c r="V128" s="5" t="s">
        <v>5</v>
      </c>
      <c r="W128" s="5" t="s">
        <v>6</v>
      </c>
    </row>
    <row r="129" spans="1:23" s="36" customFormat="1" x14ac:dyDescent="0.3">
      <c r="A129" s="6"/>
      <c r="B129" s="14">
        <v>1</v>
      </c>
      <c r="C129" s="93">
        <v>45231</v>
      </c>
      <c r="D129" s="94" t="s">
        <v>18</v>
      </c>
      <c r="E129" s="94" t="s">
        <v>932</v>
      </c>
      <c r="F129" s="60">
        <v>110</v>
      </c>
      <c r="G129" s="60">
        <v>145</v>
      </c>
      <c r="H129" s="60">
        <f>145-110</f>
        <v>35</v>
      </c>
      <c r="I129" s="15">
        <v>300</v>
      </c>
      <c r="J129" s="16">
        <f t="shared" ref="J129:J174" si="9">I129*H129</f>
        <v>10500</v>
      </c>
      <c r="K129" s="7"/>
      <c r="V129" s="5">
        <f t="shared" ref="V129:V174" si="10">IF($J129&gt;0,1,0)</f>
        <v>1</v>
      </c>
      <c r="W129" s="5">
        <f t="shared" ref="W129:W174" si="11">IF($J129&lt;0,1,0)</f>
        <v>0</v>
      </c>
    </row>
    <row r="130" spans="1:23" s="36" customFormat="1" x14ac:dyDescent="0.3">
      <c r="A130" s="6"/>
      <c r="B130" s="17">
        <f>B129+1</f>
        <v>2</v>
      </c>
      <c r="C130" s="18">
        <v>45231</v>
      </c>
      <c r="D130" s="19" t="s">
        <v>18</v>
      </c>
      <c r="E130" s="19" t="s">
        <v>932</v>
      </c>
      <c r="F130" s="35">
        <v>120</v>
      </c>
      <c r="G130" s="35">
        <v>155</v>
      </c>
      <c r="H130" s="35">
        <f>155-120</f>
        <v>35</v>
      </c>
      <c r="I130" s="20">
        <v>300</v>
      </c>
      <c r="J130" s="21">
        <f t="shared" si="9"/>
        <v>10500</v>
      </c>
      <c r="K130" s="7"/>
      <c r="L130" s="36" t="s">
        <v>21</v>
      </c>
      <c r="V130" s="5">
        <f t="shared" si="10"/>
        <v>1</v>
      </c>
      <c r="W130" s="5">
        <f t="shared" si="11"/>
        <v>0</v>
      </c>
    </row>
    <row r="131" spans="1:23" s="36" customFormat="1" x14ac:dyDescent="0.3">
      <c r="A131" s="6"/>
      <c r="B131" s="17">
        <f t="shared" ref="B131:B151" si="12">B130+1</f>
        <v>3</v>
      </c>
      <c r="C131" s="18">
        <v>45232</v>
      </c>
      <c r="D131" s="19" t="s">
        <v>18</v>
      </c>
      <c r="E131" s="19" t="s">
        <v>855</v>
      </c>
      <c r="F131" s="35">
        <v>100</v>
      </c>
      <c r="G131" s="35">
        <v>115</v>
      </c>
      <c r="H131" s="35">
        <v>15</v>
      </c>
      <c r="I131" s="20">
        <v>300</v>
      </c>
      <c r="J131" s="21">
        <f t="shared" si="9"/>
        <v>4500</v>
      </c>
      <c r="K131" s="7"/>
      <c r="V131" s="5">
        <f t="shared" si="10"/>
        <v>1</v>
      </c>
      <c r="W131" s="5">
        <f t="shared" si="11"/>
        <v>0</v>
      </c>
    </row>
    <row r="132" spans="1:23" s="36" customFormat="1" x14ac:dyDescent="0.3">
      <c r="A132" s="6"/>
      <c r="B132" s="17">
        <f t="shared" si="12"/>
        <v>4</v>
      </c>
      <c r="C132" s="18">
        <v>45233</v>
      </c>
      <c r="D132" s="19" t="s">
        <v>18</v>
      </c>
      <c r="E132" s="19" t="s">
        <v>927</v>
      </c>
      <c r="F132" s="35">
        <v>120</v>
      </c>
      <c r="G132" s="35">
        <v>134</v>
      </c>
      <c r="H132" s="35">
        <v>14</v>
      </c>
      <c r="I132" s="20">
        <v>300</v>
      </c>
      <c r="J132" s="21">
        <f t="shared" si="9"/>
        <v>4200</v>
      </c>
      <c r="K132" s="7"/>
      <c r="V132" s="5">
        <f t="shared" si="10"/>
        <v>1</v>
      </c>
      <c r="W132" s="5">
        <f t="shared" si="11"/>
        <v>0</v>
      </c>
    </row>
    <row r="133" spans="1:23" s="36" customFormat="1" x14ac:dyDescent="0.3">
      <c r="A133" s="6"/>
      <c r="B133" s="17">
        <f t="shared" si="12"/>
        <v>5</v>
      </c>
      <c r="C133" s="18">
        <v>45233</v>
      </c>
      <c r="D133" s="19" t="s">
        <v>18</v>
      </c>
      <c r="E133" s="19" t="s">
        <v>927</v>
      </c>
      <c r="F133" s="20">
        <v>100</v>
      </c>
      <c r="G133" s="35">
        <v>110</v>
      </c>
      <c r="H133" s="35">
        <v>10</v>
      </c>
      <c r="I133" s="20">
        <v>300</v>
      </c>
      <c r="J133" s="21">
        <f t="shared" ref="J133:J134" si="13">I132*H132</f>
        <v>4200</v>
      </c>
      <c r="K133" s="7"/>
      <c r="V133" s="5">
        <f t="shared" si="10"/>
        <v>1</v>
      </c>
      <c r="W133" s="5">
        <f t="shared" si="11"/>
        <v>0</v>
      </c>
    </row>
    <row r="134" spans="1:23" s="36" customFormat="1" x14ac:dyDescent="0.3">
      <c r="A134" s="6"/>
      <c r="B134" s="17">
        <f t="shared" si="12"/>
        <v>6</v>
      </c>
      <c r="C134" s="18">
        <v>45236</v>
      </c>
      <c r="D134" s="19" t="s">
        <v>18</v>
      </c>
      <c r="E134" s="19" t="s">
        <v>862</v>
      </c>
      <c r="F134" s="35">
        <v>120</v>
      </c>
      <c r="G134" s="35">
        <v>133</v>
      </c>
      <c r="H134" s="35">
        <f>133-120</f>
        <v>13</v>
      </c>
      <c r="I134" s="20">
        <v>300</v>
      </c>
      <c r="J134" s="21">
        <f t="shared" si="13"/>
        <v>3000</v>
      </c>
      <c r="K134" s="7"/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si="12"/>
        <v>7</v>
      </c>
      <c r="C135" s="18">
        <v>45236</v>
      </c>
      <c r="D135" s="19" t="s">
        <v>18</v>
      </c>
      <c r="E135" s="19" t="s">
        <v>862</v>
      </c>
      <c r="F135" s="35">
        <v>105</v>
      </c>
      <c r="G135" s="35">
        <v>140</v>
      </c>
      <c r="H135" s="35">
        <f>140-105</f>
        <v>35</v>
      </c>
      <c r="I135" s="20">
        <v>300</v>
      </c>
      <c r="J135" s="21">
        <f t="shared" si="9"/>
        <v>10500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8</v>
      </c>
      <c r="C136" s="18">
        <v>45237</v>
      </c>
      <c r="D136" s="19" t="s">
        <v>18</v>
      </c>
      <c r="E136" s="19" t="s">
        <v>866</v>
      </c>
      <c r="F136" s="35">
        <v>100</v>
      </c>
      <c r="G136" s="35">
        <v>106</v>
      </c>
      <c r="H136" s="35">
        <v>6</v>
      </c>
      <c r="I136" s="20">
        <v>300</v>
      </c>
      <c r="J136" s="21">
        <f t="shared" si="9"/>
        <v>1800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9</v>
      </c>
      <c r="C137" s="18">
        <v>45238</v>
      </c>
      <c r="D137" s="19" t="s">
        <v>18</v>
      </c>
      <c r="E137" s="19" t="s">
        <v>867</v>
      </c>
      <c r="F137" s="35">
        <v>105</v>
      </c>
      <c r="G137" s="35">
        <v>120</v>
      </c>
      <c r="H137" s="35">
        <f>120-105</f>
        <v>15</v>
      </c>
      <c r="I137" s="100">
        <v>300</v>
      </c>
      <c r="J137" s="21">
        <f t="shared" si="9"/>
        <v>4500</v>
      </c>
      <c r="K137" s="7"/>
      <c r="V137" s="5">
        <f t="shared" si="10"/>
        <v>1</v>
      </c>
      <c r="W137" s="5">
        <f t="shared" si="11"/>
        <v>0</v>
      </c>
    </row>
    <row r="138" spans="1:23" s="36" customFormat="1" x14ac:dyDescent="0.3">
      <c r="A138" s="6"/>
      <c r="B138" s="17">
        <f t="shared" si="12"/>
        <v>10</v>
      </c>
      <c r="C138" s="18">
        <v>45238</v>
      </c>
      <c r="D138" s="19" t="s">
        <v>18</v>
      </c>
      <c r="E138" s="19" t="s">
        <v>867</v>
      </c>
      <c r="F138" s="35">
        <v>105</v>
      </c>
      <c r="G138" s="35">
        <v>120</v>
      </c>
      <c r="H138" s="35">
        <f>120-105</f>
        <v>15</v>
      </c>
      <c r="I138" s="20">
        <v>300</v>
      </c>
      <c r="J138" s="21">
        <f t="shared" si="9"/>
        <v>4500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11</v>
      </c>
      <c r="C139" s="18">
        <v>45239</v>
      </c>
      <c r="D139" s="19" t="s">
        <v>18</v>
      </c>
      <c r="E139" s="19" t="s">
        <v>862</v>
      </c>
      <c r="F139" s="19">
        <v>120</v>
      </c>
      <c r="G139" s="35">
        <v>148</v>
      </c>
      <c r="H139" s="35">
        <f>148-120</f>
        <v>28</v>
      </c>
      <c r="I139" s="20">
        <v>300</v>
      </c>
      <c r="J139" s="21">
        <f t="shared" si="9"/>
        <v>8400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12</v>
      </c>
      <c r="C140" s="18">
        <v>45239</v>
      </c>
      <c r="D140" s="19" t="s">
        <v>18</v>
      </c>
      <c r="E140" s="19" t="s">
        <v>862</v>
      </c>
      <c r="F140" s="35">
        <v>125</v>
      </c>
      <c r="G140" s="35">
        <v>140</v>
      </c>
      <c r="H140" s="35">
        <f>140-125</f>
        <v>15</v>
      </c>
      <c r="I140" s="20">
        <v>300</v>
      </c>
      <c r="J140" s="21">
        <f t="shared" si="9"/>
        <v>4500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13</v>
      </c>
      <c r="C141" s="18">
        <v>45240</v>
      </c>
      <c r="D141" s="19" t="s">
        <v>18</v>
      </c>
      <c r="E141" s="19" t="s">
        <v>867</v>
      </c>
      <c r="F141" s="35">
        <v>105</v>
      </c>
      <c r="G141" s="35">
        <v>140</v>
      </c>
      <c r="H141" s="35">
        <f>140-105</f>
        <v>35</v>
      </c>
      <c r="I141" s="20">
        <v>300</v>
      </c>
      <c r="J141" s="21">
        <f t="shared" si="9"/>
        <v>10500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14</v>
      </c>
      <c r="C142" s="18">
        <v>45240</v>
      </c>
      <c r="D142" s="19" t="s">
        <v>18</v>
      </c>
      <c r="E142" s="19" t="s">
        <v>862</v>
      </c>
      <c r="F142" s="77">
        <v>115</v>
      </c>
      <c r="G142" s="35">
        <v>148</v>
      </c>
      <c r="H142" s="78">
        <f>148-115</f>
        <v>33</v>
      </c>
      <c r="I142" s="20">
        <v>300</v>
      </c>
      <c r="J142" s="21">
        <f t="shared" si="9"/>
        <v>9900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15</v>
      </c>
      <c r="C143" s="18">
        <v>45250</v>
      </c>
      <c r="D143" s="19" t="s">
        <v>18</v>
      </c>
      <c r="E143" s="19" t="s">
        <v>881</v>
      </c>
      <c r="F143" s="35">
        <v>120</v>
      </c>
      <c r="G143" s="35">
        <v>130</v>
      </c>
      <c r="H143" s="78">
        <v>10</v>
      </c>
      <c r="I143" s="20">
        <v>300</v>
      </c>
      <c r="J143" s="21">
        <f t="shared" si="9"/>
        <v>3000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16</v>
      </c>
      <c r="C144" s="18">
        <v>45250</v>
      </c>
      <c r="D144" s="19" t="s">
        <v>18</v>
      </c>
      <c r="E144" s="19" t="s">
        <v>888</v>
      </c>
      <c r="F144" s="35">
        <v>100</v>
      </c>
      <c r="G144" s="35">
        <v>107</v>
      </c>
      <c r="H144" s="78">
        <v>7</v>
      </c>
      <c r="I144" s="20">
        <v>300</v>
      </c>
      <c r="J144" s="21">
        <f t="shared" si="9"/>
        <v>2100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17</v>
      </c>
      <c r="C145" s="18">
        <v>45251</v>
      </c>
      <c r="D145" s="19" t="s">
        <v>18</v>
      </c>
      <c r="E145" s="19" t="s">
        <v>886</v>
      </c>
      <c r="F145" s="35">
        <v>100</v>
      </c>
      <c r="G145" s="35">
        <v>135</v>
      </c>
      <c r="H145" s="78">
        <v>35</v>
      </c>
      <c r="I145" s="20">
        <v>300</v>
      </c>
      <c r="J145" s="21">
        <f t="shared" si="9"/>
        <v>10500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18</v>
      </c>
      <c r="C146" s="18">
        <v>45251</v>
      </c>
      <c r="D146" s="19" t="s">
        <v>18</v>
      </c>
      <c r="E146" s="19" t="s">
        <v>887</v>
      </c>
      <c r="F146" s="35">
        <v>95</v>
      </c>
      <c r="G146" s="35">
        <v>104</v>
      </c>
      <c r="H146" s="78">
        <f>104-95</f>
        <v>9</v>
      </c>
      <c r="I146" s="20">
        <v>30</v>
      </c>
      <c r="J146" s="21">
        <f t="shared" si="9"/>
        <v>270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19</v>
      </c>
      <c r="C147" s="18">
        <v>45252</v>
      </c>
      <c r="D147" s="19" t="s">
        <v>18</v>
      </c>
      <c r="E147" s="19" t="s">
        <v>886</v>
      </c>
      <c r="F147" s="35">
        <v>85</v>
      </c>
      <c r="G147" s="35">
        <v>106</v>
      </c>
      <c r="H147" s="78">
        <f>106-85</f>
        <v>21</v>
      </c>
      <c r="I147" s="20">
        <v>300</v>
      </c>
      <c r="J147" s="21">
        <f t="shared" si="9"/>
        <v>6300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20</v>
      </c>
      <c r="C148" s="18">
        <v>45252</v>
      </c>
      <c r="D148" s="19" t="s">
        <v>18</v>
      </c>
      <c r="E148" s="19" t="s">
        <v>886</v>
      </c>
      <c r="F148" s="35">
        <v>100</v>
      </c>
      <c r="G148" s="35">
        <v>108</v>
      </c>
      <c r="H148" s="35">
        <v>8</v>
      </c>
      <c r="I148" s="20">
        <v>300</v>
      </c>
      <c r="J148" s="21">
        <f t="shared" si="9"/>
        <v>2400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21</v>
      </c>
      <c r="C149" s="18">
        <v>45253</v>
      </c>
      <c r="D149" s="19" t="s">
        <v>18</v>
      </c>
      <c r="E149" s="19" t="s">
        <v>886</v>
      </c>
      <c r="F149" s="35">
        <v>125</v>
      </c>
      <c r="G149" s="35">
        <v>138</v>
      </c>
      <c r="H149" s="35">
        <f>138-125</f>
        <v>13</v>
      </c>
      <c r="I149" s="20">
        <v>300</v>
      </c>
      <c r="J149" s="21">
        <f t="shared" si="9"/>
        <v>3900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22</v>
      </c>
      <c r="C150" s="18">
        <v>45253</v>
      </c>
      <c r="D150" s="19" t="s">
        <v>18</v>
      </c>
      <c r="E150" s="19" t="s">
        <v>103</v>
      </c>
      <c r="F150" s="35">
        <v>110</v>
      </c>
      <c r="G150" s="35">
        <v>115</v>
      </c>
      <c r="H150" s="35">
        <v>5</v>
      </c>
      <c r="I150" s="20">
        <v>300</v>
      </c>
      <c r="J150" s="21">
        <f t="shared" si="9"/>
        <v>1500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23</v>
      </c>
      <c r="C151" s="18">
        <v>45254</v>
      </c>
      <c r="D151" s="19" t="s">
        <v>18</v>
      </c>
      <c r="E151" s="19" t="s">
        <v>103</v>
      </c>
      <c r="F151" s="35">
        <v>100</v>
      </c>
      <c r="G151" s="35">
        <v>135</v>
      </c>
      <c r="H151" s="35">
        <v>35</v>
      </c>
      <c r="I151" s="20">
        <v>300</v>
      </c>
      <c r="J151" s="21">
        <f t="shared" si="9"/>
        <v>10500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>B151+1</f>
        <v>24</v>
      </c>
      <c r="C152" s="18">
        <v>45258</v>
      </c>
      <c r="D152" s="19" t="s">
        <v>18</v>
      </c>
      <c r="E152" s="19" t="s">
        <v>934</v>
      </c>
      <c r="F152" s="35">
        <v>100</v>
      </c>
      <c r="G152" s="35">
        <v>135</v>
      </c>
      <c r="H152" s="35">
        <v>35</v>
      </c>
      <c r="I152" s="20">
        <v>300</v>
      </c>
      <c r="J152" s="21">
        <f t="shared" si="9"/>
        <v>10500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ref="B153:B174" si="14">B152+1</f>
        <v>25</v>
      </c>
      <c r="C153" s="18">
        <v>45259</v>
      </c>
      <c r="D153" s="19" t="s">
        <v>18</v>
      </c>
      <c r="E153" s="19" t="s">
        <v>935</v>
      </c>
      <c r="F153" s="35">
        <v>100</v>
      </c>
      <c r="G153" s="35">
        <v>135</v>
      </c>
      <c r="H153" s="35">
        <v>35</v>
      </c>
      <c r="I153" s="20">
        <v>300</v>
      </c>
      <c r="J153" s="21">
        <f t="shared" si="9"/>
        <v>10500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 t="shared" si="14"/>
        <v>26</v>
      </c>
      <c r="C154" s="18">
        <v>45260</v>
      </c>
      <c r="D154" s="19" t="s">
        <v>18</v>
      </c>
      <c r="E154" s="19" t="s">
        <v>936</v>
      </c>
      <c r="F154" s="35">
        <v>130</v>
      </c>
      <c r="G154" s="35">
        <v>110</v>
      </c>
      <c r="H154" s="35">
        <v>-20</v>
      </c>
      <c r="I154" s="20">
        <v>300</v>
      </c>
      <c r="J154" s="21">
        <f t="shared" si="9"/>
        <v>-6000</v>
      </c>
      <c r="K154" s="7"/>
      <c r="V154" s="5">
        <f t="shared" si="10"/>
        <v>0</v>
      </c>
      <c r="W154" s="5">
        <f t="shared" si="11"/>
        <v>1</v>
      </c>
    </row>
    <row r="155" spans="1:23" s="36" customFormat="1" x14ac:dyDescent="0.3">
      <c r="A155" s="6"/>
      <c r="B155" s="17">
        <f t="shared" si="14"/>
        <v>27</v>
      </c>
      <c r="C155" s="18">
        <v>45260</v>
      </c>
      <c r="D155" s="19" t="s">
        <v>18</v>
      </c>
      <c r="E155" s="19" t="s">
        <v>936</v>
      </c>
      <c r="F155" s="35">
        <v>85</v>
      </c>
      <c r="G155" s="35">
        <v>135</v>
      </c>
      <c r="H155" s="35">
        <f>135-85</f>
        <v>50</v>
      </c>
      <c r="I155" s="20">
        <v>300</v>
      </c>
      <c r="J155" s="21">
        <f t="shared" si="9"/>
        <v>15000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4"/>
        <v>28</v>
      </c>
      <c r="C156" s="18"/>
      <c r="D156" s="19"/>
      <c r="E156" s="19"/>
      <c r="F156" s="35"/>
      <c r="G156" s="35"/>
      <c r="H156" s="35"/>
      <c r="I156" s="20"/>
      <c r="J156" s="21">
        <f t="shared" si="9"/>
        <v>0</v>
      </c>
      <c r="K156" s="7"/>
      <c r="V156" s="5">
        <f t="shared" si="10"/>
        <v>0</v>
      </c>
      <c r="W156" s="5">
        <f t="shared" si="11"/>
        <v>0</v>
      </c>
    </row>
    <row r="157" spans="1:23" s="36" customFormat="1" x14ac:dyDescent="0.3">
      <c r="A157" s="6"/>
      <c r="B157" s="17">
        <f t="shared" si="14"/>
        <v>29</v>
      </c>
      <c r="C157" s="18"/>
      <c r="D157" s="19"/>
      <c r="E157" s="19"/>
      <c r="F157" s="35"/>
      <c r="G157" s="35"/>
      <c r="H157" s="19"/>
      <c r="I157" s="20"/>
      <c r="J157" s="21">
        <f t="shared" si="9"/>
        <v>0</v>
      </c>
      <c r="K157" s="7"/>
      <c r="V157" s="5">
        <f t="shared" si="10"/>
        <v>0</v>
      </c>
      <c r="W157" s="5">
        <f t="shared" si="11"/>
        <v>0</v>
      </c>
    </row>
    <row r="158" spans="1:23" s="36" customFormat="1" x14ac:dyDescent="0.3">
      <c r="A158" s="6"/>
      <c r="B158" s="17">
        <f t="shared" si="14"/>
        <v>30</v>
      </c>
      <c r="C158" s="18"/>
      <c r="D158" s="19"/>
      <c r="E158" s="19"/>
      <c r="F158" s="35"/>
      <c r="G158" s="35"/>
      <c r="H158" s="35"/>
      <c r="I158" s="20"/>
      <c r="J158" s="21">
        <f t="shared" si="9"/>
        <v>0</v>
      </c>
      <c r="K158" s="7"/>
      <c r="V158" s="5">
        <f t="shared" si="10"/>
        <v>0</v>
      </c>
      <c r="W158" s="5">
        <f t="shared" si="11"/>
        <v>0</v>
      </c>
    </row>
    <row r="159" spans="1:23" s="36" customFormat="1" x14ac:dyDescent="0.3">
      <c r="A159" s="6"/>
      <c r="B159" s="17">
        <f t="shared" si="14"/>
        <v>31</v>
      </c>
      <c r="C159" s="18"/>
      <c r="D159" s="19"/>
      <c r="E159" s="19"/>
      <c r="F159" s="35"/>
      <c r="G159" s="35"/>
      <c r="H159" s="35"/>
      <c r="I159" s="20"/>
      <c r="J159" s="21">
        <f t="shared" si="9"/>
        <v>0</v>
      </c>
      <c r="K159" s="7"/>
      <c r="V159" s="5">
        <f t="shared" si="10"/>
        <v>0</v>
      </c>
      <c r="W159" s="5">
        <f t="shared" si="11"/>
        <v>0</v>
      </c>
    </row>
    <row r="160" spans="1:23" s="36" customFormat="1" x14ac:dyDescent="0.3">
      <c r="A160" s="6"/>
      <c r="B160" s="17">
        <f t="shared" si="14"/>
        <v>32</v>
      </c>
      <c r="C160" s="18"/>
      <c r="D160" s="19"/>
      <c r="E160" s="19"/>
      <c r="F160" s="35"/>
      <c r="G160" s="35"/>
      <c r="H160" s="35"/>
      <c r="I160" s="20"/>
      <c r="J160" s="21">
        <f t="shared" si="9"/>
        <v>0</v>
      </c>
      <c r="K160" s="7"/>
      <c r="V160" s="5">
        <f t="shared" si="10"/>
        <v>0</v>
      </c>
      <c r="W160" s="5">
        <f t="shared" si="11"/>
        <v>0</v>
      </c>
    </row>
    <row r="161" spans="1:23" s="36" customFormat="1" x14ac:dyDescent="0.3">
      <c r="A161" s="6"/>
      <c r="B161" s="17">
        <f t="shared" si="14"/>
        <v>33</v>
      </c>
      <c r="C161" s="18"/>
      <c r="D161" s="19"/>
      <c r="E161" s="19"/>
      <c r="F161" s="35"/>
      <c r="G161" s="35"/>
      <c r="H161" s="35"/>
      <c r="I161" s="20"/>
      <c r="J161" s="21">
        <f t="shared" si="9"/>
        <v>0</v>
      </c>
      <c r="K161" s="7"/>
      <c r="V161" s="5">
        <f t="shared" si="10"/>
        <v>0</v>
      </c>
      <c r="W161" s="5">
        <f t="shared" si="11"/>
        <v>0</v>
      </c>
    </row>
    <row r="162" spans="1:23" s="36" customFormat="1" x14ac:dyDescent="0.3">
      <c r="A162" s="6"/>
      <c r="B162" s="17">
        <f t="shared" si="14"/>
        <v>34</v>
      </c>
      <c r="C162" s="18"/>
      <c r="D162" s="19"/>
      <c r="E162" s="19"/>
      <c r="F162" s="35"/>
      <c r="G162" s="35"/>
      <c r="H162" s="35"/>
      <c r="I162" s="20"/>
      <c r="J162" s="21">
        <f t="shared" si="9"/>
        <v>0</v>
      </c>
      <c r="K162" s="7"/>
      <c r="V162" s="5">
        <f t="shared" si="10"/>
        <v>0</v>
      </c>
      <c r="W162" s="5">
        <f t="shared" si="11"/>
        <v>0</v>
      </c>
    </row>
    <row r="163" spans="1:23" s="36" customFormat="1" x14ac:dyDescent="0.3">
      <c r="A163" s="6"/>
      <c r="B163" s="17">
        <f t="shared" si="14"/>
        <v>35</v>
      </c>
      <c r="C163" s="18"/>
      <c r="D163" s="19"/>
      <c r="E163" s="19"/>
      <c r="F163" s="35"/>
      <c r="G163" s="35"/>
      <c r="H163" s="35"/>
      <c r="I163" s="20"/>
      <c r="J163" s="21">
        <f t="shared" si="9"/>
        <v>0</v>
      </c>
      <c r="K163" s="7"/>
      <c r="V163" s="5">
        <f t="shared" si="10"/>
        <v>0</v>
      </c>
      <c r="W163" s="5">
        <f t="shared" si="11"/>
        <v>0</v>
      </c>
    </row>
    <row r="164" spans="1:23" s="36" customFormat="1" x14ac:dyDescent="0.3">
      <c r="A164" s="6"/>
      <c r="B164" s="17">
        <f t="shared" si="14"/>
        <v>36</v>
      </c>
      <c r="C164" s="18"/>
      <c r="D164" s="19"/>
      <c r="E164" s="19"/>
      <c r="F164" s="35"/>
      <c r="G164" s="35"/>
      <c r="H164" s="35"/>
      <c r="I164" s="20"/>
      <c r="J164" s="21">
        <f t="shared" si="9"/>
        <v>0</v>
      </c>
      <c r="K164" s="7"/>
      <c r="V164" s="5">
        <f t="shared" si="10"/>
        <v>0</v>
      </c>
      <c r="W164" s="5">
        <f t="shared" si="11"/>
        <v>0</v>
      </c>
    </row>
    <row r="165" spans="1:23" s="36" customFormat="1" hidden="1" x14ac:dyDescent="0.3">
      <c r="A165" s="6"/>
      <c r="B165" s="17">
        <f t="shared" si="14"/>
        <v>37</v>
      </c>
      <c r="C165" s="18"/>
      <c r="D165" s="19"/>
      <c r="E165" s="19"/>
      <c r="F165" s="35"/>
      <c r="G165" s="35"/>
      <c r="H165" s="35"/>
      <c r="I165" s="20"/>
      <c r="J165" s="21">
        <f t="shared" si="9"/>
        <v>0</v>
      </c>
      <c r="K165" s="7"/>
      <c r="V165" s="5">
        <f t="shared" si="10"/>
        <v>0</v>
      </c>
      <c r="W165" s="5">
        <f t="shared" si="11"/>
        <v>0</v>
      </c>
    </row>
    <row r="166" spans="1:23" s="36" customFormat="1" hidden="1" x14ac:dyDescent="0.3">
      <c r="A166" s="6"/>
      <c r="B166" s="17">
        <f t="shared" si="14"/>
        <v>38</v>
      </c>
      <c r="C166" s="18"/>
      <c r="D166" s="19"/>
      <c r="E166" s="19"/>
      <c r="F166" s="35"/>
      <c r="G166" s="35"/>
      <c r="H166" s="35"/>
      <c r="I166" s="20"/>
      <c r="J166" s="21">
        <f t="shared" si="9"/>
        <v>0</v>
      </c>
      <c r="K166" s="7"/>
      <c r="V166" s="5">
        <f t="shared" si="10"/>
        <v>0</v>
      </c>
      <c r="W166" s="5">
        <f t="shared" si="11"/>
        <v>0</v>
      </c>
    </row>
    <row r="167" spans="1:23" s="36" customFormat="1" hidden="1" x14ac:dyDescent="0.3">
      <c r="A167" s="6"/>
      <c r="B167" s="17">
        <f t="shared" si="14"/>
        <v>39</v>
      </c>
      <c r="C167" s="18"/>
      <c r="D167" s="19"/>
      <c r="E167" s="19"/>
      <c r="F167" s="35"/>
      <c r="G167" s="35"/>
      <c r="H167" s="35"/>
      <c r="I167" s="20"/>
      <c r="J167" s="21">
        <f t="shared" si="9"/>
        <v>0</v>
      </c>
      <c r="K167" s="7"/>
      <c r="V167" s="5">
        <f t="shared" si="10"/>
        <v>0</v>
      </c>
      <c r="W167" s="5">
        <f t="shared" si="11"/>
        <v>0</v>
      </c>
    </row>
    <row r="168" spans="1:23" s="36" customFormat="1" hidden="1" x14ac:dyDescent="0.3">
      <c r="A168" s="6"/>
      <c r="B168" s="17">
        <f t="shared" si="14"/>
        <v>40</v>
      </c>
      <c r="C168" s="18"/>
      <c r="D168" s="19"/>
      <c r="E168" s="19"/>
      <c r="F168" s="35"/>
      <c r="G168" s="35"/>
      <c r="H168" s="35"/>
      <c r="I168" s="20"/>
      <c r="J168" s="21">
        <f t="shared" si="9"/>
        <v>0</v>
      </c>
      <c r="K168" s="7"/>
      <c r="V168" s="5">
        <f t="shared" si="10"/>
        <v>0</v>
      </c>
      <c r="W168" s="5">
        <f t="shared" si="11"/>
        <v>0</v>
      </c>
    </row>
    <row r="169" spans="1:23" s="36" customFormat="1" hidden="1" x14ac:dyDescent="0.3">
      <c r="A169" s="6"/>
      <c r="B169" s="17">
        <f t="shared" si="14"/>
        <v>41</v>
      </c>
      <c r="C169" s="18"/>
      <c r="D169" s="19"/>
      <c r="E169" s="19"/>
      <c r="F169" s="35"/>
      <c r="G169" s="35"/>
      <c r="H169" s="35"/>
      <c r="I169" s="20"/>
      <c r="J169" s="21">
        <f t="shared" si="9"/>
        <v>0</v>
      </c>
      <c r="K169" s="7"/>
      <c r="V169" s="5">
        <f t="shared" si="10"/>
        <v>0</v>
      </c>
      <c r="W169" s="5">
        <f t="shared" si="11"/>
        <v>0</v>
      </c>
    </row>
    <row r="170" spans="1:23" s="36" customFormat="1" hidden="1" x14ac:dyDescent="0.3">
      <c r="A170" s="6"/>
      <c r="B170" s="17">
        <f t="shared" si="14"/>
        <v>42</v>
      </c>
      <c r="C170" s="18"/>
      <c r="D170" s="19"/>
      <c r="E170" s="19"/>
      <c r="F170" s="35"/>
      <c r="G170" s="35"/>
      <c r="H170" s="35"/>
      <c r="I170" s="20"/>
      <c r="J170" s="21">
        <f t="shared" si="9"/>
        <v>0</v>
      </c>
      <c r="K170" s="7"/>
      <c r="V170" s="5">
        <f t="shared" si="10"/>
        <v>0</v>
      </c>
      <c r="W170" s="5">
        <f t="shared" si="11"/>
        <v>0</v>
      </c>
    </row>
    <row r="171" spans="1:23" s="36" customFormat="1" hidden="1" x14ac:dyDescent="0.3">
      <c r="A171" s="6"/>
      <c r="B171" s="17">
        <f t="shared" si="14"/>
        <v>43</v>
      </c>
      <c r="C171" s="18"/>
      <c r="D171" s="19"/>
      <c r="E171" s="19"/>
      <c r="F171" s="35"/>
      <c r="G171" s="35"/>
      <c r="H171" s="35"/>
      <c r="I171" s="20"/>
      <c r="J171" s="21">
        <f t="shared" si="9"/>
        <v>0</v>
      </c>
      <c r="K171" s="7"/>
      <c r="V171" s="5">
        <f t="shared" si="10"/>
        <v>0</v>
      </c>
      <c r="W171" s="5">
        <f t="shared" si="11"/>
        <v>0</v>
      </c>
    </row>
    <row r="172" spans="1:23" s="36" customFormat="1" hidden="1" x14ac:dyDescent="0.3">
      <c r="A172" s="6"/>
      <c r="B172" s="17">
        <f t="shared" si="14"/>
        <v>44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hidden="1" x14ac:dyDescent="0.3">
      <c r="A173" s="6"/>
      <c r="B173" s="17">
        <f t="shared" si="14"/>
        <v>45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ht="15" hidden="1" thickBot="1" x14ac:dyDescent="0.35">
      <c r="A174" s="6"/>
      <c r="B174" s="95">
        <f t="shared" si="14"/>
        <v>46</v>
      </c>
      <c r="C174" s="79"/>
      <c r="D174" s="80"/>
      <c r="E174" s="80"/>
      <c r="F174" s="96"/>
      <c r="G174" s="96"/>
      <c r="H174" s="96"/>
      <c r="I174" s="81"/>
      <c r="J174" s="82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ht="24" thickBot="1" x14ac:dyDescent="0.5">
      <c r="A175" s="6"/>
      <c r="B175" s="165" t="s">
        <v>22</v>
      </c>
      <c r="C175" s="166"/>
      <c r="D175" s="166"/>
      <c r="E175" s="166"/>
      <c r="F175" s="166"/>
      <c r="G175" s="166"/>
      <c r="H175" s="167"/>
      <c r="I175" s="83" t="s">
        <v>23</v>
      </c>
      <c r="J175" s="84">
        <f>SUM(J129:J174)</f>
        <v>161970</v>
      </c>
      <c r="K175" s="7"/>
      <c r="L175" s="5"/>
      <c r="M175" s="5"/>
      <c r="N175" s="5"/>
      <c r="O175" s="5"/>
      <c r="P175" s="5"/>
      <c r="Q175" s="5"/>
      <c r="R175" s="5"/>
      <c r="V175" s="36">
        <f>SUM(V129:V174)</f>
        <v>26</v>
      </c>
      <c r="W175" s="36">
        <f>SUM(W129:W174)</f>
        <v>1</v>
      </c>
    </row>
    <row r="176" spans="1:23" s="36" customFormat="1" ht="30" customHeight="1" thickBot="1" x14ac:dyDescent="0.35">
      <c r="A176" s="30"/>
      <c r="B176" s="31"/>
      <c r="C176" s="31"/>
      <c r="D176" s="31"/>
      <c r="E176" s="31"/>
      <c r="F176" s="31"/>
      <c r="G176" s="31"/>
      <c r="H176" s="32"/>
      <c r="I176" s="31"/>
      <c r="J176" s="32"/>
      <c r="K176" s="33"/>
      <c r="L176" s="5"/>
      <c r="M176" s="5"/>
      <c r="N176" s="5"/>
      <c r="O176" s="5"/>
      <c r="P176" s="5"/>
      <c r="Q176" s="5"/>
      <c r="R176" s="5"/>
    </row>
  </sheetData>
  <mergeCells count="44">
    <mergeCell ref="B121:H121"/>
    <mergeCell ref="B125:J125"/>
    <mergeCell ref="B126:J126"/>
    <mergeCell ref="B127:J127"/>
    <mergeCell ref="B175:H175"/>
    <mergeCell ref="B65:J65"/>
    <mergeCell ref="M10:M11"/>
    <mergeCell ref="N10:N11"/>
    <mergeCell ref="O10:O11"/>
    <mergeCell ref="P10:P11"/>
    <mergeCell ref="M12:O14"/>
    <mergeCell ref="P12:R14"/>
    <mergeCell ref="B59:H59"/>
    <mergeCell ref="B63:J63"/>
    <mergeCell ref="B64:J64"/>
    <mergeCell ref="Q10:Q11"/>
    <mergeCell ref="R10:R11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59" r:id="rId1" xr:uid="{00000000-0004-0000-2800-000000000000}"/>
    <hyperlink ref="B121" r:id="rId2" xr:uid="{00000000-0004-0000-2800-000001000000}"/>
    <hyperlink ref="B175" r:id="rId3" xr:uid="{00000000-0004-0000-2800-000002000000}"/>
    <hyperlink ref="M1" location="MASTER!A1" display="Back" xr:uid="{00000000-0004-0000-2800-000003000000}"/>
    <hyperlink ref="M6:M7" location="'OCT 2023'!A70" display="EXTRA STOCK FUTURE" xr:uid="{00000000-0004-0000-2800-000004000000}"/>
    <hyperlink ref="M8:M9" location="'OCT 2023'!A140" display="EXTRA NIFTY OPTION" xr:uid="{00000000-0004-0000-2800-000005000000}"/>
    <hyperlink ref="M4:M5" location="'OCT 2023'!A1" display="EXTRA BANKNIFTY OPTION" xr:uid="{00000000-0004-0000-2800-000006000000}"/>
  </hyperlinks>
  <pageMargins left="0" right="0" top="0" bottom="0" header="0" footer="0"/>
  <pageSetup paperSize="9" orientation="portrait" r:id="rId4"/>
  <drawing r:id="rId5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X180"/>
  <sheetViews>
    <sheetView topLeftCell="A159" zoomScaleNormal="100" workbookViewId="0">
      <selection activeCell="M181" sqref="M181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4" width="9.109375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225" t="s">
        <v>3</v>
      </c>
      <c r="N2" s="226" t="s">
        <v>4</v>
      </c>
      <c r="O2" s="227" t="s">
        <v>5</v>
      </c>
      <c r="P2" s="227" t="s">
        <v>6</v>
      </c>
      <c r="Q2" s="227" t="s">
        <v>7</v>
      </c>
      <c r="R2" s="224" t="s">
        <v>8</v>
      </c>
    </row>
    <row r="3" spans="1:23" ht="16.2" thickBot="1" x14ac:dyDescent="0.35">
      <c r="A3" s="6"/>
      <c r="B3" s="103">
        <v>45261</v>
      </c>
      <c r="C3" s="104"/>
      <c r="D3" s="104"/>
      <c r="E3" s="104"/>
      <c r="F3" s="104"/>
      <c r="G3" s="104"/>
      <c r="H3" s="104"/>
      <c r="I3" s="104"/>
      <c r="J3" s="105"/>
      <c r="K3" s="7"/>
      <c r="M3" s="225"/>
      <c r="N3" s="226"/>
      <c r="O3" s="227"/>
      <c r="P3" s="227"/>
      <c r="Q3" s="227"/>
      <c r="R3" s="224"/>
    </row>
    <row r="4" spans="1:23" ht="16.5" customHeight="1" thickBot="1" x14ac:dyDescent="0.35">
      <c r="A4" s="6"/>
      <c r="B4" s="106" t="s">
        <v>900</v>
      </c>
      <c r="C4" s="107"/>
      <c r="D4" s="107"/>
      <c r="E4" s="107"/>
      <c r="F4" s="107"/>
      <c r="G4" s="107"/>
      <c r="H4" s="107"/>
      <c r="I4" s="107"/>
      <c r="J4" s="108"/>
      <c r="K4" s="7"/>
      <c r="M4" s="221" t="s">
        <v>107</v>
      </c>
      <c r="N4" s="222">
        <f>COUNT(C6:C60)</f>
        <v>40</v>
      </c>
      <c r="O4" s="222">
        <f>V61</f>
        <v>36</v>
      </c>
      <c r="P4" s="222">
        <f>W61</f>
        <v>4</v>
      </c>
      <c r="Q4" s="222">
        <f>N4-O4-P4</f>
        <v>0</v>
      </c>
      <c r="R4" s="220">
        <f>O4/N4</f>
        <v>0.9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221"/>
      <c r="N5" s="222"/>
      <c r="O5" s="222"/>
      <c r="P5" s="222"/>
      <c r="Q5" s="222"/>
      <c r="R5" s="220"/>
      <c r="V5" s="5" t="s">
        <v>5</v>
      </c>
      <c r="W5" s="5" t="s">
        <v>6</v>
      </c>
    </row>
    <row r="6" spans="1:23" ht="15" customHeight="1" thickBot="1" x14ac:dyDescent="0.35">
      <c r="A6" s="6"/>
      <c r="B6" s="88">
        <v>1</v>
      </c>
      <c r="C6" s="89">
        <v>45261</v>
      </c>
      <c r="D6" s="90" t="s">
        <v>18</v>
      </c>
      <c r="E6" s="90" t="s">
        <v>872</v>
      </c>
      <c r="F6" s="90">
        <v>150</v>
      </c>
      <c r="G6" s="90">
        <v>250</v>
      </c>
      <c r="H6" s="91">
        <v>100</v>
      </c>
      <c r="I6" s="90">
        <v>120</v>
      </c>
      <c r="J6" s="92">
        <f t="shared" ref="J6:J60" si="0">H6*I6</f>
        <v>12000</v>
      </c>
      <c r="K6" s="7"/>
      <c r="M6" s="221" t="s">
        <v>108</v>
      </c>
      <c r="N6" s="222">
        <f>COUNT(C69:C122)</f>
        <v>0</v>
      </c>
      <c r="O6" s="222">
        <f>V123</f>
        <v>0</v>
      </c>
      <c r="P6" s="222">
        <f>W123</f>
        <v>0</v>
      </c>
      <c r="Q6" s="222">
        <v>0</v>
      </c>
      <c r="R6" s="220" t="e">
        <f t="shared" ref="R6" si="1">O6/N6</f>
        <v>#DIV/0!</v>
      </c>
      <c r="V6" s="5">
        <f t="shared" ref="V6:V60" si="2">IF($J6&gt;0,1,0)</f>
        <v>1</v>
      </c>
      <c r="W6" s="5">
        <f t="shared" ref="W6:W60" si="3">IF($J6&lt;0,1,0)</f>
        <v>0</v>
      </c>
    </row>
    <row r="7" spans="1:23" ht="15" thickBot="1" x14ac:dyDescent="0.35">
      <c r="A7" s="6"/>
      <c r="B7" s="17">
        <v>2</v>
      </c>
      <c r="C7" s="85">
        <v>45261</v>
      </c>
      <c r="D7" s="86" t="s">
        <v>18</v>
      </c>
      <c r="E7" s="86" t="s">
        <v>864</v>
      </c>
      <c r="F7" s="86">
        <v>150</v>
      </c>
      <c r="G7" s="86">
        <v>167</v>
      </c>
      <c r="H7" s="87">
        <v>17</v>
      </c>
      <c r="I7" s="86">
        <v>120</v>
      </c>
      <c r="J7" s="21">
        <f t="shared" si="0"/>
        <v>2040</v>
      </c>
      <c r="K7" s="7"/>
      <c r="M7" s="221"/>
      <c r="N7" s="222"/>
      <c r="O7" s="222"/>
      <c r="P7" s="222"/>
      <c r="Q7" s="222"/>
      <c r="R7" s="220"/>
      <c r="V7" s="5">
        <f t="shared" si="2"/>
        <v>1</v>
      </c>
      <c r="W7" s="5">
        <f t="shared" si="3"/>
        <v>0</v>
      </c>
    </row>
    <row r="8" spans="1:23" ht="15" thickBot="1" x14ac:dyDescent="0.35">
      <c r="A8" s="6"/>
      <c r="B8" s="88">
        <v>3</v>
      </c>
      <c r="C8" s="85">
        <v>45264</v>
      </c>
      <c r="D8" s="86" t="s">
        <v>18</v>
      </c>
      <c r="E8" s="86" t="s">
        <v>914</v>
      </c>
      <c r="F8" s="86">
        <v>170</v>
      </c>
      <c r="G8" s="86">
        <v>270</v>
      </c>
      <c r="H8" s="87">
        <v>100</v>
      </c>
      <c r="I8" s="86">
        <v>120</v>
      </c>
      <c r="J8" s="21">
        <f t="shared" si="0"/>
        <v>12000</v>
      </c>
      <c r="K8" s="7"/>
      <c r="M8" s="223" t="s">
        <v>194</v>
      </c>
      <c r="N8" s="222">
        <f>COUNT(C131:C178)</f>
        <v>38</v>
      </c>
      <c r="O8" s="222">
        <f>V179</f>
        <v>35</v>
      </c>
      <c r="P8" s="222">
        <f>W179</f>
        <v>3</v>
      </c>
      <c r="Q8" s="222">
        <v>0</v>
      </c>
      <c r="R8" s="220">
        <f t="shared" ref="R8:R10" si="4">O8/N8</f>
        <v>0.92105263157894735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45264</v>
      </c>
      <c r="D9" s="86" t="s">
        <v>18</v>
      </c>
      <c r="E9" s="86" t="s">
        <v>899</v>
      </c>
      <c r="F9" s="86">
        <v>150</v>
      </c>
      <c r="G9" s="86">
        <v>250</v>
      </c>
      <c r="H9" s="87">
        <v>100</v>
      </c>
      <c r="I9" s="86">
        <v>120</v>
      </c>
      <c r="J9" s="21">
        <f t="shared" si="0"/>
        <v>12000</v>
      </c>
      <c r="K9" s="7"/>
      <c r="M9" s="223"/>
      <c r="N9" s="222"/>
      <c r="O9" s="222"/>
      <c r="P9" s="222"/>
      <c r="Q9" s="222"/>
      <c r="R9" s="220"/>
      <c r="V9" s="5">
        <f t="shared" si="2"/>
        <v>1</v>
      </c>
      <c r="W9" s="5">
        <f t="shared" si="3"/>
        <v>0</v>
      </c>
    </row>
    <row r="10" spans="1:23" ht="16.5" customHeight="1" thickBot="1" x14ac:dyDescent="0.35">
      <c r="A10" s="6"/>
      <c r="B10" s="88">
        <v>5</v>
      </c>
      <c r="C10" s="85">
        <v>45265</v>
      </c>
      <c r="D10" s="86" t="s">
        <v>18</v>
      </c>
      <c r="E10" s="86" t="s">
        <v>944</v>
      </c>
      <c r="F10" s="86">
        <v>150</v>
      </c>
      <c r="G10" s="86">
        <v>250</v>
      </c>
      <c r="H10" s="87">
        <v>100</v>
      </c>
      <c r="I10" s="86">
        <v>120</v>
      </c>
      <c r="J10" s="21">
        <f t="shared" si="0"/>
        <v>12000</v>
      </c>
      <c r="K10" s="7"/>
      <c r="M10" s="218" t="s">
        <v>19</v>
      </c>
      <c r="N10" s="219">
        <f>SUM(N4:N9)</f>
        <v>78</v>
      </c>
      <c r="O10" s="219">
        <f>SUM(O4:O9)</f>
        <v>71</v>
      </c>
      <c r="P10" s="219">
        <f>SUM(P4:P9)</f>
        <v>7</v>
      </c>
      <c r="Q10" s="219">
        <f>SUM(Q4:Q9)</f>
        <v>0</v>
      </c>
      <c r="R10" s="220">
        <f t="shared" si="4"/>
        <v>0.91025641025641024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45265</v>
      </c>
      <c r="D11" s="86" t="s">
        <v>18</v>
      </c>
      <c r="E11" s="86" t="s">
        <v>945</v>
      </c>
      <c r="F11" s="86">
        <v>140</v>
      </c>
      <c r="G11" s="86">
        <v>90</v>
      </c>
      <c r="H11" s="87">
        <v>-50</v>
      </c>
      <c r="I11" s="86">
        <v>120</v>
      </c>
      <c r="J11" s="21">
        <f t="shared" si="0"/>
        <v>-6000</v>
      </c>
      <c r="K11" s="7"/>
      <c r="M11" s="218"/>
      <c r="N11" s="219"/>
      <c r="O11" s="219"/>
      <c r="P11" s="219"/>
      <c r="Q11" s="219"/>
      <c r="R11" s="220"/>
      <c r="V11" s="5">
        <f t="shared" si="2"/>
        <v>0</v>
      </c>
      <c r="W11" s="5">
        <f t="shared" si="3"/>
        <v>1</v>
      </c>
    </row>
    <row r="12" spans="1:23" ht="15" customHeight="1" x14ac:dyDescent="0.3">
      <c r="A12" s="6"/>
      <c r="B12" s="88">
        <v>7</v>
      </c>
      <c r="C12" s="85">
        <v>45266</v>
      </c>
      <c r="D12" s="86" t="s">
        <v>18</v>
      </c>
      <c r="E12" s="86" t="s">
        <v>946</v>
      </c>
      <c r="F12" s="86">
        <v>170</v>
      </c>
      <c r="G12" s="86">
        <v>220</v>
      </c>
      <c r="H12" s="87">
        <f>220-170</f>
        <v>50</v>
      </c>
      <c r="I12" s="86">
        <v>120</v>
      </c>
      <c r="J12" s="21">
        <f t="shared" si="0"/>
        <v>6000</v>
      </c>
      <c r="K12" s="7"/>
      <c r="M12" s="129" t="s">
        <v>20</v>
      </c>
      <c r="N12" s="130"/>
      <c r="O12" s="131"/>
      <c r="P12" s="138">
        <f>R10</f>
        <v>0.91025641025641024</v>
      </c>
      <c r="Q12" s="139"/>
      <c r="R12" s="140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45266</v>
      </c>
      <c r="D13" s="86" t="s">
        <v>18</v>
      </c>
      <c r="E13" s="86" t="s">
        <v>948</v>
      </c>
      <c r="F13" s="86">
        <v>100</v>
      </c>
      <c r="G13" s="86">
        <v>150</v>
      </c>
      <c r="H13" s="87">
        <v>50</v>
      </c>
      <c r="I13" s="86">
        <v>120</v>
      </c>
      <c r="J13" s="21">
        <f t="shared" si="0"/>
        <v>6000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45267</v>
      </c>
      <c r="D14" s="86" t="s">
        <v>18</v>
      </c>
      <c r="E14" s="86" t="s">
        <v>947</v>
      </c>
      <c r="F14" s="86">
        <v>150</v>
      </c>
      <c r="G14" s="86">
        <v>175</v>
      </c>
      <c r="H14" s="87">
        <v>15</v>
      </c>
      <c r="I14" s="86">
        <v>120</v>
      </c>
      <c r="J14" s="21">
        <f t="shared" si="0"/>
        <v>1800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45267</v>
      </c>
      <c r="D15" s="86" t="s">
        <v>18</v>
      </c>
      <c r="E15" s="86" t="s">
        <v>945</v>
      </c>
      <c r="F15" s="86">
        <v>140</v>
      </c>
      <c r="G15" s="86">
        <v>160</v>
      </c>
      <c r="H15" s="87">
        <v>20</v>
      </c>
      <c r="I15" s="86">
        <v>120</v>
      </c>
      <c r="J15" s="21">
        <f t="shared" si="0"/>
        <v>2400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85">
        <v>45268</v>
      </c>
      <c r="D16" s="86" t="s">
        <v>18</v>
      </c>
      <c r="E16" s="86" t="s">
        <v>945</v>
      </c>
      <c r="F16" s="86">
        <v>150</v>
      </c>
      <c r="G16" s="86">
        <v>183</v>
      </c>
      <c r="H16" s="87">
        <f>183-150</f>
        <v>33</v>
      </c>
      <c r="I16" s="86">
        <v>120</v>
      </c>
      <c r="J16" s="21">
        <f t="shared" si="0"/>
        <v>3960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85">
        <v>45268</v>
      </c>
      <c r="D17" s="86" t="s">
        <v>18</v>
      </c>
      <c r="E17" s="86" t="s">
        <v>945</v>
      </c>
      <c r="F17" s="86">
        <v>140</v>
      </c>
      <c r="G17" s="86">
        <v>90</v>
      </c>
      <c r="H17" s="87">
        <v>-50</v>
      </c>
      <c r="I17" s="86">
        <v>120</v>
      </c>
      <c r="J17" s="21">
        <f t="shared" si="0"/>
        <v>-6000</v>
      </c>
      <c r="K17" s="7"/>
      <c r="V17" s="5">
        <f t="shared" si="2"/>
        <v>0</v>
      </c>
      <c r="W17" s="5">
        <f t="shared" si="3"/>
        <v>1</v>
      </c>
    </row>
    <row r="18" spans="1:23" x14ac:dyDescent="0.3">
      <c r="A18" s="6"/>
      <c r="B18" s="88">
        <v>13</v>
      </c>
      <c r="C18" s="85">
        <v>45271</v>
      </c>
      <c r="D18" s="86" t="s">
        <v>18</v>
      </c>
      <c r="E18" s="86" t="s">
        <v>949</v>
      </c>
      <c r="F18" s="86">
        <v>160</v>
      </c>
      <c r="G18" s="86">
        <v>175</v>
      </c>
      <c r="H18" s="87">
        <v>15</v>
      </c>
      <c r="I18" s="86">
        <v>120</v>
      </c>
      <c r="J18" s="21">
        <f t="shared" si="0"/>
        <v>1800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85">
        <v>45271</v>
      </c>
      <c r="D19" s="86" t="s">
        <v>18</v>
      </c>
      <c r="E19" s="86" t="s">
        <v>949</v>
      </c>
      <c r="F19" s="86">
        <v>130</v>
      </c>
      <c r="G19" s="86">
        <v>145</v>
      </c>
      <c r="H19" s="87">
        <v>15</v>
      </c>
      <c r="I19" s="86">
        <v>120</v>
      </c>
      <c r="J19" s="21">
        <f t="shared" si="0"/>
        <v>1800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85">
        <v>45272</v>
      </c>
      <c r="D20" s="86" t="s">
        <v>18</v>
      </c>
      <c r="E20" s="86" t="s">
        <v>950</v>
      </c>
      <c r="F20" s="86">
        <v>140</v>
      </c>
      <c r="G20" s="86">
        <v>179</v>
      </c>
      <c r="H20" s="87">
        <f>179-140</f>
        <v>39</v>
      </c>
      <c r="I20" s="86">
        <v>120</v>
      </c>
      <c r="J20" s="21">
        <f t="shared" si="0"/>
        <v>4680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85">
        <v>45272</v>
      </c>
      <c r="D21" s="86" t="s">
        <v>18</v>
      </c>
      <c r="E21" s="86" t="s">
        <v>950</v>
      </c>
      <c r="F21" s="86">
        <v>140</v>
      </c>
      <c r="G21" s="86">
        <v>153</v>
      </c>
      <c r="H21" s="87">
        <v>13</v>
      </c>
      <c r="I21" s="86">
        <v>120</v>
      </c>
      <c r="J21" s="21">
        <f t="shared" si="0"/>
        <v>1560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45273</v>
      </c>
      <c r="D22" s="19" t="s">
        <v>18</v>
      </c>
      <c r="E22" s="19" t="s">
        <v>950</v>
      </c>
      <c r="F22" s="35">
        <v>170</v>
      </c>
      <c r="G22" s="35">
        <v>209</v>
      </c>
      <c r="H22" s="35">
        <f>209-170</f>
        <v>39</v>
      </c>
      <c r="I22" s="86">
        <v>120</v>
      </c>
      <c r="J22" s="21">
        <f t="shared" si="0"/>
        <v>4680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45273</v>
      </c>
      <c r="D23" s="19" t="s">
        <v>18</v>
      </c>
      <c r="E23" s="19" t="s">
        <v>950</v>
      </c>
      <c r="F23" s="35">
        <v>120</v>
      </c>
      <c r="G23" s="35">
        <v>153</v>
      </c>
      <c r="H23" s="35">
        <f>153-120</f>
        <v>33</v>
      </c>
      <c r="I23" s="86">
        <v>120</v>
      </c>
      <c r="J23" s="21">
        <f t="shared" si="0"/>
        <v>3960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45274</v>
      </c>
      <c r="D24" s="19" t="s">
        <v>18</v>
      </c>
      <c r="E24" s="19" t="s">
        <v>951</v>
      </c>
      <c r="F24" s="35">
        <v>160</v>
      </c>
      <c r="G24" s="35">
        <v>260</v>
      </c>
      <c r="H24" s="35">
        <v>100</v>
      </c>
      <c r="I24" s="20">
        <v>120</v>
      </c>
      <c r="J24" s="21">
        <f t="shared" si="0"/>
        <v>12000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45274</v>
      </c>
      <c r="D25" s="19" t="s">
        <v>18</v>
      </c>
      <c r="E25" s="19" t="s">
        <v>952</v>
      </c>
      <c r="F25" s="35">
        <v>150</v>
      </c>
      <c r="G25" s="35">
        <v>170</v>
      </c>
      <c r="H25" s="35">
        <v>20</v>
      </c>
      <c r="I25" s="20">
        <v>120</v>
      </c>
      <c r="J25" s="21">
        <f t="shared" si="0"/>
        <v>2400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45275</v>
      </c>
      <c r="D26" s="19" t="s">
        <v>18</v>
      </c>
      <c r="E26" s="19" t="s">
        <v>953</v>
      </c>
      <c r="F26" s="35">
        <v>150</v>
      </c>
      <c r="G26" s="35">
        <v>250</v>
      </c>
      <c r="H26" s="35">
        <v>100</v>
      </c>
      <c r="I26" s="20">
        <v>120</v>
      </c>
      <c r="J26" s="21">
        <f t="shared" si="0"/>
        <v>12000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45275</v>
      </c>
      <c r="D27" s="19" t="s">
        <v>18</v>
      </c>
      <c r="E27" s="19" t="s">
        <v>954</v>
      </c>
      <c r="F27" s="35">
        <v>150</v>
      </c>
      <c r="G27" s="35">
        <v>200</v>
      </c>
      <c r="H27" s="19">
        <v>50</v>
      </c>
      <c r="I27" s="20">
        <v>120</v>
      </c>
      <c r="J27" s="21">
        <f t="shared" si="0"/>
        <v>6000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45278</v>
      </c>
      <c r="D28" s="19" t="s">
        <v>18</v>
      </c>
      <c r="E28" s="19" t="s">
        <v>957</v>
      </c>
      <c r="F28" s="35">
        <v>150</v>
      </c>
      <c r="G28" s="35">
        <v>186</v>
      </c>
      <c r="H28" s="19">
        <f>186-150</f>
        <v>36</v>
      </c>
      <c r="I28" s="20">
        <v>120</v>
      </c>
      <c r="J28" s="21">
        <f t="shared" si="0"/>
        <v>4320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45278</v>
      </c>
      <c r="D29" s="19" t="s">
        <v>18</v>
      </c>
      <c r="E29" s="19" t="s">
        <v>957</v>
      </c>
      <c r="F29" s="20">
        <v>140</v>
      </c>
      <c r="G29" s="20">
        <v>170</v>
      </c>
      <c r="H29" s="19">
        <v>30</v>
      </c>
      <c r="I29" s="20">
        <v>120</v>
      </c>
      <c r="J29" s="21">
        <f t="shared" si="0"/>
        <v>3600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45279</v>
      </c>
      <c r="D30" s="25" t="s">
        <v>18</v>
      </c>
      <c r="E30" s="25" t="s">
        <v>957</v>
      </c>
      <c r="F30" s="26">
        <v>150</v>
      </c>
      <c r="G30" s="61">
        <v>180</v>
      </c>
      <c r="H30" s="61">
        <v>30</v>
      </c>
      <c r="I30" s="26">
        <v>120</v>
      </c>
      <c r="J30" s="21">
        <f t="shared" si="0"/>
        <v>3600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45279</v>
      </c>
      <c r="D31" s="25" t="s">
        <v>18</v>
      </c>
      <c r="E31" s="25" t="s">
        <v>959</v>
      </c>
      <c r="F31" s="26">
        <v>160</v>
      </c>
      <c r="G31" s="61">
        <v>210</v>
      </c>
      <c r="H31" s="61">
        <f>210-160</f>
        <v>50</v>
      </c>
      <c r="I31" s="26">
        <v>120</v>
      </c>
      <c r="J31" s="21">
        <f t="shared" si="0"/>
        <v>6000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45280</v>
      </c>
      <c r="D32" s="25" t="s">
        <v>18</v>
      </c>
      <c r="E32" s="25" t="s">
        <v>960</v>
      </c>
      <c r="F32" s="26">
        <v>160</v>
      </c>
      <c r="G32" s="61">
        <v>110</v>
      </c>
      <c r="H32" s="61">
        <v>-50</v>
      </c>
      <c r="I32" s="26">
        <v>120</v>
      </c>
      <c r="J32" s="21">
        <f t="shared" si="0"/>
        <v>-6000</v>
      </c>
      <c r="K32" s="7"/>
      <c r="V32" s="5">
        <f t="shared" si="2"/>
        <v>0</v>
      </c>
      <c r="W32" s="5">
        <f t="shared" si="3"/>
        <v>1</v>
      </c>
    </row>
    <row r="33" spans="1:23" x14ac:dyDescent="0.3">
      <c r="A33" s="6"/>
      <c r="B33" s="17">
        <v>28</v>
      </c>
      <c r="C33" s="24">
        <v>45280</v>
      </c>
      <c r="D33" s="25" t="s">
        <v>18</v>
      </c>
      <c r="E33" s="25" t="s">
        <v>961</v>
      </c>
      <c r="F33" s="26">
        <v>120</v>
      </c>
      <c r="G33" s="61">
        <v>220</v>
      </c>
      <c r="H33" s="61">
        <v>100</v>
      </c>
      <c r="I33" s="26">
        <v>120</v>
      </c>
      <c r="J33" s="21">
        <f t="shared" si="0"/>
        <v>12000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45281</v>
      </c>
      <c r="D34" s="25" t="s">
        <v>18</v>
      </c>
      <c r="E34" s="25" t="s">
        <v>960</v>
      </c>
      <c r="F34" s="26">
        <v>150</v>
      </c>
      <c r="G34" s="61">
        <v>250</v>
      </c>
      <c r="H34" s="61">
        <v>100</v>
      </c>
      <c r="I34" s="26">
        <v>120</v>
      </c>
      <c r="J34" s="21">
        <f t="shared" si="0"/>
        <v>12000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45281</v>
      </c>
      <c r="D35" s="25" t="s">
        <v>18</v>
      </c>
      <c r="E35" s="25" t="s">
        <v>959</v>
      </c>
      <c r="F35" s="26">
        <v>150</v>
      </c>
      <c r="G35" s="61">
        <v>250</v>
      </c>
      <c r="H35" s="61">
        <v>100</v>
      </c>
      <c r="I35" s="26">
        <v>120</v>
      </c>
      <c r="J35" s="21">
        <f t="shared" si="0"/>
        <v>12000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45282</v>
      </c>
      <c r="D36" s="25" t="s">
        <v>18</v>
      </c>
      <c r="E36" s="25" t="s">
        <v>962</v>
      </c>
      <c r="F36" s="26">
        <v>160</v>
      </c>
      <c r="G36" s="61">
        <v>110</v>
      </c>
      <c r="H36" s="61">
        <v>-50</v>
      </c>
      <c r="I36" s="26">
        <v>120</v>
      </c>
      <c r="J36" s="21">
        <f t="shared" si="0"/>
        <v>-6000</v>
      </c>
      <c r="K36" s="7"/>
      <c r="V36" s="5">
        <f t="shared" si="2"/>
        <v>0</v>
      </c>
      <c r="W36" s="5">
        <f t="shared" si="3"/>
        <v>1</v>
      </c>
    </row>
    <row r="37" spans="1:23" x14ac:dyDescent="0.3">
      <c r="A37" s="6"/>
      <c r="B37" s="17">
        <v>32</v>
      </c>
      <c r="C37" s="24">
        <v>45282</v>
      </c>
      <c r="D37" s="25" t="s">
        <v>18</v>
      </c>
      <c r="E37" s="25" t="s">
        <v>953</v>
      </c>
      <c r="F37" s="26">
        <v>180</v>
      </c>
      <c r="G37" s="61">
        <v>226</v>
      </c>
      <c r="H37" s="61">
        <f>226-180</f>
        <v>46</v>
      </c>
      <c r="I37" s="26">
        <v>120</v>
      </c>
      <c r="J37" s="21">
        <f t="shared" si="0"/>
        <v>5520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45286</v>
      </c>
      <c r="D38" s="25" t="s">
        <v>18</v>
      </c>
      <c r="E38" s="25" t="s">
        <v>964</v>
      </c>
      <c r="F38" s="26">
        <v>140</v>
      </c>
      <c r="G38" s="61">
        <v>163</v>
      </c>
      <c r="H38" s="61">
        <v>23</v>
      </c>
      <c r="I38" s="26">
        <v>120</v>
      </c>
      <c r="J38" s="21">
        <f t="shared" si="0"/>
        <v>2760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45286</v>
      </c>
      <c r="D39" s="25" t="s">
        <v>18</v>
      </c>
      <c r="E39" s="25" t="s">
        <v>959</v>
      </c>
      <c r="F39" s="26">
        <v>160</v>
      </c>
      <c r="G39" s="61">
        <v>246</v>
      </c>
      <c r="H39" s="61">
        <f>246-160</f>
        <v>86</v>
      </c>
      <c r="I39" s="26">
        <v>120</v>
      </c>
      <c r="J39" s="21">
        <f t="shared" si="0"/>
        <v>10320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45287</v>
      </c>
      <c r="D40" s="25" t="s">
        <v>18</v>
      </c>
      <c r="E40" s="25" t="s">
        <v>954</v>
      </c>
      <c r="F40" s="26">
        <v>130</v>
      </c>
      <c r="G40" s="61">
        <v>230</v>
      </c>
      <c r="H40" s="61">
        <v>100</v>
      </c>
      <c r="I40" s="26">
        <v>120</v>
      </c>
      <c r="J40" s="21">
        <f t="shared" si="0"/>
        <v>12000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18">
        <v>45287</v>
      </c>
      <c r="D41" s="19" t="s">
        <v>18</v>
      </c>
      <c r="E41" s="19" t="s">
        <v>951</v>
      </c>
      <c r="F41" s="35">
        <v>150</v>
      </c>
      <c r="G41" s="35">
        <v>250</v>
      </c>
      <c r="H41" s="35">
        <v>100</v>
      </c>
      <c r="I41" s="26">
        <v>120</v>
      </c>
      <c r="J41" s="21">
        <f t="shared" si="0"/>
        <v>12000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18">
        <v>45288</v>
      </c>
      <c r="D42" s="19" t="s">
        <v>18</v>
      </c>
      <c r="E42" s="19" t="s">
        <v>965</v>
      </c>
      <c r="F42" s="35">
        <v>140</v>
      </c>
      <c r="G42" s="35">
        <v>200</v>
      </c>
      <c r="H42" s="35">
        <f>200-140</f>
        <v>60</v>
      </c>
      <c r="I42" s="26">
        <v>120</v>
      </c>
      <c r="J42" s="21">
        <f t="shared" si="0"/>
        <v>7200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17">
        <v>38</v>
      </c>
      <c r="C43" s="18">
        <v>45288</v>
      </c>
      <c r="D43" s="19" t="s">
        <v>18</v>
      </c>
      <c r="E43" s="19" t="s">
        <v>966</v>
      </c>
      <c r="F43" s="35">
        <v>120</v>
      </c>
      <c r="G43" s="35">
        <v>160</v>
      </c>
      <c r="H43" s="35">
        <v>40</v>
      </c>
      <c r="I43" s="26">
        <v>120</v>
      </c>
      <c r="J43" s="21">
        <f t="shared" si="0"/>
        <v>4800</v>
      </c>
      <c r="K43" s="7"/>
      <c r="V43" s="5">
        <f t="shared" si="2"/>
        <v>1</v>
      </c>
      <c r="W43" s="5">
        <f t="shared" si="3"/>
        <v>0</v>
      </c>
    </row>
    <row r="44" spans="1:23" x14ac:dyDescent="0.3">
      <c r="A44" s="6"/>
      <c r="B44" s="17">
        <v>39</v>
      </c>
      <c r="C44" s="18">
        <v>45289</v>
      </c>
      <c r="D44" s="19" t="s">
        <v>18</v>
      </c>
      <c r="E44" s="19" t="s">
        <v>967</v>
      </c>
      <c r="F44" s="35">
        <v>160</v>
      </c>
      <c r="G44" s="35">
        <v>187</v>
      </c>
      <c r="H44" s="35">
        <f>187-160</f>
        <v>27</v>
      </c>
      <c r="I44" s="26">
        <v>120</v>
      </c>
      <c r="J44" s="21">
        <f t="shared" si="0"/>
        <v>3240</v>
      </c>
      <c r="K44" s="7"/>
      <c r="V44" s="5">
        <f t="shared" si="2"/>
        <v>1</v>
      </c>
      <c r="W44" s="5">
        <f t="shared" si="3"/>
        <v>0</v>
      </c>
    </row>
    <row r="45" spans="1:23" x14ac:dyDescent="0.3">
      <c r="A45" s="6"/>
      <c r="B45" s="17">
        <v>40</v>
      </c>
      <c r="C45" s="24">
        <v>45289</v>
      </c>
      <c r="D45" s="25" t="s">
        <v>18</v>
      </c>
      <c r="E45" s="25" t="s">
        <v>967</v>
      </c>
      <c r="F45" s="26">
        <v>140</v>
      </c>
      <c r="G45" s="61">
        <v>190</v>
      </c>
      <c r="H45" s="61">
        <v>50</v>
      </c>
      <c r="I45" s="26">
        <v>120</v>
      </c>
      <c r="J45" s="21">
        <f t="shared" si="0"/>
        <v>6000</v>
      </c>
      <c r="K45" s="7"/>
      <c r="V45" s="5">
        <f t="shared" si="2"/>
        <v>1</v>
      </c>
      <c r="W45" s="5">
        <f t="shared" si="3"/>
        <v>0</v>
      </c>
    </row>
    <row r="46" spans="1:23" ht="15" thickBot="1" x14ac:dyDescent="0.35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ht="15" hidden="1" thickBot="1" x14ac:dyDescent="0.35">
      <c r="A47" s="6"/>
      <c r="B47" s="17">
        <v>40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ht="15" hidden="1" thickBot="1" x14ac:dyDescent="0.35">
      <c r="A48" s="6"/>
      <c r="B48" s="17">
        <v>41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ht="15" hidden="1" thickBot="1" x14ac:dyDescent="0.35">
      <c r="A49" s="6"/>
      <c r="B49" s="88">
        <v>39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ht="15" hidden="1" thickBot="1" x14ac:dyDescent="0.35">
      <c r="A50" s="6"/>
      <c r="B50" s="17">
        <v>40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t="15" hidden="1" thickBot="1" x14ac:dyDescent="0.35">
      <c r="A51" s="6"/>
      <c r="B51" s="88">
        <v>41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t="15" hidden="1" thickBot="1" x14ac:dyDescent="0.35">
      <c r="A52" s="6"/>
      <c r="B52" s="17">
        <v>42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t="15" hidden="1" thickBot="1" x14ac:dyDescent="0.35">
      <c r="A53" s="6"/>
      <c r="B53" s="88">
        <v>43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t="15" hidden="1" thickBot="1" x14ac:dyDescent="0.35">
      <c r="A54" s="6"/>
      <c r="B54" s="17">
        <v>44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t="15" hidden="1" thickBot="1" x14ac:dyDescent="0.35">
      <c r="A55" s="6"/>
      <c r="B55" s="88">
        <v>45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t="15" hidden="1" thickBot="1" x14ac:dyDescent="0.35">
      <c r="A56" s="6"/>
      <c r="B56" s="17">
        <v>46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t="15" hidden="1" thickBot="1" x14ac:dyDescent="0.35">
      <c r="A57" s="6"/>
      <c r="B57" s="88">
        <v>47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hidden="1" thickBot="1" x14ac:dyDescent="0.35">
      <c r="A58" s="6"/>
      <c r="B58" s="17">
        <v>48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15" hidden="1" thickBot="1" x14ac:dyDescent="0.35">
      <c r="A59" s="6"/>
      <c r="B59" s="88">
        <v>49</v>
      </c>
      <c r="C59" s="24"/>
      <c r="D59" s="25"/>
      <c r="E59" s="25"/>
      <c r="F59" s="26"/>
      <c r="G59" s="61"/>
      <c r="H59" s="61"/>
      <c r="I59" s="26"/>
      <c r="J59" s="21">
        <f t="shared" si="0"/>
        <v>0</v>
      </c>
      <c r="K59" s="7"/>
      <c r="V59" s="5">
        <f t="shared" si="2"/>
        <v>0</v>
      </c>
      <c r="W59" s="5">
        <f t="shared" si="3"/>
        <v>0</v>
      </c>
    </row>
    <row r="60" spans="1:23" ht="15" hidden="1" thickBot="1" x14ac:dyDescent="0.35">
      <c r="A60" s="6"/>
      <c r="B60" s="17">
        <v>50</v>
      </c>
      <c r="C60" s="24"/>
      <c r="D60" s="25"/>
      <c r="E60" s="25"/>
      <c r="F60" s="26"/>
      <c r="G60" s="61"/>
      <c r="H60" s="61"/>
      <c r="I60" s="26"/>
      <c r="J60" s="21">
        <f t="shared" si="0"/>
        <v>0</v>
      </c>
      <c r="K60" s="7"/>
      <c r="V60" s="5">
        <f t="shared" si="2"/>
        <v>0</v>
      </c>
      <c r="W60" s="5">
        <f t="shared" si="3"/>
        <v>0</v>
      </c>
    </row>
    <row r="61" spans="1:23" ht="24" thickBot="1" x14ac:dyDescent="0.5">
      <c r="A61" s="6"/>
      <c r="B61" s="144" t="s">
        <v>22</v>
      </c>
      <c r="C61" s="145"/>
      <c r="D61" s="145"/>
      <c r="E61" s="145"/>
      <c r="F61" s="145"/>
      <c r="G61" s="145"/>
      <c r="H61" s="146"/>
      <c r="I61" s="28" t="s">
        <v>23</v>
      </c>
      <c r="J61" s="29">
        <f>SUM(J6:J60)</f>
        <v>214440</v>
      </c>
      <c r="K61" s="7"/>
      <c r="V61" s="5">
        <f>SUM(V6:V60)</f>
        <v>36</v>
      </c>
      <c r="W61" s="5">
        <f>SUM(W6:W60)</f>
        <v>4</v>
      </c>
    </row>
    <row r="62" spans="1:23" ht="30" customHeight="1" thickBot="1" x14ac:dyDescent="0.35">
      <c r="A62" s="30"/>
      <c r="B62" s="31"/>
      <c r="C62" s="31"/>
      <c r="D62" s="31"/>
      <c r="E62" s="31"/>
      <c r="F62" s="31"/>
      <c r="G62" s="31"/>
      <c r="H62" s="32"/>
      <c r="I62" s="31"/>
      <c r="J62" s="32"/>
      <c r="K62" s="33"/>
      <c r="L62" s="36"/>
      <c r="M62" s="36"/>
      <c r="N62" s="36"/>
      <c r="O62" s="36"/>
      <c r="P62" s="36"/>
      <c r="Q62" s="36"/>
      <c r="R62" s="36"/>
    </row>
    <row r="63" spans="1:23" ht="15" hidden="1" thickBot="1" x14ac:dyDescent="0.35">
      <c r="L63" s="36"/>
      <c r="M63" s="36"/>
      <c r="N63" s="36"/>
      <c r="O63" s="22"/>
      <c r="P63" s="22"/>
      <c r="Q63" s="22"/>
      <c r="R63" s="22"/>
    </row>
    <row r="64" spans="1:23" s="36" customFormat="1" ht="30" hidden="1" customHeight="1" thickBot="1" x14ac:dyDescent="0.35">
      <c r="A64" s="1"/>
      <c r="B64" s="2"/>
      <c r="C64" s="2"/>
      <c r="D64" s="2"/>
      <c r="E64" s="2"/>
      <c r="F64" s="2"/>
      <c r="G64" s="2"/>
      <c r="H64" s="3"/>
      <c r="I64" s="2"/>
      <c r="J64" s="3"/>
      <c r="K64" s="4"/>
    </row>
    <row r="65" spans="1:23" s="36" customFormat="1" ht="25.2" hidden="1" thickBot="1" x14ac:dyDescent="0.35">
      <c r="A65" s="6" t="s">
        <v>1</v>
      </c>
      <c r="B65" s="119" t="s">
        <v>2</v>
      </c>
      <c r="C65" s="120"/>
      <c r="D65" s="120"/>
      <c r="E65" s="120"/>
      <c r="F65" s="120"/>
      <c r="G65" s="120"/>
      <c r="H65" s="120"/>
      <c r="I65" s="120"/>
      <c r="J65" s="121"/>
      <c r="K65" s="7"/>
    </row>
    <row r="66" spans="1:23" s="36" customFormat="1" ht="16.2" hidden="1" thickBot="1" x14ac:dyDescent="0.35">
      <c r="A66" s="6"/>
      <c r="B66" s="168" t="s">
        <v>937</v>
      </c>
      <c r="C66" s="169"/>
      <c r="D66" s="169"/>
      <c r="E66" s="169"/>
      <c r="F66" s="169"/>
      <c r="G66" s="169"/>
      <c r="H66" s="169"/>
      <c r="I66" s="169"/>
      <c r="J66" s="170"/>
      <c r="K66" s="7"/>
      <c r="L66" s="22"/>
    </row>
    <row r="67" spans="1:23" s="36" customFormat="1" ht="16.2" hidden="1" thickBot="1" x14ac:dyDescent="0.35">
      <c r="A67" s="6"/>
      <c r="B67" s="106" t="s">
        <v>90</v>
      </c>
      <c r="C67" s="107"/>
      <c r="D67" s="107"/>
      <c r="E67" s="107"/>
      <c r="F67" s="107"/>
      <c r="G67" s="107"/>
      <c r="H67" s="107"/>
      <c r="I67" s="107"/>
      <c r="J67" s="108"/>
      <c r="K67" s="7"/>
    </row>
    <row r="68" spans="1:23" s="22" customFormat="1" ht="15" hidden="1" thickBot="1" x14ac:dyDescent="0.35">
      <c r="A68" s="69"/>
      <c r="B68" s="8" t="s">
        <v>9</v>
      </c>
      <c r="C68" s="9" t="s">
        <v>10</v>
      </c>
      <c r="D68" s="10" t="s">
        <v>11</v>
      </c>
      <c r="E68" s="10" t="s">
        <v>12</v>
      </c>
      <c r="F68" s="11" t="s">
        <v>65</v>
      </c>
      <c r="G68" s="11" t="s">
        <v>66</v>
      </c>
      <c r="H68" s="12" t="s">
        <v>67</v>
      </c>
      <c r="I68" s="11" t="s">
        <v>68</v>
      </c>
      <c r="J68" s="13" t="s">
        <v>17</v>
      </c>
      <c r="K68" s="76"/>
      <c r="L68" s="36"/>
      <c r="M68" s="36"/>
      <c r="N68" s="36"/>
      <c r="O68" s="36" t="s">
        <v>21</v>
      </c>
      <c r="P68" s="36"/>
      <c r="Q68" s="36"/>
      <c r="R68" s="36"/>
      <c r="V68" s="5" t="s">
        <v>5</v>
      </c>
      <c r="W68" s="5" t="s">
        <v>6</v>
      </c>
    </row>
    <row r="69" spans="1:23" s="36" customFormat="1" hidden="1" x14ac:dyDescent="0.3">
      <c r="A69" s="6"/>
      <c r="B69" s="88">
        <v>1</v>
      </c>
      <c r="C69" s="66"/>
      <c r="D69" s="67"/>
      <c r="E69" s="67"/>
      <c r="F69" s="68"/>
      <c r="G69" s="68"/>
      <c r="H69" s="97"/>
      <c r="I69" s="68"/>
      <c r="J69" s="92">
        <f>H69*I69</f>
        <v>0</v>
      </c>
      <c r="K69" s="7"/>
      <c r="V69" s="5">
        <f t="shared" ref="V69:V122" si="5">IF($J69&gt;0,1,0)</f>
        <v>0</v>
      </c>
      <c r="W69" s="5">
        <f t="shared" ref="W69:W122" si="6">IF($J69&lt;0,1,0)</f>
        <v>0</v>
      </c>
    </row>
    <row r="70" spans="1:23" s="36" customFormat="1" hidden="1" x14ac:dyDescent="0.3">
      <c r="A70" s="6"/>
      <c r="B70" s="17">
        <f>B69+1</f>
        <v>2</v>
      </c>
      <c r="C70" s="66"/>
      <c r="D70" s="67"/>
      <c r="E70" s="67"/>
      <c r="F70" s="97"/>
      <c r="G70" s="97"/>
      <c r="H70" s="97"/>
      <c r="I70" s="20"/>
      <c r="J70" s="21">
        <f>H70*I70</f>
        <v>0</v>
      </c>
      <c r="K70" s="7"/>
      <c r="L70" s="36" t="s">
        <v>21</v>
      </c>
      <c r="V70" s="5">
        <f t="shared" si="5"/>
        <v>0</v>
      </c>
      <c r="W70" s="5">
        <f t="shared" si="6"/>
        <v>0</v>
      </c>
    </row>
    <row r="71" spans="1:23" s="36" customFormat="1" hidden="1" x14ac:dyDescent="0.3">
      <c r="A71" s="6"/>
      <c r="B71" s="17">
        <f t="shared" ref="B71:B122" si="7">B70+1</f>
        <v>3</v>
      </c>
      <c r="C71" s="18"/>
      <c r="D71" s="19"/>
      <c r="E71" s="19"/>
      <c r="F71" s="35"/>
      <c r="G71" s="97"/>
      <c r="H71" s="35"/>
      <c r="I71" s="20"/>
      <c r="J71" s="21">
        <f>H71*I71</f>
        <v>0</v>
      </c>
      <c r="K71" s="7"/>
      <c r="V71" s="5">
        <f t="shared" si="5"/>
        <v>0</v>
      </c>
      <c r="W71" s="5">
        <f t="shared" si="6"/>
        <v>0</v>
      </c>
    </row>
    <row r="72" spans="1:23" s="36" customFormat="1" hidden="1" x14ac:dyDescent="0.3">
      <c r="A72" s="6"/>
      <c r="B72" s="17">
        <f t="shared" si="7"/>
        <v>4</v>
      </c>
      <c r="C72" s="18"/>
      <c r="D72" s="19"/>
      <c r="E72" s="19"/>
      <c r="F72" s="35"/>
      <c r="G72" s="97"/>
      <c r="H72" s="35"/>
      <c r="I72" s="20"/>
      <c r="J72" s="21">
        <f>H72*I72</f>
        <v>0</v>
      </c>
      <c r="K72" s="7"/>
      <c r="V72" s="5">
        <f t="shared" si="5"/>
        <v>0</v>
      </c>
      <c r="W72" s="5">
        <f t="shared" si="6"/>
        <v>0</v>
      </c>
    </row>
    <row r="73" spans="1:23" s="36" customFormat="1" hidden="1" x14ac:dyDescent="0.3">
      <c r="A73" s="6"/>
      <c r="B73" s="17">
        <f t="shared" si="7"/>
        <v>5</v>
      </c>
      <c r="C73" s="18"/>
      <c r="D73" s="19"/>
      <c r="E73" s="19"/>
      <c r="F73" s="35"/>
      <c r="G73" s="97"/>
      <c r="H73" s="35"/>
      <c r="I73" s="20"/>
      <c r="J73" s="21">
        <f>H73*I73</f>
        <v>0</v>
      </c>
      <c r="K73" s="7"/>
      <c r="V73" s="5">
        <f t="shared" si="5"/>
        <v>0</v>
      </c>
      <c r="W73" s="5">
        <f t="shared" si="6"/>
        <v>0</v>
      </c>
    </row>
    <row r="74" spans="1:23" s="36" customFormat="1" hidden="1" x14ac:dyDescent="0.3">
      <c r="A74" s="6"/>
      <c r="B74" s="17">
        <f t="shared" si="7"/>
        <v>6</v>
      </c>
      <c r="C74" s="18"/>
      <c r="D74" s="19"/>
      <c r="E74" s="19"/>
      <c r="F74" s="20"/>
      <c r="G74" s="97"/>
      <c r="H74" s="35"/>
      <c r="I74" s="20"/>
      <c r="J74" s="21">
        <f t="shared" ref="J74:J122" si="8">I74*H74</f>
        <v>0</v>
      </c>
      <c r="K74" s="7"/>
      <c r="V74" s="5">
        <f t="shared" si="5"/>
        <v>0</v>
      </c>
      <c r="W74" s="5">
        <f t="shared" si="6"/>
        <v>0</v>
      </c>
    </row>
    <row r="75" spans="1:23" s="36" customFormat="1" hidden="1" x14ac:dyDescent="0.3">
      <c r="A75" s="6"/>
      <c r="B75" s="17">
        <f t="shared" si="7"/>
        <v>7</v>
      </c>
      <c r="C75" s="18"/>
      <c r="D75" s="19"/>
      <c r="E75" s="19"/>
      <c r="F75" s="35"/>
      <c r="G75" s="97"/>
      <c r="H75" s="35"/>
      <c r="I75" s="20"/>
      <c r="J75" s="21">
        <f t="shared" si="8"/>
        <v>0</v>
      </c>
      <c r="K75" s="7"/>
      <c r="V75" s="5">
        <f t="shared" si="5"/>
        <v>0</v>
      </c>
      <c r="W75" s="5">
        <f t="shared" si="6"/>
        <v>0</v>
      </c>
    </row>
    <row r="76" spans="1:23" s="36" customFormat="1" hidden="1" x14ac:dyDescent="0.3">
      <c r="A76" s="6"/>
      <c r="B76" s="17">
        <f t="shared" si="7"/>
        <v>8</v>
      </c>
      <c r="C76" s="18"/>
      <c r="D76" s="19"/>
      <c r="E76" s="19"/>
      <c r="F76" s="35"/>
      <c r="G76" s="97"/>
      <c r="H76" s="35"/>
      <c r="I76" s="20"/>
      <c r="J76" s="21">
        <f t="shared" si="8"/>
        <v>0</v>
      </c>
      <c r="K76" s="7"/>
      <c r="V76" s="5">
        <f t="shared" si="5"/>
        <v>0</v>
      </c>
      <c r="W76" s="5">
        <f t="shared" si="6"/>
        <v>0</v>
      </c>
    </row>
    <row r="77" spans="1:23" s="36" customFormat="1" hidden="1" x14ac:dyDescent="0.3">
      <c r="A77" s="6"/>
      <c r="B77" s="17">
        <f t="shared" si="7"/>
        <v>9</v>
      </c>
      <c r="C77" s="18"/>
      <c r="D77" s="19"/>
      <c r="E77" s="19"/>
      <c r="F77" s="35"/>
      <c r="G77" s="97"/>
      <c r="H77" s="35"/>
      <c r="I77" s="20"/>
      <c r="J77" s="21">
        <f t="shared" si="8"/>
        <v>0</v>
      </c>
      <c r="K77" s="7"/>
      <c r="V77" s="5">
        <f t="shared" si="5"/>
        <v>0</v>
      </c>
      <c r="W77" s="5">
        <f t="shared" si="6"/>
        <v>0</v>
      </c>
    </row>
    <row r="78" spans="1:23" s="36" customFormat="1" hidden="1" x14ac:dyDescent="0.3">
      <c r="A78" s="6"/>
      <c r="B78" s="17">
        <f t="shared" si="7"/>
        <v>10</v>
      </c>
      <c r="C78" s="18"/>
      <c r="D78" s="19"/>
      <c r="E78" s="19"/>
      <c r="F78" s="35"/>
      <c r="G78" s="97"/>
      <c r="H78" s="35"/>
      <c r="I78" s="20"/>
      <c r="J78" s="21">
        <f t="shared" si="8"/>
        <v>0</v>
      </c>
      <c r="K78" s="7"/>
      <c r="V78" s="5">
        <f t="shared" si="5"/>
        <v>0</v>
      </c>
      <c r="W78" s="5">
        <f t="shared" si="6"/>
        <v>0</v>
      </c>
    </row>
    <row r="79" spans="1:23" s="36" customFormat="1" hidden="1" x14ac:dyDescent="0.3">
      <c r="A79" s="6"/>
      <c r="B79" s="17">
        <f t="shared" si="7"/>
        <v>11</v>
      </c>
      <c r="C79" s="18"/>
      <c r="D79" s="19"/>
      <c r="E79" s="19"/>
      <c r="F79" s="19"/>
      <c r="G79" s="97"/>
      <c r="H79" s="35"/>
      <c r="I79" s="20"/>
      <c r="J79" s="21">
        <f t="shared" si="8"/>
        <v>0</v>
      </c>
      <c r="K79" s="7"/>
      <c r="V79" s="5">
        <f t="shared" si="5"/>
        <v>0</v>
      </c>
      <c r="W79" s="5">
        <f t="shared" si="6"/>
        <v>0</v>
      </c>
    </row>
    <row r="80" spans="1:23" s="36" customFormat="1" hidden="1" x14ac:dyDescent="0.3">
      <c r="A80" s="6"/>
      <c r="B80" s="17">
        <f t="shared" si="7"/>
        <v>12</v>
      </c>
      <c r="C80" s="18"/>
      <c r="D80" s="19"/>
      <c r="E80" s="19"/>
      <c r="F80" s="35"/>
      <c r="G80" s="97"/>
      <c r="H80" s="35"/>
      <c r="I80" s="20"/>
      <c r="J80" s="21">
        <f t="shared" si="8"/>
        <v>0</v>
      </c>
      <c r="K80" s="7"/>
      <c r="V80" s="5">
        <f t="shared" si="5"/>
        <v>0</v>
      </c>
      <c r="W80" s="5">
        <f t="shared" si="6"/>
        <v>0</v>
      </c>
    </row>
    <row r="81" spans="1:23" s="36" customFormat="1" hidden="1" x14ac:dyDescent="0.3">
      <c r="A81" s="6"/>
      <c r="B81" s="17">
        <f t="shared" si="7"/>
        <v>13</v>
      </c>
      <c r="C81" s="18"/>
      <c r="D81" s="19"/>
      <c r="E81" s="19"/>
      <c r="F81" s="77"/>
      <c r="G81" s="97"/>
      <c r="H81" s="78"/>
      <c r="I81" s="20"/>
      <c r="J81" s="21">
        <f t="shared" si="8"/>
        <v>0</v>
      </c>
      <c r="K81" s="7"/>
      <c r="V81" s="5">
        <f t="shared" si="5"/>
        <v>0</v>
      </c>
      <c r="W81" s="5">
        <f t="shared" si="6"/>
        <v>0</v>
      </c>
    </row>
    <row r="82" spans="1:23" s="36" customFormat="1" hidden="1" x14ac:dyDescent="0.3">
      <c r="A82" s="6"/>
      <c r="B82" s="17">
        <f t="shared" si="7"/>
        <v>14</v>
      </c>
      <c r="C82" s="18"/>
      <c r="D82" s="19"/>
      <c r="E82" s="19"/>
      <c r="F82" s="35"/>
      <c r="G82" s="97"/>
      <c r="H82" s="78"/>
      <c r="I82" s="20"/>
      <c r="J82" s="21">
        <f t="shared" si="8"/>
        <v>0</v>
      </c>
      <c r="K82" s="7"/>
      <c r="V82" s="5">
        <f t="shared" si="5"/>
        <v>0</v>
      </c>
      <c r="W82" s="5">
        <f t="shared" si="6"/>
        <v>0</v>
      </c>
    </row>
    <row r="83" spans="1:23" s="36" customFormat="1" hidden="1" x14ac:dyDescent="0.3">
      <c r="A83" s="6"/>
      <c r="B83" s="17">
        <f t="shared" si="7"/>
        <v>15</v>
      </c>
      <c r="C83" s="18"/>
      <c r="D83" s="19"/>
      <c r="E83" s="19"/>
      <c r="F83" s="35"/>
      <c r="G83" s="97"/>
      <c r="H83" s="78"/>
      <c r="I83" s="20"/>
      <c r="J83" s="21">
        <f t="shared" si="8"/>
        <v>0</v>
      </c>
      <c r="K83" s="7"/>
      <c r="V83" s="5">
        <f t="shared" si="5"/>
        <v>0</v>
      </c>
      <c r="W83" s="5">
        <f t="shared" si="6"/>
        <v>0</v>
      </c>
    </row>
    <row r="84" spans="1:23" s="36" customFormat="1" hidden="1" x14ac:dyDescent="0.3">
      <c r="A84" s="6"/>
      <c r="B84" s="17">
        <f t="shared" si="7"/>
        <v>16</v>
      </c>
      <c r="C84" s="18"/>
      <c r="D84" s="19"/>
      <c r="E84" s="19"/>
      <c r="F84" s="35"/>
      <c r="G84" s="97"/>
      <c r="H84" s="35"/>
      <c r="I84" s="20"/>
      <c r="J84" s="21">
        <f t="shared" si="8"/>
        <v>0</v>
      </c>
      <c r="K84" s="7"/>
      <c r="V84" s="5">
        <f t="shared" si="5"/>
        <v>0</v>
      </c>
      <c r="W84" s="5">
        <f t="shared" si="6"/>
        <v>0</v>
      </c>
    </row>
    <row r="85" spans="1:23" s="36" customFormat="1" hidden="1" x14ac:dyDescent="0.3">
      <c r="A85" s="6"/>
      <c r="B85" s="17">
        <f t="shared" si="7"/>
        <v>17</v>
      </c>
      <c r="C85" s="18"/>
      <c r="D85" s="19"/>
      <c r="E85" s="19"/>
      <c r="F85" s="35"/>
      <c r="G85" s="97"/>
      <c r="H85" s="35"/>
      <c r="I85" s="20"/>
      <c r="J85" s="21">
        <f t="shared" si="8"/>
        <v>0</v>
      </c>
      <c r="K85" s="7"/>
      <c r="V85" s="5">
        <f t="shared" si="5"/>
        <v>0</v>
      </c>
      <c r="W85" s="5">
        <f t="shared" si="6"/>
        <v>0</v>
      </c>
    </row>
    <row r="86" spans="1:23" s="36" customFormat="1" hidden="1" x14ac:dyDescent="0.3">
      <c r="A86" s="6"/>
      <c r="B86" s="17">
        <f t="shared" si="7"/>
        <v>18</v>
      </c>
      <c r="C86" s="18"/>
      <c r="D86" s="19"/>
      <c r="E86" s="19"/>
      <c r="F86" s="35"/>
      <c r="G86" s="97"/>
      <c r="H86" s="35"/>
      <c r="I86" s="20"/>
      <c r="J86" s="21">
        <f t="shared" si="8"/>
        <v>0</v>
      </c>
      <c r="K86" s="7"/>
      <c r="V86" s="5">
        <f t="shared" si="5"/>
        <v>0</v>
      </c>
      <c r="W86" s="5">
        <f t="shared" si="6"/>
        <v>0</v>
      </c>
    </row>
    <row r="87" spans="1:23" s="36" customFormat="1" hidden="1" x14ac:dyDescent="0.3">
      <c r="A87" s="6"/>
      <c r="B87" s="17">
        <f t="shared" si="7"/>
        <v>19</v>
      </c>
      <c r="C87" s="18"/>
      <c r="D87" s="19"/>
      <c r="E87" s="19"/>
      <c r="F87" s="35"/>
      <c r="G87" s="97"/>
      <c r="H87" s="35"/>
      <c r="I87" s="20"/>
      <c r="J87" s="21">
        <f t="shared" si="8"/>
        <v>0</v>
      </c>
      <c r="K87" s="7"/>
      <c r="V87" s="5">
        <f t="shared" si="5"/>
        <v>0</v>
      </c>
      <c r="W87" s="5">
        <f t="shared" si="6"/>
        <v>0</v>
      </c>
    </row>
    <row r="88" spans="1:23" s="36" customFormat="1" hidden="1" x14ac:dyDescent="0.3">
      <c r="A88" s="6"/>
      <c r="B88" s="17">
        <f t="shared" si="7"/>
        <v>20</v>
      </c>
      <c r="C88" s="18"/>
      <c r="D88" s="19"/>
      <c r="E88" s="19"/>
      <c r="F88" s="35"/>
      <c r="G88" s="97"/>
      <c r="H88" s="35"/>
      <c r="I88" s="20"/>
      <c r="J88" s="21">
        <f t="shared" si="8"/>
        <v>0</v>
      </c>
      <c r="K88" s="7"/>
      <c r="V88" s="5">
        <f t="shared" si="5"/>
        <v>0</v>
      </c>
      <c r="W88" s="5">
        <f t="shared" si="6"/>
        <v>0</v>
      </c>
    </row>
    <row r="89" spans="1:23" s="36" customFormat="1" hidden="1" x14ac:dyDescent="0.3">
      <c r="A89" s="6"/>
      <c r="B89" s="17">
        <f t="shared" si="7"/>
        <v>21</v>
      </c>
      <c r="C89" s="18"/>
      <c r="D89" s="19"/>
      <c r="E89" s="19"/>
      <c r="F89" s="35"/>
      <c r="G89" s="97"/>
      <c r="H89" s="35"/>
      <c r="I89" s="20"/>
      <c r="J89" s="21">
        <f t="shared" si="8"/>
        <v>0</v>
      </c>
      <c r="K89" s="7"/>
      <c r="V89" s="5">
        <f t="shared" si="5"/>
        <v>0</v>
      </c>
      <c r="W89" s="5">
        <f t="shared" si="6"/>
        <v>0</v>
      </c>
    </row>
    <row r="90" spans="1:23" s="36" customFormat="1" hidden="1" x14ac:dyDescent="0.3">
      <c r="A90" s="6"/>
      <c r="B90" s="17">
        <f t="shared" si="7"/>
        <v>22</v>
      </c>
      <c r="C90" s="18"/>
      <c r="D90" s="19"/>
      <c r="E90" s="19"/>
      <c r="F90" s="77"/>
      <c r="G90" s="97"/>
      <c r="H90" s="78"/>
      <c r="I90" s="20"/>
      <c r="J90" s="21">
        <f t="shared" si="8"/>
        <v>0</v>
      </c>
      <c r="K90" s="7"/>
      <c r="V90" s="5">
        <f t="shared" si="5"/>
        <v>0</v>
      </c>
      <c r="W90" s="5">
        <f t="shared" si="6"/>
        <v>0</v>
      </c>
    </row>
    <row r="91" spans="1:23" s="36" customFormat="1" hidden="1" x14ac:dyDescent="0.3">
      <c r="A91" s="6"/>
      <c r="B91" s="17">
        <f t="shared" si="7"/>
        <v>23</v>
      </c>
      <c r="C91" s="18"/>
      <c r="D91" s="19"/>
      <c r="E91" s="19"/>
      <c r="F91" s="35"/>
      <c r="G91" s="97"/>
      <c r="H91" s="78"/>
      <c r="I91" s="20"/>
      <c r="J91" s="21">
        <f t="shared" si="8"/>
        <v>0</v>
      </c>
      <c r="K91" s="7"/>
      <c r="V91" s="5">
        <f t="shared" si="5"/>
        <v>0</v>
      </c>
      <c r="W91" s="5">
        <f t="shared" si="6"/>
        <v>0</v>
      </c>
    </row>
    <row r="92" spans="1:23" s="36" customFormat="1" hidden="1" x14ac:dyDescent="0.3">
      <c r="A92" s="6"/>
      <c r="B92" s="17">
        <f t="shared" si="7"/>
        <v>24</v>
      </c>
      <c r="C92" s="18"/>
      <c r="D92" s="19"/>
      <c r="E92" s="19"/>
      <c r="F92" s="35"/>
      <c r="G92" s="97"/>
      <c r="H92" s="78"/>
      <c r="I92" s="20"/>
      <c r="J92" s="21">
        <f t="shared" si="8"/>
        <v>0</v>
      </c>
      <c r="K92" s="7"/>
      <c r="V92" s="5">
        <f t="shared" si="5"/>
        <v>0</v>
      </c>
      <c r="W92" s="5">
        <f t="shared" si="6"/>
        <v>0</v>
      </c>
    </row>
    <row r="93" spans="1:23" s="36" customFormat="1" hidden="1" x14ac:dyDescent="0.3">
      <c r="A93" s="6"/>
      <c r="B93" s="17">
        <f t="shared" si="7"/>
        <v>25</v>
      </c>
      <c r="C93" s="18"/>
      <c r="D93" s="19"/>
      <c r="E93" s="19"/>
      <c r="F93" s="35"/>
      <c r="G93" s="97"/>
      <c r="H93" s="35"/>
      <c r="I93" s="20"/>
      <c r="J93" s="21">
        <f t="shared" si="8"/>
        <v>0</v>
      </c>
      <c r="K93" s="7"/>
      <c r="V93" s="5">
        <f t="shared" si="5"/>
        <v>0</v>
      </c>
      <c r="W93" s="5">
        <f t="shared" si="6"/>
        <v>0</v>
      </c>
    </row>
    <row r="94" spans="1:23" s="36" customFormat="1" hidden="1" x14ac:dyDescent="0.3">
      <c r="A94" s="6"/>
      <c r="B94" s="17">
        <f t="shared" si="7"/>
        <v>26</v>
      </c>
      <c r="C94" s="18"/>
      <c r="D94" s="19"/>
      <c r="E94" s="19"/>
      <c r="F94" s="35"/>
      <c r="G94" s="97"/>
      <c r="H94" s="35"/>
      <c r="I94" s="20"/>
      <c r="J94" s="21">
        <f t="shared" si="8"/>
        <v>0</v>
      </c>
      <c r="K94" s="7"/>
      <c r="V94" s="5">
        <f t="shared" si="5"/>
        <v>0</v>
      </c>
      <c r="W94" s="5">
        <f t="shared" si="6"/>
        <v>0</v>
      </c>
    </row>
    <row r="95" spans="1:23" s="36" customFormat="1" hidden="1" x14ac:dyDescent="0.3">
      <c r="A95" s="6"/>
      <c r="B95" s="17">
        <f t="shared" si="7"/>
        <v>27</v>
      </c>
      <c r="C95" s="18"/>
      <c r="D95" s="19"/>
      <c r="E95" s="19"/>
      <c r="F95" s="35"/>
      <c r="G95" s="97"/>
      <c r="H95" s="35"/>
      <c r="I95" s="20"/>
      <c r="J95" s="21">
        <f t="shared" si="8"/>
        <v>0</v>
      </c>
      <c r="K95" s="7"/>
      <c r="V95" s="5">
        <f t="shared" si="5"/>
        <v>0</v>
      </c>
      <c r="W95" s="5">
        <f t="shared" si="6"/>
        <v>0</v>
      </c>
    </row>
    <row r="96" spans="1:23" s="36" customFormat="1" hidden="1" x14ac:dyDescent="0.3">
      <c r="A96" s="6"/>
      <c r="B96" s="17">
        <f t="shared" si="7"/>
        <v>28</v>
      </c>
      <c r="C96" s="18"/>
      <c r="D96" s="19"/>
      <c r="E96" s="19"/>
      <c r="F96" s="35"/>
      <c r="G96" s="97"/>
      <c r="H96" s="35"/>
      <c r="I96" s="20"/>
      <c r="J96" s="21">
        <f t="shared" si="8"/>
        <v>0</v>
      </c>
      <c r="K96" s="7"/>
      <c r="V96" s="5">
        <f t="shared" si="5"/>
        <v>0</v>
      </c>
      <c r="W96" s="5">
        <f t="shared" si="6"/>
        <v>0</v>
      </c>
    </row>
    <row r="97" spans="1:23" s="36" customFormat="1" hidden="1" x14ac:dyDescent="0.3">
      <c r="A97" s="6"/>
      <c r="B97" s="17">
        <f t="shared" si="7"/>
        <v>29</v>
      </c>
      <c r="C97" s="18"/>
      <c r="D97" s="19"/>
      <c r="E97" s="19"/>
      <c r="F97" s="35"/>
      <c r="G97" s="97"/>
      <c r="H97" s="35"/>
      <c r="I97" s="20"/>
      <c r="J97" s="21">
        <f t="shared" si="8"/>
        <v>0</v>
      </c>
      <c r="K97" s="7"/>
      <c r="V97" s="5">
        <f t="shared" si="5"/>
        <v>0</v>
      </c>
      <c r="W97" s="5">
        <f t="shared" si="6"/>
        <v>0</v>
      </c>
    </row>
    <row r="98" spans="1:23" s="36" customFormat="1" hidden="1" x14ac:dyDescent="0.3">
      <c r="A98" s="6"/>
      <c r="B98" s="17">
        <f t="shared" si="7"/>
        <v>30</v>
      </c>
      <c r="C98" s="18"/>
      <c r="D98" s="19"/>
      <c r="E98" s="19"/>
      <c r="F98" s="35"/>
      <c r="G98" s="97"/>
      <c r="H98" s="35"/>
      <c r="I98" s="20"/>
      <c r="J98" s="21">
        <f t="shared" si="8"/>
        <v>0</v>
      </c>
      <c r="K98" s="7"/>
      <c r="V98" s="5">
        <f t="shared" si="5"/>
        <v>0</v>
      </c>
      <c r="W98" s="5">
        <f t="shared" si="6"/>
        <v>0</v>
      </c>
    </row>
    <row r="99" spans="1:23" s="36" customFormat="1" hidden="1" x14ac:dyDescent="0.3">
      <c r="A99" s="6"/>
      <c r="B99" s="17">
        <f t="shared" si="7"/>
        <v>31</v>
      </c>
      <c r="C99" s="18"/>
      <c r="D99" s="19"/>
      <c r="E99" s="19"/>
      <c r="F99" s="35"/>
      <c r="G99" s="97"/>
      <c r="H99" s="35"/>
      <c r="I99" s="20"/>
      <c r="J99" s="21">
        <f t="shared" si="8"/>
        <v>0</v>
      </c>
      <c r="K99" s="7"/>
      <c r="V99" s="5">
        <f t="shared" si="5"/>
        <v>0</v>
      </c>
      <c r="W99" s="5">
        <f t="shared" si="6"/>
        <v>0</v>
      </c>
    </row>
    <row r="100" spans="1:23" s="36" customFormat="1" hidden="1" x14ac:dyDescent="0.3">
      <c r="A100" s="6"/>
      <c r="B100" s="17">
        <f t="shared" si="7"/>
        <v>32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hidden="1" x14ac:dyDescent="0.3">
      <c r="A101" s="6"/>
      <c r="B101" s="17">
        <f t="shared" si="7"/>
        <v>33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hidden="1" x14ac:dyDescent="0.3">
      <c r="A102" s="6"/>
      <c r="B102" s="17">
        <f t="shared" si="7"/>
        <v>34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>
        <f t="shared" si="5"/>
        <v>0</v>
      </c>
      <c r="W102" s="5">
        <f t="shared" si="6"/>
        <v>0</v>
      </c>
    </row>
    <row r="103" spans="1:23" s="36" customFormat="1" hidden="1" x14ac:dyDescent="0.3">
      <c r="A103" s="6"/>
      <c r="B103" s="17">
        <v>35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>
        <f t="shared" si="5"/>
        <v>0</v>
      </c>
      <c r="W103" s="5">
        <f t="shared" si="6"/>
        <v>0</v>
      </c>
    </row>
    <row r="104" spans="1:23" s="36" customFormat="1" hidden="1" x14ac:dyDescent="0.3">
      <c r="A104" s="6"/>
      <c r="B104" s="17">
        <v>36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hidden="1" x14ac:dyDescent="0.3">
      <c r="A105" s="6"/>
      <c r="B105" s="17">
        <v>37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hidden="1" x14ac:dyDescent="0.3">
      <c r="A106" s="6"/>
      <c r="B106" s="17">
        <v>38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hidden="1" x14ac:dyDescent="0.3">
      <c r="A107" s="6"/>
      <c r="B107" s="17">
        <v>39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hidden="1" x14ac:dyDescent="0.3">
      <c r="A108" s="6"/>
      <c r="B108" s="17">
        <v>40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hidden="1" x14ac:dyDescent="0.3">
      <c r="A109" s="6"/>
      <c r="B109" s="17">
        <v>41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hidden="1" x14ac:dyDescent="0.3">
      <c r="A110" s="6"/>
      <c r="B110" s="17">
        <v>42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/>
      <c r="W110" s="5"/>
    </row>
    <row r="111" spans="1:23" s="36" customFormat="1" hidden="1" x14ac:dyDescent="0.3">
      <c r="A111" s="6"/>
      <c r="B111" s="17">
        <v>43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/>
      <c r="W111" s="5"/>
    </row>
    <row r="112" spans="1:23" s="36" customFormat="1" hidden="1" x14ac:dyDescent="0.3">
      <c r="A112" s="6"/>
      <c r="B112" s="17">
        <v>40</v>
      </c>
      <c r="C112" s="18"/>
      <c r="D112" s="19"/>
      <c r="E112" s="19"/>
      <c r="F112" s="35"/>
      <c r="G112" s="97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idden="1" x14ac:dyDescent="0.3">
      <c r="A113" s="6"/>
      <c r="B113" s="17">
        <v>41</v>
      </c>
      <c r="C113" s="18"/>
      <c r="D113" s="19"/>
      <c r="E113" s="19"/>
      <c r="F113" s="35"/>
      <c r="G113" s="97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idden="1" x14ac:dyDescent="0.3">
      <c r="A114" s="6"/>
      <c r="B114" s="17">
        <f t="shared" si="7"/>
        <v>42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idden="1" x14ac:dyDescent="0.3">
      <c r="A115" s="6"/>
      <c r="B115" s="17">
        <f t="shared" si="7"/>
        <v>43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idden="1" x14ac:dyDescent="0.3">
      <c r="A116" s="6"/>
      <c r="B116" s="17">
        <f t="shared" si="7"/>
        <v>44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idden="1" x14ac:dyDescent="0.3">
      <c r="A117" s="6"/>
      <c r="B117" s="17">
        <f t="shared" si="7"/>
        <v>45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idden="1" x14ac:dyDescent="0.3">
      <c r="A118" s="6"/>
      <c r="B118" s="17">
        <f t="shared" si="7"/>
        <v>46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idden="1" x14ac:dyDescent="0.3">
      <c r="A119" s="6"/>
      <c r="B119" s="17">
        <f t="shared" si="7"/>
        <v>47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idden="1" x14ac:dyDescent="0.3">
      <c r="A120" s="6"/>
      <c r="B120" s="17">
        <f t="shared" si="7"/>
        <v>48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idden="1" x14ac:dyDescent="0.3">
      <c r="A121" s="6"/>
      <c r="B121" s="17">
        <f t="shared" si="7"/>
        <v>49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50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24" hidden="1" thickBot="1" x14ac:dyDescent="0.5">
      <c r="A123" s="6"/>
      <c r="B123" s="144" t="s">
        <v>22</v>
      </c>
      <c r="C123" s="145"/>
      <c r="D123" s="145"/>
      <c r="E123" s="145"/>
      <c r="F123" s="145"/>
      <c r="G123" s="145"/>
      <c r="H123" s="146"/>
      <c r="I123" s="83" t="s">
        <v>23</v>
      </c>
      <c r="J123" s="84">
        <f>SUM(J69:J122)</f>
        <v>0</v>
      </c>
      <c r="K123" s="7"/>
      <c r="L123" s="5"/>
      <c r="M123" s="5"/>
      <c r="N123" s="5"/>
      <c r="O123" s="5"/>
      <c r="P123" s="5"/>
      <c r="Q123" s="5"/>
      <c r="R123" s="5"/>
      <c r="V123" s="36">
        <f>SUM(V69:V122)</f>
        <v>0</v>
      </c>
      <c r="W123" s="36">
        <f>SUM(W69:W122)</f>
        <v>0</v>
      </c>
    </row>
    <row r="124" spans="1:23" s="36" customFormat="1" ht="30" hidden="1" customHeight="1" thickBot="1" x14ac:dyDescent="0.35">
      <c r="A124" s="30"/>
      <c r="B124" s="31"/>
      <c r="C124" s="31"/>
      <c r="D124" s="31"/>
      <c r="E124" s="31"/>
      <c r="F124" s="31"/>
      <c r="G124" s="31"/>
      <c r="H124" s="32"/>
      <c r="I124" s="31"/>
      <c r="J124" s="32"/>
      <c r="K124" s="33"/>
      <c r="L124" s="5"/>
      <c r="M124" s="5"/>
      <c r="N124" s="5"/>
      <c r="O124" s="5"/>
      <c r="P124" s="5"/>
      <c r="Q124" s="5"/>
      <c r="R124" s="5"/>
    </row>
    <row r="125" spans="1:23" ht="15" hidden="1" thickBot="1" x14ac:dyDescent="0.35"/>
    <row r="126" spans="1:23" s="36" customFormat="1" ht="30" customHeight="1" thickBot="1" x14ac:dyDescent="0.35">
      <c r="A126" s="1"/>
      <c r="B126" s="2"/>
      <c r="C126" s="2"/>
      <c r="D126" s="2"/>
      <c r="E126" s="2"/>
      <c r="F126" s="2"/>
      <c r="G126" s="2"/>
      <c r="H126" s="3"/>
      <c r="I126" s="2"/>
      <c r="J126" s="3"/>
      <c r="K126" s="4"/>
    </row>
    <row r="127" spans="1:23" s="36" customFormat="1" ht="25.2" thickBot="1" x14ac:dyDescent="0.35">
      <c r="A127" s="6" t="s">
        <v>1</v>
      </c>
      <c r="B127" s="119" t="s">
        <v>2</v>
      </c>
      <c r="C127" s="120"/>
      <c r="D127" s="120"/>
      <c r="E127" s="120"/>
      <c r="F127" s="120"/>
      <c r="G127" s="120"/>
      <c r="H127" s="120"/>
      <c r="I127" s="120"/>
      <c r="J127" s="121"/>
      <c r="K127" s="7"/>
    </row>
    <row r="128" spans="1:23" s="36" customFormat="1" ht="16.2" thickBot="1" x14ac:dyDescent="0.35">
      <c r="A128" s="6"/>
      <c r="B128" s="216">
        <v>45261</v>
      </c>
      <c r="C128" s="169"/>
      <c r="D128" s="169"/>
      <c r="E128" s="169"/>
      <c r="F128" s="169"/>
      <c r="G128" s="169"/>
      <c r="H128" s="169"/>
      <c r="I128" s="169"/>
      <c r="J128" s="170"/>
      <c r="K128" s="7"/>
      <c r="L128" s="22"/>
    </row>
    <row r="129" spans="1:23" s="36" customFormat="1" ht="16.2" thickBot="1" x14ac:dyDescent="0.35">
      <c r="A129" s="6"/>
      <c r="B129" s="106" t="s">
        <v>699</v>
      </c>
      <c r="C129" s="107"/>
      <c r="D129" s="107"/>
      <c r="E129" s="107"/>
      <c r="F129" s="107"/>
      <c r="G129" s="107"/>
      <c r="H129" s="107"/>
      <c r="I129" s="107"/>
      <c r="J129" s="108"/>
      <c r="K129" s="7"/>
    </row>
    <row r="130" spans="1:23" s="22" customFormat="1" ht="15" thickBot="1" x14ac:dyDescent="0.35">
      <c r="A130" s="69"/>
      <c r="B130" s="70" t="s">
        <v>9</v>
      </c>
      <c r="C130" s="71" t="s">
        <v>10</v>
      </c>
      <c r="D130" s="72" t="s">
        <v>11</v>
      </c>
      <c r="E130" s="72" t="s">
        <v>12</v>
      </c>
      <c r="F130" s="73" t="s">
        <v>65</v>
      </c>
      <c r="G130" s="73" t="s">
        <v>66</v>
      </c>
      <c r="H130" s="74" t="s">
        <v>67</v>
      </c>
      <c r="I130" s="73" t="s">
        <v>68</v>
      </c>
      <c r="J130" s="75" t="s">
        <v>17</v>
      </c>
      <c r="K130" s="76"/>
      <c r="L130" s="36"/>
      <c r="M130" s="36"/>
      <c r="N130" s="36"/>
      <c r="O130" s="36" t="s">
        <v>21</v>
      </c>
      <c r="P130" s="36"/>
      <c r="Q130" s="36"/>
      <c r="R130" s="36"/>
      <c r="V130" s="5" t="s">
        <v>5</v>
      </c>
      <c r="W130" s="5" t="s">
        <v>6</v>
      </c>
    </row>
    <row r="131" spans="1:23" s="36" customFormat="1" x14ac:dyDescent="0.3">
      <c r="A131" s="6"/>
      <c r="B131" s="14">
        <v>1</v>
      </c>
      <c r="C131" s="93">
        <v>45261</v>
      </c>
      <c r="D131" s="94" t="s">
        <v>18</v>
      </c>
      <c r="E131" s="94" t="s">
        <v>938</v>
      </c>
      <c r="F131" s="60">
        <v>110</v>
      </c>
      <c r="G131" s="60">
        <v>144</v>
      </c>
      <c r="H131" s="60">
        <f>144-110</f>
        <v>34</v>
      </c>
      <c r="I131" s="15">
        <v>300</v>
      </c>
      <c r="J131" s="16">
        <f t="shared" ref="J131:J178" si="9">I131*H131</f>
        <v>10200</v>
      </c>
      <c r="K131" s="7"/>
      <c r="V131" s="5">
        <f t="shared" ref="V131:V178" si="10">IF($J131&gt;0,1,0)</f>
        <v>1</v>
      </c>
      <c r="W131" s="5">
        <f t="shared" ref="W131:W178" si="11">IF($J131&lt;0,1,0)</f>
        <v>0</v>
      </c>
    </row>
    <row r="132" spans="1:23" s="36" customFormat="1" x14ac:dyDescent="0.3">
      <c r="A132" s="6"/>
      <c r="B132" s="17">
        <f>B131+1</f>
        <v>2</v>
      </c>
      <c r="C132" s="18">
        <v>45264</v>
      </c>
      <c r="D132" s="19" t="s">
        <v>18</v>
      </c>
      <c r="E132" s="19" t="s">
        <v>939</v>
      </c>
      <c r="F132" s="35">
        <v>120</v>
      </c>
      <c r="G132" s="35">
        <v>130</v>
      </c>
      <c r="H132" s="35">
        <v>10</v>
      </c>
      <c r="I132" s="20">
        <v>300</v>
      </c>
      <c r="J132" s="21">
        <f t="shared" si="9"/>
        <v>3000</v>
      </c>
      <c r="K132" s="7"/>
      <c r="L132" s="36" t="s">
        <v>21</v>
      </c>
      <c r="V132" s="5">
        <f t="shared" si="10"/>
        <v>1</v>
      </c>
      <c r="W132" s="5">
        <f t="shared" si="11"/>
        <v>0</v>
      </c>
    </row>
    <row r="133" spans="1:23" s="36" customFormat="1" x14ac:dyDescent="0.3">
      <c r="A133" s="6"/>
      <c r="B133" s="17">
        <f t="shared" ref="B133:B153" si="12">B132+1</f>
        <v>3</v>
      </c>
      <c r="C133" s="18">
        <v>45264</v>
      </c>
      <c r="D133" s="19" t="s">
        <v>18</v>
      </c>
      <c r="E133" s="19" t="s">
        <v>940</v>
      </c>
      <c r="F133" s="35">
        <v>110</v>
      </c>
      <c r="G133" s="35">
        <v>120</v>
      </c>
      <c r="H133" s="35">
        <v>10</v>
      </c>
      <c r="I133" s="20">
        <v>300</v>
      </c>
      <c r="J133" s="21">
        <f t="shared" si="9"/>
        <v>3000</v>
      </c>
      <c r="K133" s="7"/>
      <c r="V133" s="5">
        <f t="shared" si="10"/>
        <v>1</v>
      </c>
      <c r="W133" s="5">
        <f t="shared" si="11"/>
        <v>0</v>
      </c>
    </row>
    <row r="134" spans="1:23" s="36" customFormat="1" x14ac:dyDescent="0.3">
      <c r="A134" s="6"/>
      <c r="B134" s="17">
        <f t="shared" si="12"/>
        <v>4</v>
      </c>
      <c r="C134" s="18">
        <v>45265</v>
      </c>
      <c r="D134" s="19" t="s">
        <v>18</v>
      </c>
      <c r="E134" s="19" t="s">
        <v>941</v>
      </c>
      <c r="F134" s="35">
        <v>100</v>
      </c>
      <c r="G134" s="35">
        <v>135</v>
      </c>
      <c r="H134" s="35">
        <v>35</v>
      </c>
      <c r="I134" s="20">
        <v>300</v>
      </c>
      <c r="J134" s="21">
        <f t="shared" si="9"/>
        <v>10500</v>
      </c>
      <c r="K134" s="7"/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si="12"/>
        <v>5</v>
      </c>
      <c r="C135" s="18">
        <v>45265</v>
      </c>
      <c r="D135" s="19" t="s">
        <v>18</v>
      </c>
      <c r="E135" s="19" t="s">
        <v>942</v>
      </c>
      <c r="F135" s="20">
        <v>120</v>
      </c>
      <c r="G135" s="35">
        <v>135</v>
      </c>
      <c r="H135" s="35">
        <f>135-120</f>
        <v>15</v>
      </c>
      <c r="I135" s="20">
        <v>300</v>
      </c>
      <c r="J135" s="21">
        <f t="shared" ref="J135" si="13">I134*H134</f>
        <v>10500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6</v>
      </c>
      <c r="C136" s="18">
        <v>45266</v>
      </c>
      <c r="D136" s="19" t="s">
        <v>18</v>
      </c>
      <c r="E136" s="19" t="s">
        <v>98</v>
      </c>
      <c r="F136" s="35">
        <v>110</v>
      </c>
      <c r="G136" s="35">
        <v>141</v>
      </c>
      <c r="H136" s="35">
        <f>141-110</f>
        <v>31</v>
      </c>
      <c r="I136" s="20">
        <v>300</v>
      </c>
      <c r="J136" s="21">
        <f t="shared" si="9"/>
        <v>9300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7</v>
      </c>
      <c r="C137" s="18">
        <v>45266</v>
      </c>
      <c r="D137" s="19" t="s">
        <v>18</v>
      </c>
      <c r="E137" s="19" t="s">
        <v>98</v>
      </c>
      <c r="F137" s="35">
        <v>100</v>
      </c>
      <c r="G137" s="35">
        <v>135</v>
      </c>
      <c r="H137" s="35">
        <v>35</v>
      </c>
      <c r="I137" s="20">
        <v>300</v>
      </c>
      <c r="J137" s="21">
        <f t="shared" si="9"/>
        <v>10500</v>
      </c>
      <c r="K137" s="7"/>
      <c r="V137" s="5">
        <f t="shared" si="10"/>
        <v>1</v>
      </c>
      <c r="W137" s="5">
        <f t="shared" si="11"/>
        <v>0</v>
      </c>
    </row>
    <row r="138" spans="1:23" s="36" customFormat="1" x14ac:dyDescent="0.3">
      <c r="A138" s="6"/>
      <c r="B138" s="17">
        <f t="shared" si="12"/>
        <v>8</v>
      </c>
      <c r="C138" s="18">
        <v>45267</v>
      </c>
      <c r="D138" s="19" t="s">
        <v>18</v>
      </c>
      <c r="E138" s="19" t="s">
        <v>942</v>
      </c>
      <c r="F138" s="35">
        <v>105</v>
      </c>
      <c r="G138" s="35">
        <v>110</v>
      </c>
      <c r="H138" s="35">
        <v>5</v>
      </c>
      <c r="I138" s="20">
        <v>300</v>
      </c>
      <c r="J138" s="21">
        <f t="shared" si="9"/>
        <v>1500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9</v>
      </c>
      <c r="C139" s="18">
        <v>45267</v>
      </c>
      <c r="D139" s="19" t="s">
        <v>18</v>
      </c>
      <c r="E139" s="19" t="s">
        <v>942</v>
      </c>
      <c r="F139" s="35">
        <v>115</v>
      </c>
      <c r="G139" s="35">
        <v>135</v>
      </c>
      <c r="H139" s="35">
        <f>135-115</f>
        <v>20</v>
      </c>
      <c r="I139" s="100">
        <v>300</v>
      </c>
      <c r="J139" s="21">
        <f t="shared" si="9"/>
        <v>6000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10</v>
      </c>
      <c r="C140" s="18">
        <v>45267</v>
      </c>
      <c r="D140" s="19" t="s">
        <v>18</v>
      </c>
      <c r="E140" s="19" t="s">
        <v>942</v>
      </c>
      <c r="F140" s="35">
        <v>120</v>
      </c>
      <c r="G140" s="35">
        <v>128</v>
      </c>
      <c r="H140" s="35">
        <v>8</v>
      </c>
      <c r="I140" s="20">
        <v>300</v>
      </c>
      <c r="J140" s="21">
        <f t="shared" si="9"/>
        <v>2400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11</v>
      </c>
      <c r="C141" s="18">
        <v>45268</v>
      </c>
      <c r="D141" s="19" t="s">
        <v>18</v>
      </c>
      <c r="E141" s="19" t="s">
        <v>943</v>
      </c>
      <c r="F141" s="19">
        <v>120</v>
      </c>
      <c r="G141" s="35">
        <v>140</v>
      </c>
      <c r="H141" s="35">
        <v>20</v>
      </c>
      <c r="I141" s="20">
        <v>300</v>
      </c>
      <c r="J141" s="21">
        <f t="shared" si="9"/>
        <v>6000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12</v>
      </c>
      <c r="C142" s="18">
        <v>45268</v>
      </c>
      <c r="D142" s="19" t="s">
        <v>18</v>
      </c>
      <c r="E142" s="19" t="s">
        <v>943</v>
      </c>
      <c r="F142" s="35">
        <v>100</v>
      </c>
      <c r="G142" s="35">
        <v>115</v>
      </c>
      <c r="H142" s="35">
        <v>15</v>
      </c>
      <c r="I142" s="20">
        <v>300</v>
      </c>
      <c r="J142" s="21">
        <f t="shared" si="9"/>
        <v>4500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13</v>
      </c>
      <c r="C143" s="18">
        <v>45271</v>
      </c>
      <c r="D143" s="19" t="s">
        <v>18</v>
      </c>
      <c r="E143" s="19" t="s">
        <v>943</v>
      </c>
      <c r="F143" s="35">
        <v>105</v>
      </c>
      <c r="G143" s="35">
        <v>127</v>
      </c>
      <c r="H143" s="35">
        <f>127-105</f>
        <v>22</v>
      </c>
      <c r="I143" s="20">
        <v>300</v>
      </c>
      <c r="J143" s="21">
        <f t="shared" si="9"/>
        <v>6600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14</v>
      </c>
      <c r="C144" s="18">
        <v>45271</v>
      </c>
      <c r="D144" s="19" t="s">
        <v>18</v>
      </c>
      <c r="E144" s="19" t="s">
        <v>943</v>
      </c>
      <c r="F144" s="77">
        <v>100</v>
      </c>
      <c r="G144" s="35">
        <v>112</v>
      </c>
      <c r="H144" s="78">
        <v>12</v>
      </c>
      <c r="I144" s="20">
        <v>300</v>
      </c>
      <c r="J144" s="21">
        <f t="shared" si="9"/>
        <v>3600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15</v>
      </c>
      <c r="C145" s="18">
        <v>45272</v>
      </c>
      <c r="D145" s="19" t="s">
        <v>18</v>
      </c>
      <c r="E145" s="19" t="s">
        <v>943</v>
      </c>
      <c r="F145" s="35">
        <v>115</v>
      </c>
      <c r="G145" s="35">
        <v>100</v>
      </c>
      <c r="H145" s="78">
        <v>-15</v>
      </c>
      <c r="I145" s="20">
        <v>300</v>
      </c>
      <c r="J145" s="21">
        <f t="shared" si="9"/>
        <v>-4500</v>
      </c>
      <c r="K145" s="7"/>
      <c r="V145" s="5">
        <f t="shared" si="10"/>
        <v>0</v>
      </c>
      <c r="W145" s="5">
        <f t="shared" si="11"/>
        <v>1</v>
      </c>
    </row>
    <row r="146" spans="1:23" s="36" customFormat="1" x14ac:dyDescent="0.3">
      <c r="A146" s="6"/>
      <c r="B146" s="17">
        <f t="shared" si="12"/>
        <v>16</v>
      </c>
      <c r="C146" s="18">
        <v>45273</v>
      </c>
      <c r="D146" s="19" t="s">
        <v>18</v>
      </c>
      <c r="E146" s="19" t="s">
        <v>98</v>
      </c>
      <c r="F146" s="35">
        <v>110</v>
      </c>
      <c r="G146" s="35">
        <v>145</v>
      </c>
      <c r="H146" s="78">
        <f>145-110</f>
        <v>35</v>
      </c>
      <c r="I146" s="20">
        <v>300</v>
      </c>
      <c r="J146" s="21">
        <f t="shared" si="9"/>
        <v>10500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17</v>
      </c>
      <c r="C147" s="18">
        <v>45273</v>
      </c>
      <c r="D147" s="19" t="s">
        <v>18</v>
      </c>
      <c r="E147" s="19" t="s">
        <v>96</v>
      </c>
      <c r="F147" s="35">
        <v>95</v>
      </c>
      <c r="G147" s="35">
        <v>80</v>
      </c>
      <c r="H147" s="78">
        <v>-15</v>
      </c>
      <c r="I147" s="20">
        <v>300</v>
      </c>
      <c r="J147" s="21">
        <f t="shared" si="9"/>
        <v>-4500</v>
      </c>
      <c r="K147" s="7"/>
      <c r="V147" s="5">
        <f t="shared" si="10"/>
        <v>0</v>
      </c>
      <c r="W147" s="5">
        <f t="shared" si="11"/>
        <v>1</v>
      </c>
    </row>
    <row r="148" spans="1:23" s="36" customFormat="1" x14ac:dyDescent="0.3">
      <c r="A148" s="6"/>
      <c r="B148" s="17">
        <f t="shared" si="12"/>
        <v>18</v>
      </c>
      <c r="C148" s="18">
        <v>45274</v>
      </c>
      <c r="D148" s="19" t="s">
        <v>18</v>
      </c>
      <c r="E148" s="19" t="s">
        <v>955</v>
      </c>
      <c r="F148" s="35">
        <v>100</v>
      </c>
      <c r="G148" s="35">
        <v>120</v>
      </c>
      <c r="H148" s="78">
        <v>20</v>
      </c>
      <c r="I148" s="20">
        <v>300</v>
      </c>
      <c r="J148" s="21">
        <f t="shared" si="9"/>
        <v>6000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19</v>
      </c>
      <c r="C149" s="18">
        <v>45274</v>
      </c>
      <c r="D149" s="19" t="s">
        <v>18</v>
      </c>
      <c r="E149" s="19" t="s">
        <v>955</v>
      </c>
      <c r="F149" s="35">
        <v>115</v>
      </c>
      <c r="G149" s="35">
        <v>121</v>
      </c>
      <c r="H149" s="78">
        <f>121-115</f>
        <v>6</v>
      </c>
      <c r="I149" s="20">
        <v>300</v>
      </c>
      <c r="J149" s="21">
        <f t="shared" si="9"/>
        <v>1800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20</v>
      </c>
      <c r="C150" s="18">
        <v>45275</v>
      </c>
      <c r="D150" s="19" t="s">
        <v>18</v>
      </c>
      <c r="E150" s="19" t="s">
        <v>42</v>
      </c>
      <c r="F150" s="35">
        <v>100</v>
      </c>
      <c r="G150" s="35">
        <v>107</v>
      </c>
      <c r="H150" s="35">
        <v>7</v>
      </c>
      <c r="I150" s="20">
        <v>300</v>
      </c>
      <c r="J150" s="21">
        <f t="shared" si="9"/>
        <v>2100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21</v>
      </c>
      <c r="C151" s="18">
        <v>45275</v>
      </c>
      <c r="D151" s="19" t="s">
        <v>18</v>
      </c>
      <c r="E151" s="19" t="s">
        <v>956</v>
      </c>
      <c r="F151" s="35">
        <v>120</v>
      </c>
      <c r="G151" s="35">
        <v>135</v>
      </c>
      <c r="H151" s="35">
        <v>15</v>
      </c>
      <c r="I151" s="20">
        <v>300</v>
      </c>
      <c r="J151" s="21">
        <f t="shared" si="9"/>
        <v>4500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22</v>
      </c>
      <c r="C152" s="18">
        <v>45278</v>
      </c>
      <c r="D152" s="19" t="s">
        <v>18</v>
      </c>
      <c r="E152" s="19" t="s">
        <v>958</v>
      </c>
      <c r="F152" s="35">
        <v>115</v>
      </c>
      <c r="G152" s="35">
        <v>121</v>
      </c>
      <c r="H152" s="35">
        <f>121-115</f>
        <v>6</v>
      </c>
      <c r="I152" s="20">
        <v>300</v>
      </c>
      <c r="J152" s="21">
        <f t="shared" si="9"/>
        <v>1800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23</v>
      </c>
      <c r="C153" s="18">
        <v>45278</v>
      </c>
      <c r="D153" s="19" t="s">
        <v>18</v>
      </c>
      <c r="E153" s="19" t="s">
        <v>958</v>
      </c>
      <c r="F153" s="35">
        <v>115</v>
      </c>
      <c r="G153" s="35">
        <v>123</v>
      </c>
      <c r="H153" s="35">
        <f>123-115</f>
        <v>8</v>
      </c>
      <c r="I153" s="20">
        <v>300</v>
      </c>
      <c r="J153" s="21">
        <f t="shared" si="9"/>
        <v>2400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>B153+1</f>
        <v>24</v>
      </c>
      <c r="C154" s="18">
        <v>45279</v>
      </c>
      <c r="D154" s="19" t="s">
        <v>18</v>
      </c>
      <c r="E154" s="19" t="s">
        <v>963</v>
      </c>
      <c r="F154" s="35">
        <v>110</v>
      </c>
      <c r="G154" s="35">
        <v>140</v>
      </c>
      <c r="H154" s="35">
        <v>30</v>
      </c>
      <c r="I154" s="20">
        <v>300</v>
      </c>
      <c r="J154" s="21">
        <f t="shared" si="9"/>
        <v>9000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ref="B155:B178" si="14">B154+1</f>
        <v>25</v>
      </c>
      <c r="C155" s="18">
        <v>45280</v>
      </c>
      <c r="D155" s="19" t="s">
        <v>18</v>
      </c>
      <c r="E155" s="19" t="s">
        <v>101</v>
      </c>
      <c r="F155" s="35">
        <v>110</v>
      </c>
      <c r="G155" s="35">
        <v>125</v>
      </c>
      <c r="H155" s="35">
        <f>125-110</f>
        <v>15</v>
      </c>
      <c r="I155" s="20">
        <v>300</v>
      </c>
      <c r="J155" s="21">
        <f t="shared" si="9"/>
        <v>4500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4"/>
        <v>26</v>
      </c>
      <c r="C156" s="18">
        <v>45280</v>
      </c>
      <c r="D156" s="19" t="s">
        <v>18</v>
      </c>
      <c r="E156" s="19" t="s">
        <v>101</v>
      </c>
      <c r="F156" s="35">
        <v>110</v>
      </c>
      <c r="G156" s="35">
        <v>95</v>
      </c>
      <c r="H156" s="35">
        <v>-15</v>
      </c>
      <c r="I156" s="20">
        <v>300</v>
      </c>
      <c r="J156" s="21">
        <f t="shared" si="9"/>
        <v>-4500</v>
      </c>
      <c r="K156" s="7"/>
      <c r="V156" s="5">
        <f t="shared" si="10"/>
        <v>0</v>
      </c>
      <c r="W156" s="5">
        <f t="shared" si="11"/>
        <v>1</v>
      </c>
    </row>
    <row r="157" spans="1:23" s="36" customFormat="1" x14ac:dyDescent="0.3">
      <c r="A157" s="6"/>
      <c r="B157" s="17">
        <f t="shared" si="14"/>
        <v>27</v>
      </c>
      <c r="C157" s="18">
        <v>45281</v>
      </c>
      <c r="D157" s="19" t="s">
        <v>18</v>
      </c>
      <c r="E157" s="19" t="s">
        <v>41</v>
      </c>
      <c r="F157" s="35">
        <v>115</v>
      </c>
      <c r="G157" s="35">
        <v>130</v>
      </c>
      <c r="H157" s="35">
        <v>15</v>
      </c>
      <c r="I157" s="20">
        <v>300</v>
      </c>
      <c r="J157" s="21">
        <f t="shared" si="9"/>
        <v>4500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4"/>
        <v>28</v>
      </c>
      <c r="C158" s="18">
        <v>45281</v>
      </c>
      <c r="D158" s="19" t="s">
        <v>18</v>
      </c>
      <c r="E158" s="19" t="s">
        <v>955</v>
      </c>
      <c r="F158" s="35">
        <v>115</v>
      </c>
      <c r="G158" s="35">
        <v>145</v>
      </c>
      <c r="H158" s="35">
        <v>30</v>
      </c>
      <c r="I158" s="20">
        <v>300</v>
      </c>
      <c r="J158" s="21">
        <f t="shared" si="9"/>
        <v>9000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4"/>
        <v>29</v>
      </c>
      <c r="C159" s="18">
        <v>45282</v>
      </c>
      <c r="D159" s="19" t="s">
        <v>18</v>
      </c>
      <c r="E159" s="19" t="s">
        <v>99</v>
      </c>
      <c r="F159" s="35">
        <v>110</v>
      </c>
      <c r="G159" s="35">
        <v>130</v>
      </c>
      <c r="H159" s="19">
        <v>20</v>
      </c>
      <c r="I159" s="20">
        <v>300</v>
      </c>
      <c r="J159" s="21">
        <f t="shared" si="9"/>
        <v>6000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 t="shared" si="14"/>
        <v>30</v>
      </c>
      <c r="C160" s="18">
        <v>45282</v>
      </c>
      <c r="D160" s="19" t="s">
        <v>18</v>
      </c>
      <c r="E160" s="19" t="s">
        <v>42</v>
      </c>
      <c r="F160" s="35">
        <v>90</v>
      </c>
      <c r="G160" s="35">
        <v>125</v>
      </c>
      <c r="H160" s="35">
        <f>125-90</f>
        <v>35</v>
      </c>
      <c r="I160" s="20">
        <v>300</v>
      </c>
      <c r="J160" s="21">
        <f t="shared" si="9"/>
        <v>10500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si="14"/>
        <v>31</v>
      </c>
      <c r="C161" s="18">
        <v>45286</v>
      </c>
      <c r="D161" s="19" t="s">
        <v>18</v>
      </c>
      <c r="E161" s="19" t="s">
        <v>43</v>
      </c>
      <c r="F161" s="35">
        <v>115</v>
      </c>
      <c r="G161" s="35">
        <v>122</v>
      </c>
      <c r="H161" s="35">
        <f>122-115</f>
        <v>7</v>
      </c>
      <c r="I161" s="20">
        <v>300</v>
      </c>
      <c r="J161" s="21">
        <f t="shared" si="9"/>
        <v>2100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4"/>
        <v>32</v>
      </c>
      <c r="C162" s="18">
        <v>45286</v>
      </c>
      <c r="D162" s="19" t="s">
        <v>18</v>
      </c>
      <c r="E162" s="19" t="s">
        <v>101</v>
      </c>
      <c r="F162" s="35">
        <v>100</v>
      </c>
      <c r="G162" s="35">
        <v>112</v>
      </c>
      <c r="H162" s="35">
        <v>12</v>
      </c>
      <c r="I162" s="20">
        <v>300</v>
      </c>
      <c r="J162" s="21">
        <f t="shared" si="9"/>
        <v>3600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4"/>
        <v>33</v>
      </c>
      <c r="C163" s="18">
        <v>45287</v>
      </c>
      <c r="D163" s="19" t="s">
        <v>18</v>
      </c>
      <c r="E163" s="19" t="s">
        <v>101</v>
      </c>
      <c r="F163" s="35">
        <v>100</v>
      </c>
      <c r="G163" s="35">
        <v>130</v>
      </c>
      <c r="H163" s="35">
        <v>30</v>
      </c>
      <c r="I163" s="20">
        <v>300</v>
      </c>
      <c r="J163" s="21">
        <f t="shared" si="9"/>
        <v>9000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4"/>
        <v>34</v>
      </c>
      <c r="C164" s="18">
        <v>45287</v>
      </c>
      <c r="D164" s="19" t="s">
        <v>18</v>
      </c>
      <c r="E164" s="19" t="s">
        <v>968</v>
      </c>
      <c r="F164" s="35">
        <v>100</v>
      </c>
      <c r="G164" s="35">
        <v>120</v>
      </c>
      <c r="H164" s="35">
        <v>20</v>
      </c>
      <c r="I164" s="20">
        <v>300</v>
      </c>
      <c r="J164" s="21">
        <f t="shared" si="9"/>
        <v>6000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4"/>
        <v>35</v>
      </c>
      <c r="C165" s="18">
        <v>45288</v>
      </c>
      <c r="D165" s="19" t="s">
        <v>18</v>
      </c>
      <c r="E165" s="19" t="s">
        <v>969</v>
      </c>
      <c r="F165" s="35">
        <v>115</v>
      </c>
      <c r="G165" s="35">
        <v>130</v>
      </c>
      <c r="H165" s="35">
        <v>15</v>
      </c>
      <c r="I165" s="20">
        <v>300</v>
      </c>
      <c r="J165" s="21">
        <f t="shared" si="9"/>
        <v>4500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4"/>
        <v>36</v>
      </c>
      <c r="C166" s="18">
        <v>45288</v>
      </c>
      <c r="D166" s="19" t="s">
        <v>18</v>
      </c>
      <c r="E166" s="19" t="s">
        <v>970</v>
      </c>
      <c r="F166" s="35">
        <v>115</v>
      </c>
      <c r="G166" s="35">
        <v>150</v>
      </c>
      <c r="H166" s="35">
        <f>150-115</f>
        <v>35</v>
      </c>
      <c r="I166" s="20">
        <v>300</v>
      </c>
      <c r="J166" s="21">
        <f t="shared" si="9"/>
        <v>10500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4"/>
        <v>37</v>
      </c>
      <c r="C167" s="18">
        <v>45289</v>
      </c>
      <c r="D167" s="19" t="s">
        <v>18</v>
      </c>
      <c r="E167" s="19" t="s">
        <v>971</v>
      </c>
      <c r="F167" s="35">
        <v>115</v>
      </c>
      <c r="G167" s="35">
        <v>150</v>
      </c>
      <c r="H167" s="35">
        <v>35</v>
      </c>
      <c r="I167" s="20">
        <v>300</v>
      </c>
      <c r="J167" s="21">
        <f t="shared" si="9"/>
        <v>10500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4"/>
        <v>38</v>
      </c>
      <c r="C168" s="18">
        <v>45289</v>
      </c>
      <c r="D168" s="19" t="s">
        <v>18</v>
      </c>
      <c r="E168" s="19" t="s">
        <v>971</v>
      </c>
      <c r="F168" s="35">
        <v>105</v>
      </c>
      <c r="G168" s="35">
        <v>125</v>
      </c>
      <c r="H168" s="35">
        <v>20</v>
      </c>
      <c r="I168" s="20">
        <v>300</v>
      </c>
      <c r="J168" s="21">
        <f t="shared" si="9"/>
        <v>6000</v>
      </c>
      <c r="K168" s="7"/>
      <c r="V168" s="5">
        <f t="shared" si="10"/>
        <v>1</v>
      </c>
      <c r="W168" s="5">
        <f t="shared" si="11"/>
        <v>0</v>
      </c>
    </row>
    <row r="169" spans="1:23" s="36" customFormat="1" hidden="1" x14ac:dyDescent="0.3">
      <c r="A169" s="6"/>
      <c r="B169" s="17">
        <f t="shared" si="14"/>
        <v>39</v>
      </c>
      <c r="C169" s="18"/>
      <c r="D169" s="19"/>
      <c r="E169" s="19"/>
      <c r="F169" s="35"/>
      <c r="G169" s="35"/>
      <c r="H169" s="35"/>
      <c r="I169" s="20"/>
      <c r="J169" s="21">
        <f t="shared" si="9"/>
        <v>0</v>
      </c>
      <c r="K169" s="7"/>
      <c r="V169" s="5">
        <f t="shared" si="10"/>
        <v>0</v>
      </c>
      <c r="W169" s="5">
        <f t="shared" si="11"/>
        <v>0</v>
      </c>
    </row>
    <row r="170" spans="1:23" s="36" customFormat="1" hidden="1" x14ac:dyDescent="0.3">
      <c r="A170" s="6"/>
      <c r="B170" s="17">
        <f t="shared" si="14"/>
        <v>40</v>
      </c>
      <c r="C170" s="18"/>
      <c r="D170" s="19"/>
      <c r="E170" s="19"/>
      <c r="F170" s="35"/>
      <c r="G170" s="35"/>
      <c r="H170" s="35"/>
      <c r="I170" s="20"/>
      <c r="J170" s="21">
        <f t="shared" si="9"/>
        <v>0</v>
      </c>
      <c r="K170" s="7"/>
      <c r="V170" s="5">
        <f t="shared" si="10"/>
        <v>0</v>
      </c>
      <c r="W170" s="5">
        <f t="shared" si="11"/>
        <v>0</v>
      </c>
    </row>
    <row r="171" spans="1:23" s="36" customFormat="1" hidden="1" x14ac:dyDescent="0.3">
      <c r="A171" s="6"/>
      <c r="B171" s="17">
        <f t="shared" si="14"/>
        <v>41</v>
      </c>
      <c r="C171" s="18"/>
      <c r="D171" s="19"/>
      <c r="E171" s="19"/>
      <c r="F171" s="35"/>
      <c r="G171" s="35"/>
      <c r="H171" s="35"/>
      <c r="I171" s="20"/>
      <c r="J171" s="21">
        <f t="shared" si="9"/>
        <v>0</v>
      </c>
      <c r="K171" s="7"/>
      <c r="V171" s="5">
        <f t="shared" si="10"/>
        <v>0</v>
      </c>
      <c r="W171" s="5">
        <f t="shared" si="11"/>
        <v>0</v>
      </c>
    </row>
    <row r="172" spans="1:23" s="36" customFormat="1" hidden="1" x14ac:dyDescent="0.3">
      <c r="A172" s="6"/>
      <c r="B172" s="17">
        <f t="shared" si="14"/>
        <v>42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hidden="1" x14ac:dyDescent="0.3">
      <c r="A173" s="6"/>
      <c r="B173" s="17">
        <f t="shared" si="14"/>
        <v>43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hidden="1" x14ac:dyDescent="0.3">
      <c r="A174" s="6"/>
      <c r="B174" s="17">
        <f t="shared" si="14"/>
        <v>44</v>
      </c>
      <c r="C174" s="18"/>
      <c r="D174" s="19"/>
      <c r="E174" s="19"/>
      <c r="F174" s="35"/>
      <c r="G174" s="35"/>
      <c r="H174" s="35"/>
      <c r="I174" s="20"/>
      <c r="J174" s="21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hidden="1" x14ac:dyDescent="0.3">
      <c r="A175" s="6"/>
      <c r="B175" s="17">
        <f t="shared" si="14"/>
        <v>45</v>
      </c>
      <c r="C175" s="18"/>
      <c r="D175" s="19"/>
      <c r="E175" s="19"/>
      <c r="F175" s="35"/>
      <c r="G175" s="35"/>
      <c r="H175" s="35"/>
      <c r="I175" s="20"/>
      <c r="J175" s="21">
        <f t="shared" si="9"/>
        <v>0</v>
      </c>
      <c r="K175" s="7"/>
      <c r="V175" s="5">
        <f t="shared" si="10"/>
        <v>0</v>
      </c>
      <c r="W175" s="5">
        <f t="shared" si="11"/>
        <v>0</v>
      </c>
    </row>
    <row r="176" spans="1:23" s="36" customFormat="1" hidden="1" x14ac:dyDescent="0.3">
      <c r="A176" s="6"/>
      <c r="B176" s="17">
        <f t="shared" si="14"/>
        <v>46</v>
      </c>
      <c r="C176" s="18"/>
      <c r="D176" s="19"/>
      <c r="E176" s="19"/>
      <c r="F176" s="35"/>
      <c r="G176" s="35"/>
      <c r="H176" s="35"/>
      <c r="I176" s="20"/>
      <c r="J176" s="21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hidden="1" x14ac:dyDescent="0.3">
      <c r="A177" s="6"/>
      <c r="B177" s="17">
        <f t="shared" si="14"/>
        <v>47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ht="15" hidden="1" thickBot="1" x14ac:dyDescent="0.35">
      <c r="A178" s="6"/>
      <c r="B178" s="95">
        <f t="shared" si="14"/>
        <v>48</v>
      </c>
      <c r="C178" s="79"/>
      <c r="D178" s="80"/>
      <c r="E178" s="80"/>
      <c r="F178" s="96"/>
      <c r="G178" s="96"/>
      <c r="H178" s="96"/>
      <c r="I178" s="81"/>
      <c r="J178" s="82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ht="24" thickBot="1" x14ac:dyDescent="0.5">
      <c r="A179" s="6"/>
      <c r="B179" s="165" t="s">
        <v>22</v>
      </c>
      <c r="C179" s="166"/>
      <c r="D179" s="166"/>
      <c r="E179" s="166"/>
      <c r="F179" s="166"/>
      <c r="G179" s="166"/>
      <c r="H179" s="167"/>
      <c r="I179" s="83" t="s">
        <v>23</v>
      </c>
      <c r="J179" s="84">
        <f>SUM(J131:J178)</f>
        <v>198900</v>
      </c>
      <c r="K179" s="7"/>
      <c r="L179" s="5"/>
      <c r="M179" s="5"/>
      <c r="N179" s="5"/>
      <c r="O179" s="5"/>
      <c r="P179" s="5"/>
      <c r="Q179" s="5"/>
      <c r="R179" s="5"/>
      <c r="V179" s="36">
        <f>SUM(V131:V178)</f>
        <v>35</v>
      </c>
      <c r="W179" s="36">
        <f>SUM(W131:W178)</f>
        <v>3</v>
      </c>
    </row>
    <row r="180" spans="1:23" s="36" customFormat="1" ht="30" customHeight="1" thickBot="1" x14ac:dyDescent="0.35">
      <c r="A180" s="30"/>
      <c r="B180" s="31"/>
      <c r="C180" s="31"/>
      <c r="D180" s="31"/>
      <c r="E180" s="31"/>
      <c r="F180" s="31"/>
      <c r="G180" s="31"/>
      <c r="H180" s="32"/>
      <c r="I180" s="31"/>
      <c r="J180" s="32"/>
      <c r="K180" s="33"/>
      <c r="L180" s="5"/>
      <c r="M180" s="5"/>
      <c r="N180" s="5"/>
      <c r="O180" s="5"/>
      <c r="P180" s="5"/>
      <c r="Q180" s="5"/>
      <c r="R180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7:J67"/>
    <mergeCell ref="M10:M11"/>
    <mergeCell ref="N10:N11"/>
    <mergeCell ref="O10:O11"/>
    <mergeCell ref="P10:P11"/>
    <mergeCell ref="M12:O14"/>
    <mergeCell ref="P12:R14"/>
    <mergeCell ref="B61:H61"/>
    <mergeCell ref="B65:J65"/>
    <mergeCell ref="B66:J66"/>
    <mergeCell ref="Q10:Q11"/>
    <mergeCell ref="R10:R11"/>
    <mergeCell ref="B123:H123"/>
    <mergeCell ref="B127:J127"/>
    <mergeCell ref="B128:J128"/>
    <mergeCell ref="B129:J129"/>
    <mergeCell ref="B179:H179"/>
  </mergeCells>
  <hyperlinks>
    <hyperlink ref="B61" r:id="rId1" xr:uid="{00000000-0004-0000-2900-000000000000}"/>
    <hyperlink ref="B123" r:id="rId2" xr:uid="{00000000-0004-0000-2900-000001000000}"/>
    <hyperlink ref="B179" r:id="rId3" xr:uid="{00000000-0004-0000-2900-000002000000}"/>
    <hyperlink ref="M1" location="MASTER!A1" display="Back" xr:uid="{00000000-0004-0000-2900-000003000000}"/>
    <hyperlink ref="M6:M7" location="'DEC 2023'!A70" display="EXTRA STOCK FUTURE" xr:uid="{00000000-0004-0000-2900-000004000000}"/>
    <hyperlink ref="M8:M9" location="'DEC 2023'!A140" display="EXTRA NIFTY OPTION" xr:uid="{00000000-0004-0000-2900-000005000000}"/>
    <hyperlink ref="M4:M5" location="'DEC 2023'!A1" display="EXTRA BANKNIFTY OPTION" xr:uid="{00000000-0004-0000-2900-000006000000}"/>
  </hyperlinks>
  <pageMargins left="0" right="0" top="0" bottom="0" header="0" footer="0"/>
  <pageSetup paperSize="9" orientation="portrait" r:id="rId4"/>
  <ignoredErrors>
    <ignoredError sqref="J135" formula="1"/>
  </ignoredErrors>
  <drawing r:id="rId5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X180"/>
  <sheetViews>
    <sheetView topLeftCell="A138" zoomScaleNormal="100" workbookViewId="0">
      <selection activeCell="M19" sqref="M19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4" width="9.109375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225" t="s">
        <v>3</v>
      </c>
      <c r="N2" s="226" t="s">
        <v>4</v>
      </c>
      <c r="O2" s="227" t="s">
        <v>5</v>
      </c>
      <c r="P2" s="227" t="s">
        <v>6</v>
      </c>
      <c r="Q2" s="227" t="s">
        <v>7</v>
      </c>
      <c r="R2" s="224" t="s">
        <v>8</v>
      </c>
    </row>
    <row r="3" spans="1:23" ht="16.2" thickBot="1" x14ac:dyDescent="0.35">
      <c r="A3" s="6"/>
      <c r="B3" s="103">
        <v>45292</v>
      </c>
      <c r="C3" s="104"/>
      <c r="D3" s="104"/>
      <c r="E3" s="104"/>
      <c r="F3" s="104"/>
      <c r="G3" s="104"/>
      <c r="H3" s="104"/>
      <c r="I3" s="104"/>
      <c r="J3" s="105"/>
      <c r="K3" s="7"/>
      <c r="M3" s="225"/>
      <c r="N3" s="226"/>
      <c r="O3" s="227"/>
      <c r="P3" s="227"/>
      <c r="Q3" s="227"/>
      <c r="R3" s="224"/>
    </row>
    <row r="4" spans="1:23" ht="16.5" customHeight="1" thickBot="1" x14ac:dyDescent="0.35">
      <c r="A4" s="6"/>
      <c r="B4" s="106" t="s">
        <v>900</v>
      </c>
      <c r="C4" s="107"/>
      <c r="D4" s="107"/>
      <c r="E4" s="107"/>
      <c r="F4" s="107"/>
      <c r="G4" s="107"/>
      <c r="H4" s="107"/>
      <c r="I4" s="107"/>
      <c r="J4" s="108"/>
      <c r="K4" s="7"/>
      <c r="M4" s="221" t="s">
        <v>107</v>
      </c>
      <c r="N4" s="222">
        <f>COUNT(C6:C60)</f>
        <v>40</v>
      </c>
      <c r="O4" s="222">
        <f>V61</f>
        <v>34</v>
      </c>
      <c r="P4" s="222">
        <f>W61</f>
        <v>6</v>
      </c>
      <c r="Q4" s="222">
        <f>N4-O4-P4</f>
        <v>0</v>
      </c>
      <c r="R4" s="220">
        <f>O4/N4</f>
        <v>0.85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221"/>
      <c r="N5" s="222"/>
      <c r="O5" s="222"/>
      <c r="P5" s="222"/>
      <c r="Q5" s="222"/>
      <c r="R5" s="220"/>
      <c r="V5" s="5" t="s">
        <v>5</v>
      </c>
      <c r="W5" s="5" t="s">
        <v>6</v>
      </c>
    </row>
    <row r="6" spans="1:23" ht="15" customHeight="1" thickBot="1" x14ac:dyDescent="0.35">
      <c r="A6" s="6"/>
      <c r="B6" s="88">
        <v>1</v>
      </c>
      <c r="C6" s="89">
        <v>45292</v>
      </c>
      <c r="D6" s="90" t="s">
        <v>18</v>
      </c>
      <c r="E6" s="90" t="s">
        <v>973</v>
      </c>
      <c r="F6" s="90">
        <v>140</v>
      </c>
      <c r="G6" s="90">
        <v>200</v>
      </c>
      <c r="H6" s="91">
        <f>200-140</f>
        <v>60</v>
      </c>
      <c r="I6" s="90">
        <v>120</v>
      </c>
      <c r="J6" s="92">
        <f t="shared" ref="J6:J60" si="0">H6*I6</f>
        <v>7200</v>
      </c>
      <c r="K6" s="7"/>
      <c r="M6" s="221" t="s">
        <v>108</v>
      </c>
      <c r="N6" s="222">
        <f>COUNT(C69:C122)</f>
        <v>0</v>
      </c>
      <c r="O6" s="222">
        <f>V123</f>
        <v>0</v>
      </c>
      <c r="P6" s="222">
        <f>W123</f>
        <v>0</v>
      </c>
      <c r="Q6" s="222">
        <v>0</v>
      </c>
      <c r="R6" s="220" t="e">
        <f t="shared" ref="R6" si="1">O6/N6</f>
        <v>#DIV/0!</v>
      </c>
      <c r="V6" s="5">
        <f t="shared" ref="V6:V60" si="2">IF($J6&gt;0,1,0)</f>
        <v>1</v>
      </c>
      <c r="W6" s="5">
        <f t="shared" ref="W6:W60" si="3">IF($J6&lt;0,1,0)</f>
        <v>0</v>
      </c>
    </row>
    <row r="7" spans="1:23" ht="15" thickBot="1" x14ac:dyDescent="0.35">
      <c r="A7" s="6"/>
      <c r="B7" s="17">
        <v>2</v>
      </c>
      <c r="C7" s="85">
        <v>45292</v>
      </c>
      <c r="D7" s="86" t="s">
        <v>18</v>
      </c>
      <c r="E7" s="86" t="s">
        <v>961</v>
      </c>
      <c r="F7" s="86">
        <v>160</v>
      </c>
      <c r="G7" s="86">
        <v>110</v>
      </c>
      <c r="H7" s="87">
        <v>-50</v>
      </c>
      <c r="I7" s="86">
        <v>120</v>
      </c>
      <c r="J7" s="21">
        <f t="shared" si="0"/>
        <v>-6000</v>
      </c>
      <c r="K7" s="7"/>
      <c r="M7" s="221"/>
      <c r="N7" s="222"/>
      <c r="O7" s="222"/>
      <c r="P7" s="222"/>
      <c r="Q7" s="222"/>
      <c r="R7" s="220"/>
      <c r="V7" s="5">
        <f t="shared" si="2"/>
        <v>0</v>
      </c>
      <c r="W7" s="5">
        <f t="shared" si="3"/>
        <v>1</v>
      </c>
    </row>
    <row r="8" spans="1:23" ht="15" thickBot="1" x14ac:dyDescent="0.35">
      <c r="A8" s="6"/>
      <c r="B8" s="88">
        <v>3</v>
      </c>
      <c r="C8" s="85">
        <v>45293</v>
      </c>
      <c r="D8" s="86" t="s">
        <v>18</v>
      </c>
      <c r="E8" s="86" t="s">
        <v>974</v>
      </c>
      <c r="F8" s="86">
        <v>130</v>
      </c>
      <c r="G8" s="86">
        <v>80</v>
      </c>
      <c r="H8" s="87">
        <v>-50</v>
      </c>
      <c r="I8" s="86">
        <v>120</v>
      </c>
      <c r="J8" s="21">
        <f t="shared" si="0"/>
        <v>-6000</v>
      </c>
      <c r="K8" s="7"/>
      <c r="M8" s="223" t="s">
        <v>194</v>
      </c>
      <c r="N8" s="222">
        <f>COUNT(C131:C178)</f>
        <v>42</v>
      </c>
      <c r="O8" s="222">
        <f>V179</f>
        <v>36</v>
      </c>
      <c r="P8" s="222">
        <f>W179</f>
        <v>6</v>
      </c>
      <c r="Q8" s="222">
        <v>0</v>
      </c>
      <c r="R8" s="220">
        <f t="shared" ref="R8:R10" si="4">O8/N8</f>
        <v>0.8571428571428571</v>
      </c>
      <c r="V8" s="5">
        <f t="shared" si="2"/>
        <v>0</v>
      </c>
      <c r="W8" s="5">
        <f t="shared" si="3"/>
        <v>1</v>
      </c>
    </row>
    <row r="9" spans="1:23" ht="15" thickBot="1" x14ac:dyDescent="0.35">
      <c r="A9" s="6"/>
      <c r="B9" s="17">
        <v>4</v>
      </c>
      <c r="C9" s="85">
        <v>45293</v>
      </c>
      <c r="D9" s="86" t="s">
        <v>18</v>
      </c>
      <c r="E9" s="86" t="s">
        <v>967</v>
      </c>
      <c r="F9" s="86">
        <v>150</v>
      </c>
      <c r="G9" s="86">
        <v>250</v>
      </c>
      <c r="H9" s="87">
        <v>100</v>
      </c>
      <c r="I9" s="86">
        <v>120</v>
      </c>
      <c r="J9" s="21">
        <f t="shared" si="0"/>
        <v>12000</v>
      </c>
      <c r="K9" s="7"/>
      <c r="M9" s="223"/>
      <c r="N9" s="222"/>
      <c r="O9" s="222"/>
      <c r="P9" s="222"/>
      <c r="Q9" s="222"/>
      <c r="R9" s="220"/>
      <c r="V9" s="5">
        <f t="shared" si="2"/>
        <v>1</v>
      </c>
      <c r="W9" s="5">
        <f t="shared" si="3"/>
        <v>0</v>
      </c>
    </row>
    <row r="10" spans="1:23" ht="16.5" customHeight="1" thickBot="1" x14ac:dyDescent="0.35">
      <c r="A10" s="6"/>
      <c r="B10" s="88">
        <v>5</v>
      </c>
      <c r="C10" s="85">
        <v>45294</v>
      </c>
      <c r="D10" s="86" t="s">
        <v>18</v>
      </c>
      <c r="E10" s="86" t="s">
        <v>977</v>
      </c>
      <c r="F10" s="86">
        <v>150</v>
      </c>
      <c r="G10" s="86">
        <v>100</v>
      </c>
      <c r="H10" s="87">
        <v>50</v>
      </c>
      <c r="I10" s="86">
        <v>120</v>
      </c>
      <c r="J10" s="21">
        <f t="shared" si="0"/>
        <v>6000</v>
      </c>
      <c r="K10" s="7"/>
      <c r="M10" s="218" t="s">
        <v>19</v>
      </c>
      <c r="N10" s="219">
        <f>SUM(N4:N9)</f>
        <v>82</v>
      </c>
      <c r="O10" s="219">
        <f>SUM(O4:O9)</f>
        <v>70</v>
      </c>
      <c r="P10" s="219">
        <f>SUM(P4:P9)</f>
        <v>12</v>
      </c>
      <c r="Q10" s="219">
        <f>SUM(Q4:Q9)</f>
        <v>0</v>
      </c>
      <c r="R10" s="220">
        <f t="shared" si="4"/>
        <v>0.85365853658536583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45294</v>
      </c>
      <c r="D11" s="86" t="s">
        <v>18</v>
      </c>
      <c r="E11" s="86" t="s">
        <v>945</v>
      </c>
      <c r="F11" s="86">
        <v>180</v>
      </c>
      <c r="G11" s="86">
        <v>250</v>
      </c>
      <c r="H11" s="87">
        <f>250-180</f>
        <v>70</v>
      </c>
      <c r="I11" s="86">
        <v>120</v>
      </c>
      <c r="J11" s="21">
        <f t="shared" si="0"/>
        <v>8400</v>
      </c>
      <c r="K11" s="7"/>
      <c r="M11" s="218"/>
      <c r="N11" s="219"/>
      <c r="O11" s="219"/>
      <c r="P11" s="219"/>
      <c r="Q11" s="219"/>
      <c r="R11" s="220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45295</v>
      </c>
      <c r="D12" s="86" t="s">
        <v>18</v>
      </c>
      <c r="E12" s="86" t="s">
        <v>965</v>
      </c>
      <c r="F12" s="86">
        <v>160</v>
      </c>
      <c r="G12" s="86">
        <v>210</v>
      </c>
      <c r="H12" s="87">
        <v>50</v>
      </c>
      <c r="I12" s="86">
        <v>120</v>
      </c>
      <c r="J12" s="21">
        <f t="shared" si="0"/>
        <v>6000</v>
      </c>
      <c r="K12" s="7"/>
      <c r="M12" s="129" t="s">
        <v>20</v>
      </c>
      <c r="N12" s="130"/>
      <c r="O12" s="131"/>
      <c r="P12" s="138">
        <f>R10</f>
        <v>0.85365853658536583</v>
      </c>
      <c r="Q12" s="139"/>
      <c r="R12" s="140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45295</v>
      </c>
      <c r="D13" s="86" t="s">
        <v>18</v>
      </c>
      <c r="E13" s="86" t="s">
        <v>952</v>
      </c>
      <c r="F13" s="86">
        <v>170</v>
      </c>
      <c r="G13" s="86">
        <v>270</v>
      </c>
      <c r="H13" s="87">
        <v>100</v>
      </c>
      <c r="I13" s="86">
        <v>120</v>
      </c>
      <c r="J13" s="21">
        <f t="shared" si="0"/>
        <v>12000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45296</v>
      </c>
      <c r="D14" s="86" t="s">
        <v>18</v>
      </c>
      <c r="E14" s="86" t="s">
        <v>973</v>
      </c>
      <c r="F14" s="86">
        <v>150</v>
      </c>
      <c r="G14" s="86">
        <v>100</v>
      </c>
      <c r="H14" s="87">
        <v>-50</v>
      </c>
      <c r="I14" s="86">
        <v>120</v>
      </c>
      <c r="J14" s="21">
        <f t="shared" si="0"/>
        <v>-6000</v>
      </c>
      <c r="K14" s="7"/>
      <c r="M14" s="132"/>
      <c r="N14" s="133"/>
      <c r="O14" s="134"/>
      <c r="P14" s="141"/>
      <c r="Q14" s="142"/>
      <c r="R14" s="143"/>
      <c r="V14" s="5">
        <f t="shared" si="2"/>
        <v>0</v>
      </c>
      <c r="W14" s="5">
        <f t="shared" si="3"/>
        <v>1</v>
      </c>
    </row>
    <row r="15" spans="1:23" x14ac:dyDescent="0.3">
      <c r="A15" s="6"/>
      <c r="B15" s="17">
        <v>10</v>
      </c>
      <c r="C15" s="85">
        <v>45296</v>
      </c>
      <c r="D15" s="86" t="s">
        <v>18</v>
      </c>
      <c r="E15" s="86" t="s">
        <v>966</v>
      </c>
      <c r="F15" s="86">
        <v>150</v>
      </c>
      <c r="G15" s="86">
        <v>100</v>
      </c>
      <c r="H15" s="87">
        <v>-50</v>
      </c>
      <c r="I15" s="86">
        <v>120</v>
      </c>
      <c r="J15" s="21">
        <f t="shared" si="0"/>
        <v>-6000</v>
      </c>
      <c r="K15" s="7"/>
      <c r="V15" s="5">
        <f t="shared" si="2"/>
        <v>0</v>
      </c>
      <c r="W15" s="5">
        <f t="shared" si="3"/>
        <v>1</v>
      </c>
    </row>
    <row r="16" spans="1:23" x14ac:dyDescent="0.3">
      <c r="A16" s="6"/>
      <c r="B16" s="88">
        <v>11</v>
      </c>
      <c r="C16" s="85">
        <v>45299</v>
      </c>
      <c r="D16" s="86" t="s">
        <v>18</v>
      </c>
      <c r="E16" s="86" t="s">
        <v>967</v>
      </c>
      <c r="F16" s="86">
        <v>150</v>
      </c>
      <c r="G16" s="86">
        <v>250</v>
      </c>
      <c r="H16" s="87">
        <v>100</v>
      </c>
      <c r="I16" s="86">
        <v>120</v>
      </c>
      <c r="J16" s="21">
        <f t="shared" si="0"/>
        <v>12000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85">
        <v>45299</v>
      </c>
      <c r="D17" s="86" t="s">
        <v>18</v>
      </c>
      <c r="E17" s="86" t="s">
        <v>967</v>
      </c>
      <c r="F17" s="86">
        <v>150</v>
      </c>
      <c r="G17" s="86">
        <v>250</v>
      </c>
      <c r="H17" s="87">
        <v>100</v>
      </c>
      <c r="I17" s="86">
        <v>120</v>
      </c>
      <c r="J17" s="21">
        <f t="shared" si="0"/>
        <v>12000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85">
        <v>45300</v>
      </c>
      <c r="D18" s="86" t="s">
        <v>18</v>
      </c>
      <c r="E18" s="86" t="s">
        <v>977</v>
      </c>
      <c r="F18" s="86">
        <v>150</v>
      </c>
      <c r="G18" s="86">
        <v>214</v>
      </c>
      <c r="H18" s="87">
        <f>214-150</f>
        <v>64</v>
      </c>
      <c r="I18" s="86">
        <v>120</v>
      </c>
      <c r="J18" s="21">
        <f t="shared" si="0"/>
        <v>7680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85">
        <v>45300</v>
      </c>
      <c r="D19" s="86" t="s">
        <v>18</v>
      </c>
      <c r="E19" s="86" t="s">
        <v>960</v>
      </c>
      <c r="F19" s="86">
        <v>150</v>
      </c>
      <c r="G19" s="86">
        <v>200</v>
      </c>
      <c r="H19" s="87">
        <v>50</v>
      </c>
      <c r="I19" s="86">
        <v>120</v>
      </c>
      <c r="J19" s="21">
        <f t="shared" si="0"/>
        <v>6000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85">
        <v>45301</v>
      </c>
      <c r="D20" s="86" t="s">
        <v>18</v>
      </c>
      <c r="E20" s="86" t="s">
        <v>978</v>
      </c>
      <c r="F20" s="86">
        <v>120</v>
      </c>
      <c r="G20" s="86">
        <v>183</v>
      </c>
      <c r="H20" s="87">
        <f>183-120</f>
        <v>63</v>
      </c>
      <c r="I20" s="86">
        <v>120</v>
      </c>
      <c r="J20" s="21">
        <f t="shared" si="0"/>
        <v>7560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85">
        <v>45301</v>
      </c>
      <c r="D21" s="86" t="s">
        <v>18</v>
      </c>
      <c r="E21" s="86" t="s">
        <v>978</v>
      </c>
      <c r="F21" s="86">
        <v>160</v>
      </c>
      <c r="G21" s="86">
        <v>175</v>
      </c>
      <c r="H21" s="87">
        <v>15</v>
      </c>
      <c r="I21" s="86">
        <v>120</v>
      </c>
      <c r="J21" s="21">
        <f t="shared" si="0"/>
        <v>1800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45302</v>
      </c>
      <c r="D22" s="19" t="s">
        <v>18</v>
      </c>
      <c r="E22" s="19" t="s">
        <v>979</v>
      </c>
      <c r="F22" s="35">
        <v>150</v>
      </c>
      <c r="G22" s="35">
        <v>250</v>
      </c>
      <c r="H22" s="35">
        <v>100</v>
      </c>
      <c r="I22" s="86">
        <v>120</v>
      </c>
      <c r="J22" s="21">
        <f t="shared" si="0"/>
        <v>12000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45302</v>
      </c>
      <c r="D23" s="19" t="s">
        <v>18</v>
      </c>
      <c r="E23" s="19" t="s">
        <v>979</v>
      </c>
      <c r="F23" s="35">
        <v>160</v>
      </c>
      <c r="G23" s="35">
        <v>260</v>
      </c>
      <c r="H23" s="35">
        <v>100</v>
      </c>
      <c r="I23" s="86">
        <v>120</v>
      </c>
      <c r="J23" s="21">
        <f t="shared" si="0"/>
        <v>12000</v>
      </c>
      <c r="K23" s="7"/>
      <c r="V23" s="5">
        <f t="shared" si="2"/>
        <v>1</v>
      </c>
      <c r="W23" s="5">
        <f t="shared" si="3"/>
        <v>0</v>
      </c>
    </row>
    <row r="24" spans="1:23" x14ac:dyDescent="0.3">
      <c r="A24" s="6"/>
      <c r="B24" s="88">
        <v>19</v>
      </c>
      <c r="C24" s="18">
        <v>45303</v>
      </c>
      <c r="D24" s="19" t="s">
        <v>18</v>
      </c>
      <c r="E24" s="19" t="s">
        <v>979</v>
      </c>
      <c r="F24" s="35">
        <v>130</v>
      </c>
      <c r="G24" s="35">
        <v>153</v>
      </c>
      <c r="H24" s="35">
        <f>153-130</f>
        <v>23</v>
      </c>
      <c r="I24" s="20">
        <v>120</v>
      </c>
      <c r="J24" s="21">
        <f t="shared" si="0"/>
        <v>2760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45303</v>
      </c>
      <c r="D25" s="19" t="s">
        <v>18</v>
      </c>
      <c r="E25" s="19" t="s">
        <v>951</v>
      </c>
      <c r="F25" s="35">
        <v>130</v>
      </c>
      <c r="G25" s="35">
        <v>180</v>
      </c>
      <c r="H25" s="35">
        <v>50</v>
      </c>
      <c r="I25" s="20">
        <v>120</v>
      </c>
      <c r="J25" s="21">
        <f t="shared" si="0"/>
        <v>6000</v>
      </c>
      <c r="K25" s="7"/>
      <c r="V25" s="5">
        <f t="shared" si="2"/>
        <v>1</v>
      </c>
      <c r="W25" s="5">
        <f t="shared" si="3"/>
        <v>0</v>
      </c>
    </row>
    <row r="26" spans="1:23" x14ac:dyDescent="0.3">
      <c r="A26" s="6"/>
      <c r="B26" s="88">
        <v>21</v>
      </c>
      <c r="C26" s="18">
        <v>45306</v>
      </c>
      <c r="D26" s="19" t="s">
        <v>18</v>
      </c>
      <c r="E26" s="19" t="s">
        <v>952</v>
      </c>
      <c r="F26" s="35">
        <v>150</v>
      </c>
      <c r="G26" s="35">
        <v>188</v>
      </c>
      <c r="H26" s="35">
        <f>188-150</f>
        <v>38</v>
      </c>
      <c r="I26" s="20">
        <v>120</v>
      </c>
      <c r="J26" s="21">
        <f t="shared" si="0"/>
        <v>4560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45306</v>
      </c>
      <c r="D27" s="19" t="s">
        <v>18</v>
      </c>
      <c r="E27" s="19" t="s">
        <v>952</v>
      </c>
      <c r="F27" s="35">
        <v>130</v>
      </c>
      <c r="G27" s="35">
        <v>230</v>
      </c>
      <c r="H27" s="19">
        <v>100</v>
      </c>
      <c r="I27" s="20">
        <v>120</v>
      </c>
      <c r="J27" s="21">
        <f t="shared" si="0"/>
        <v>12000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45307</v>
      </c>
      <c r="D28" s="19" t="s">
        <v>18</v>
      </c>
      <c r="E28" s="19" t="s">
        <v>981</v>
      </c>
      <c r="F28" s="35">
        <v>140</v>
      </c>
      <c r="G28" s="35">
        <v>240</v>
      </c>
      <c r="H28" s="19">
        <v>100</v>
      </c>
      <c r="I28" s="20">
        <v>120</v>
      </c>
      <c r="J28" s="21">
        <f t="shared" si="0"/>
        <v>12000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45308</v>
      </c>
      <c r="D29" s="19" t="s">
        <v>18</v>
      </c>
      <c r="E29" s="19" t="s">
        <v>950</v>
      </c>
      <c r="F29" s="20">
        <v>160</v>
      </c>
      <c r="G29" s="20">
        <v>260</v>
      </c>
      <c r="H29" s="19">
        <v>100</v>
      </c>
      <c r="I29" s="20">
        <v>120</v>
      </c>
      <c r="J29" s="21">
        <f t="shared" si="0"/>
        <v>12000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45309</v>
      </c>
      <c r="D30" s="25" t="s">
        <v>18</v>
      </c>
      <c r="E30" s="25" t="s">
        <v>873</v>
      </c>
      <c r="F30" s="26">
        <v>160</v>
      </c>
      <c r="G30" s="61">
        <v>230</v>
      </c>
      <c r="H30" s="61">
        <f>230-160</f>
        <v>70</v>
      </c>
      <c r="I30" s="26">
        <v>120</v>
      </c>
      <c r="J30" s="21">
        <f t="shared" si="0"/>
        <v>8400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45309</v>
      </c>
      <c r="D31" s="25" t="s">
        <v>18</v>
      </c>
      <c r="E31" s="25" t="s">
        <v>910</v>
      </c>
      <c r="F31" s="26">
        <v>170</v>
      </c>
      <c r="G31" s="61">
        <v>220</v>
      </c>
      <c r="H31" s="61">
        <f>220-170</f>
        <v>50</v>
      </c>
      <c r="I31" s="26">
        <v>120</v>
      </c>
      <c r="J31" s="21">
        <f t="shared" si="0"/>
        <v>6000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45310</v>
      </c>
      <c r="D32" s="25" t="s">
        <v>18</v>
      </c>
      <c r="E32" s="25" t="s">
        <v>944</v>
      </c>
      <c r="F32" s="26">
        <v>170</v>
      </c>
      <c r="G32" s="61">
        <v>195</v>
      </c>
      <c r="H32" s="61">
        <v>25</v>
      </c>
      <c r="I32" s="26">
        <v>120</v>
      </c>
      <c r="J32" s="21">
        <f t="shared" si="0"/>
        <v>3000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45311</v>
      </c>
      <c r="D33" s="25" t="s">
        <v>18</v>
      </c>
      <c r="E33" s="25" t="s">
        <v>985</v>
      </c>
      <c r="F33" s="26">
        <v>140</v>
      </c>
      <c r="G33" s="61">
        <v>150</v>
      </c>
      <c r="H33" s="61">
        <v>10</v>
      </c>
      <c r="I33" s="26">
        <v>120</v>
      </c>
      <c r="J33" s="21">
        <f t="shared" si="0"/>
        <v>1200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45314</v>
      </c>
      <c r="D34" s="25" t="s">
        <v>18</v>
      </c>
      <c r="E34" s="25" t="s">
        <v>947</v>
      </c>
      <c r="F34" s="26">
        <v>150</v>
      </c>
      <c r="G34" s="61">
        <v>250</v>
      </c>
      <c r="H34" s="61">
        <v>100</v>
      </c>
      <c r="I34" s="26">
        <v>120</v>
      </c>
      <c r="J34" s="21">
        <f t="shared" si="0"/>
        <v>12000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45314</v>
      </c>
      <c r="D35" s="25" t="s">
        <v>18</v>
      </c>
      <c r="E35" s="25" t="s">
        <v>904</v>
      </c>
      <c r="F35" s="26">
        <v>150</v>
      </c>
      <c r="G35" s="61">
        <v>250</v>
      </c>
      <c r="H35" s="61">
        <v>100</v>
      </c>
      <c r="I35" s="26">
        <v>120</v>
      </c>
      <c r="J35" s="21">
        <f t="shared" si="0"/>
        <v>12000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45315</v>
      </c>
      <c r="D36" s="25" t="s">
        <v>18</v>
      </c>
      <c r="E36" s="25" t="s">
        <v>910</v>
      </c>
      <c r="F36" s="26">
        <v>140</v>
      </c>
      <c r="G36" s="61">
        <v>105</v>
      </c>
      <c r="H36" s="61">
        <v>-35</v>
      </c>
      <c r="I36" s="26">
        <v>120</v>
      </c>
      <c r="J36" s="21">
        <f t="shared" si="0"/>
        <v>-4200</v>
      </c>
      <c r="K36" s="7"/>
      <c r="V36" s="5">
        <f t="shared" si="2"/>
        <v>0</v>
      </c>
      <c r="W36" s="5">
        <f t="shared" si="3"/>
        <v>1</v>
      </c>
    </row>
    <row r="37" spans="1:23" x14ac:dyDescent="0.3">
      <c r="A37" s="6"/>
      <c r="B37" s="17">
        <v>32</v>
      </c>
      <c r="C37" s="24">
        <v>45315</v>
      </c>
      <c r="D37" s="25" t="s">
        <v>18</v>
      </c>
      <c r="E37" s="25" t="s">
        <v>868</v>
      </c>
      <c r="F37" s="26">
        <v>170</v>
      </c>
      <c r="G37" s="61">
        <v>270</v>
      </c>
      <c r="H37" s="61">
        <v>100</v>
      </c>
      <c r="I37" s="26">
        <v>120</v>
      </c>
      <c r="J37" s="21">
        <f t="shared" si="0"/>
        <v>12000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45315</v>
      </c>
      <c r="D38" s="25" t="s">
        <v>18</v>
      </c>
      <c r="E38" s="25" t="s">
        <v>910</v>
      </c>
      <c r="F38" s="26">
        <v>160</v>
      </c>
      <c r="G38" s="61">
        <v>210</v>
      </c>
      <c r="H38" s="61">
        <f>210-160</f>
        <v>50</v>
      </c>
      <c r="I38" s="26">
        <v>120</v>
      </c>
      <c r="J38" s="21">
        <f t="shared" si="0"/>
        <v>6000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45316</v>
      </c>
      <c r="D39" s="25" t="s">
        <v>18</v>
      </c>
      <c r="E39" s="25" t="s">
        <v>873</v>
      </c>
      <c r="F39" s="26">
        <v>140</v>
      </c>
      <c r="G39" s="61">
        <v>240</v>
      </c>
      <c r="H39" s="61">
        <v>100</v>
      </c>
      <c r="I39" s="26">
        <v>120</v>
      </c>
      <c r="J39" s="21">
        <f t="shared" si="0"/>
        <v>12000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45316</v>
      </c>
      <c r="D40" s="25" t="s">
        <v>18</v>
      </c>
      <c r="E40" s="25" t="s">
        <v>876</v>
      </c>
      <c r="F40" s="26">
        <v>130</v>
      </c>
      <c r="G40" s="61">
        <v>230</v>
      </c>
      <c r="H40" s="61">
        <v>100</v>
      </c>
      <c r="I40" s="26">
        <v>120</v>
      </c>
      <c r="J40" s="21">
        <f t="shared" si="0"/>
        <v>12000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18">
        <v>45320</v>
      </c>
      <c r="D41" s="19" t="s">
        <v>18</v>
      </c>
      <c r="E41" s="19" t="s">
        <v>917</v>
      </c>
      <c r="F41" s="35">
        <v>140</v>
      </c>
      <c r="G41" s="35">
        <v>90</v>
      </c>
      <c r="H41" s="35">
        <v>-50</v>
      </c>
      <c r="I41" s="26">
        <v>120</v>
      </c>
      <c r="J41" s="21">
        <f t="shared" si="0"/>
        <v>-6000</v>
      </c>
      <c r="K41" s="7"/>
      <c r="V41" s="5">
        <f t="shared" si="2"/>
        <v>0</v>
      </c>
      <c r="W41" s="5">
        <f t="shared" si="3"/>
        <v>1</v>
      </c>
    </row>
    <row r="42" spans="1:23" x14ac:dyDescent="0.3">
      <c r="A42" s="6"/>
      <c r="B42" s="17">
        <v>37</v>
      </c>
      <c r="C42" s="18">
        <v>45320</v>
      </c>
      <c r="D42" s="19" t="s">
        <v>18</v>
      </c>
      <c r="E42" s="19" t="s">
        <v>992</v>
      </c>
      <c r="F42" s="35">
        <v>150</v>
      </c>
      <c r="G42" s="35">
        <v>250</v>
      </c>
      <c r="H42" s="35">
        <v>100</v>
      </c>
      <c r="I42" s="26">
        <v>120</v>
      </c>
      <c r="J42" s="21">
        <f t="shared" si="0"/>
        <v>12000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17">
        <v>38</v>
      </c>
      <c r="C43" s="18">
        <v>45321</v>
      </c>
      <c r="D43" s="19" t="s">
        <v>18</v>
      </c>
      <c r="E43" s="19" t="s">
        <v>905</v>
      </c>
      <c r="F43" s="35">
        <v>140</v>
      </c>
      <c r="G43" s="35">
        <v>178</v>
      </c>
      <c r="H43" s="35">
        <f>178-140</f>
        <v>38</v>
      </c>
      <c r="I43" s="26">
        <v>120</v>
      </c>
      <c r="J43" s="21">
        <f t="shared" si="0"/>
        <v>4560</v>
      </c>
      <c r="K43" s="7"/>
      <c r="V43" s="5">
        <f t="shared" si="2"/>
        <v>1</v>
      </c>
      <c r="W43" s="5">
        <f t="shared" si="3"/>
        <v>0</v>
      </c>
    </row>
    <row r="44" spans="1:23" x14ac:dyDescent="0.3">
      <c r="A44" s="6"/>
      <c r="B44" s="17">
        <v>39</v>
      </c>
      <c r="C44" s="18">
        <v>45322</v>
      </c>
      <c r="D44" s="19" t="s">
        <v>18</v>
      </c>
      <c r="E44" s="19" t="s">
        <v>896</v>
      </c>
      <c r="F44" s="35">
        <v>140</v>
      </c>
      <c r="G44" s="35">
        <v>170</v>
      </c>
      <c r="H44" s="35">
        <v>30</v>
      </c>
      <c r="I44" s="26">
        <v>120</v>
      </c>
      <c r="J44" s="21">
        <f t="shared" si="0"/>
        <v>3600</v>
      </c>
      <c r="K44" s="7"/>
      <c r="V44" s="5">
        <f t="shared" si="2"/>
        <v>1</v>
      </c>
      <c r="W44" s="5">
        <f t="shared" si="3"/>
        <v>0</v>
      </c>
    </row>
    <row r="45" spans="1:23" x14ac:dyDescent="0.3">
      <c r="A45" s="6"/>
      <c r="B45" s="17">
        <v>40</v>
      </c>
      <c r="C45" s="24">
        <v>45322</v>
      </c>
      <c r="D45" s="25" t="s">
        <v>18</v>
      </c>
      <c r="E45" s="25" t="s">
        <v>992</v>
      </c>
      <c r="F45" s="26">
        <v>160</v>
      </c>
      <c r="G45" s="61">
        <v>200</v>
      </c>
      <c r="H45" s="61">
        <v>40</v>
      </c>
      <c r="I45" s="26">
        <v>120</v>
      </c>
      <c r="J45" s="21">
        <f t="shared" si="0"/>
        <v>4800</v>
      </c>
      <c r="K45" s="7"/>
      <c r="V45" s="5">
        <f t="shared" si="2"/>
        <v>1</v>
      </c>
      <c r="W45" s="5">
        <f t="shared" si="3"/>
        <v>0</v>
      </c>
    </row>
    <row r="46" spans="1:23" ht="15" thickBot="1" x14ac:dyDescent="0.35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ht="15" hidden="1" thickBot="1" x14ac:dyDescent="0.35">
      <c r="A47" s="6"/>
      <c r="B47" s="17">
        <v>40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ht="15" hidden="1" thickBot="1" x14ac:dyDescent="0.35">
      <c r="A48" s="6"/>
      <c r="B48" s="17">
        <v>41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ht="15" hidden="1" thickBot="1" x14ac:dyDescent="0.35">
      <c r="A49" s="6"/>
      <c r="B49" s="88">
        <v>39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ht="15" hidden="1" thickBot="1" x14ac:dyDescent="0.35">
      <c r="A50" s="6"/>
      <c r="B50" s="17">
        <v>40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t="15" hidden="1" thickBot="1" x14ac:dyDescent="0.35">
      <c r="A51" s="6"/>
      <c r="B51" s="88">
        <v>41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t="15" hidden="1" thickBot="1" x14ac:dyDescent="0.35">
      <c r="A52" s="6"/>
      <c r="B52" s="17">
        <v>42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t="15" hidden="1" thickBot="1" x14ac:dyDescent="0.35">
      <c r="A53" s="6"/>
      <c r="B53" s="88">
        <v>43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t="15" hidden="1" thickBot="1" x14ac:dyDescent="0.35">
      <c r="A54" s="6"/>
      <c r="B54" s="17">
        <v>44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t="15" hidden="1" thickBot="1" x14ac:dyDescent="0.35">
      <c r="A55" s="6"/>
      <c r="B55" s="88">
        <v>45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t="15" hidden="1" thickBot="1" x14ac:dyDescent="0.35">
      <c r="A56" s="6"/>
      <c r="B56" s="17">
        <v>46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t="15" hidden="1" thickBot="1" x14ac:dyDescent="0.35">
      <c r="A57" s="6"/>
      <c r="B57" s="88">
        <v>47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hidden="1" thickBot="1" x14ac:dyDescent="0.35">
      <c r="A58" s="6"/>
      <c r="B58" s="17">
        <v>48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15" hidden="1" thickBot="1" x14ac:dyDescent="0.35">
      <c r="A59" s="6"/>
      <c r="B59" s="88">
        <v>49</v>
      </c>
      <c r="C59" s="24"/>
      <c r="D59" s="25"/>
      <c r="E59" s="25"/>
      <c r="F59" s="26"/>
      <c r="G59" s="61"/>
      <c r="H59" s="61"/>
      <c r="I59" s="26"/>
      <c r="J59" s="21">
        <f t="shared" si="0"/>
        <v>0</v>
      </c>
      <c r="K59" s="7"/>
      <c r="V59" s="5">
        <f t="shared" si="2"/>
        <v>0</v>
      </c>
      <c r="W59" s="5">
        <f t="shared" si="3"/>
        <v>0</v>
      </c>
    </row>
    <row r="60" spans="1:23" ht="15" hidden="1" thickBot="1" x14ac:dyDescent="0.35">
      <c r="A60" s="6"/>
      <c r="B60" s="17">
        <v>50</v>
      </c>
      <c r="C60" s="24"/>
      <c r="D60" s="25"/>
      <c r="E60" s="25"/>
      <c r="F60" s="26"/>
      <c r="G60" s="61"/>
      <c r="H60" s="61"/>
      <c r="I60" s="26"/>
      <c r="J60" s="21">
        <f t="shared" si="0"/>
        <v>0</v>
      </c>
      <c r="K60" s="7"/>
      <c r="V60" s="5">
        <f t="shared" si="2"/>
        <v>0</v>
      </c>
      <c r="W60" s="5">
        <f t="shared" si="3"/>
        <v>0</v>
      </c>
    </row>
    <row r="61" spans="1:23" ht="24" thickBot="1" x14ac:dyDescent="0.5">
      <c r="A61" s="6"/>
      <c r="B61" s="144" t="s">
        <v>22</v>
      </c>
      <c r="C61" s="145"/>
      <c r="D61" s="145"/>
      <c r="E61" s="145"/>
      <c r="F61" s="145"/>
      <c r="G61" s="145"/>
      <c r="H61" s="146"/>
      <c r="I61" s="28" t="s">
        <v>23</v>
      </c>
      <c r="J61" s="29">
        <f>SUM(J6:J60)</f>
        <v>247320</v>
      </c>
      <c r="K61" s="7"/>
      <c r="V61" s="5">
        <f>SUM(V6:V60)</f>
        <v>34</v>
      </c>
      <c r="W61" s="5">
        <f>SUM(W6:W60)</f>
        <v>6</v>
      </c>
    </row>
    <row r="62" spans="1:23" ht="30" customHeight="1" thickBot="1" x14ac:dyDescent="0.35">
      <c r="A62" s="30"/>
      <c r="B62" s="31"/>
      <c r="C62" s="31"/>
      <c r="D62" s="31"/>
      <c r="E62" s="31"/>
      <c r="F62" s="31"/>
      <c r="G62" s="31"/>
      <c r="H62" s="32"/>
      <c r="I62" s="31"/>
      <c r="J62" s="32"/>
      <c r="K62" s="33"/>
      <c r="L62" s="36"/>
      <c r="M62" s="36"/>
      <c r="N62" s="36"/>
      <c r="O62" s="36"/>
      <c r="P62" s="36"/>
      <c r="Q62" s="36"/>
      <c r="R62" s="36"/>
    </row>
    <row r="63" spans="1:23" ht="15" hidden="1" thickBot="1" x14ac:dyDescent="0.35">
      <c r="L63" s="36"/>
      <c r="M63" s="36"/>
      <c r="N63" s="36"/>
      <c r="O63" s="22"/>
      <c r="P63" s="22"/>
      <c r="Q63" s="22"/>
      <c r="R63" s="22"/>
    </row>
    <row r="64" spans="1:23" s="36" customFormat="1" ht="30" hidden="1" customHeight="1" thickBot="1" x14ac:dyDescent="0.35">
      <c r="A64" s="1"/>
      <c r="B64" s="2"/>
      <c r="C64" s="2"/>
      <c r="D64" s="2"/>
      <c r="E64" s="2"/>
      <c r="F64" s="2"/>
      <c r="G64" s="2"/>
      <c r="H64" s="3"/>
      <c r="I64" s="2"/>
      <c r="J64" s="3"/>
      <c r="K64" s="4"/>
    </row>
    <row r="65" spans="1:23" s="36" customFormat="1" ht="25.2" hidden="1" thickBot="1" x14ac:dyDescent="0.35">
      <c r="A65" s="6" t="s">
        <v>1</v>
      </c>
      <c r="B65" s="119" t="s">
        <v>2</v>
      </c>
      <c r="C65" s="120"/>
      <c r="D65" s="120"/>
      <c r="E65" s="120"/>
      <c r="F65" s="120"/>
      <c r="G65" s="120"/>
      <c r="H65" s="120"/>
      <c r="I65" s="120"/>
      <c r="J65" s="121"/>
      <c r="K65" s="7"/>
    </row>
    <row r="66" spans="1:23" s="36" customFormat="1" ht="16.2" hidden="1" thickBot="1" x14ac:dyDescent="0.35">
      <c r="A66" s="6"/>
      <c r="B66" s="168" t="s">
        <v>972</v>
      </c>
      <c r="C66" s="169"/>
      <c r="D66" s="169"/>
      <c r="E66" s="169"/>
      <c r="F66" s="169"/>
      <c r="G66" s="169"/>
      <c r="H66" s="169"/>
      <c r="I66" s="169"/>
      <c r="J66" s="170"/>
      <c r="K66" s="7"/>
      <c r="L66" s="22"/>
    </row>
    <row r="67" spans="1:23" s="36" customFormat="1" ht="16.2" hidden="1" thickBot="1" x14ac:dyDescent="0.35">
      <c r="A67" s="6"/>
      <c r="B67" s="106" t="s">
        <v>90</v>
      </c>
      <c r="C67" s="107"/>
      <c r="D67" s="107"/>
      <c r="E67" s="107"/>
      <c r="F67" s="107"/>
      <c r="G67" s="107"/>
      <c r="H67" s="107"/>
      <c r="I67" s="107"/>
      <c r="J67" s="108"/>
      <c r="K67" s="7"/>
    </row>
    <row r="68" spans="1:23" s="22" customFormat="1" ht="15" hidden="1" thickBot="1" x14ac:dyDescent="0.35">
      <c r="A68" s="69"/>
      <c r="B68" s="8" t="s">
        <v>9</v>
      </c>
      <c r="C68" s="9" t="s">
        <v>10</v>
      </c>
      <c r="D68" s="10" t="s">
        <v>11</v>
      </c>
      <c r="E68" s="10" t="s">
        <v>12</v>
      </c>
      <c r="F68" s="11" t="s">
        <v>65</v>
      </c>
      <c r="G68" s="11" t="s">
        <v>66</v>
      </c>
      <c r="H68" s="12" t="s">
        <v>67</v>
      </c>
      <c r="I68" s="11" t="s">
        <v>68</v>
      </c>
      <c r="J68" s="13" t="s">
        <v>17</v>
      </c>
      <c r="K68" s="76"/>
      <c r="L68" s="36"/>
      <c r="M68" s="36"/>
      <c r="N68" s="36"/>
      <c r="O68" s="36" t="s">
        <v>21</v>
      </c>
      <c r="P68" s="36"/>
      <c r="Q68" s="36"/>
      <c r="R68" s="36"/>
      <c r="V68" s="5" t="s">
        <v>5</v>
      </c>
      <c r="W68" s="5" t="s">
        <v>6</v>
      </c>
    </row>
    <row r="69" spans="1:23" s="36" customFormat="1" hidden="1" x14ac:dyDescent="0.3">
      <c r="A69" s="6"/>
      <c r="B69" s="88">
        <v>1</v>
      </c>
      <c r="C69" s="66"/>
      <c r="D69" s="67"/>
      <c r="E69" s="67"/>
      <c r="F69" s="68"/>
      <c r="G69" s="68"/>
      <c r="H69" s="97"/>
      <c r="I69" s="68"/>
      <c r="J69" s="92">
        <f>H69*I69</f>
        <v>0</v>
      </c>
      <c r="K69" s="7"/>
      <c r="V69" s="5">
        <f t="shared" ref="V69:V122" si="5">IF($J69&gt;0,1,0)</f>
        <v>0</v>
      </c>
      <c r="W69" s="5">
        <f t="shared" ref="W69:W122" si="6">IF($J69&lt;0,1,0)</f>
        <v>0</v>
      </c>
    </row>
    <row r="70" spans="1:23" s="36" customFormat="1" hidden="1" x14ac:dyDescent="0.3">
      <c r="A70" s="6"/>
      <c r="B70" s="17">
        <f>B69+1</f>
        <v>2</v>
      </c>
      <c r="C70" s="66"/>
      <c r="D70" s="67"/>
      <c r="E70" s="67"/>
      <c r="F70" s="97"/>
      <c r="G70" s="97"/>
      <c r="H70" s="97"/>
      <c r="I70" s="20"/>
      <c r="J70" s="21">
        <f>H70*I70</f>
        <v>0</v>
      </c>
      <c r="K70" s="7"/>
      <c r="L70" s="36" t="s">
        <v>21</v>
      </c>
      <c r="V70" s="5">
        <f t="shared" si="5"/>
        <v>0</v>
      </c>
      <c r="W70" s="5">
        <f t="shared" si="6"/>
        <v>0</v>
      </c>
    </row>
    <row r="71" spans="1:23" s="36" customFormat="1" hidden="1" x14ac:dyDescent="0.3">
      <c r="A71" s="6"/>
      <c r="B71" s="17">
        <f t="shared" ref="B71:B122" si="7">B70+1</f>
        <v>3</v>
      </c>
      <c r="C71" s="18"/>
      <c r="D71" s="19"/>
      <c r="E71" s="19"/>
      <c r="F71" s="35"/>
      <c r="G71" s="97"/>
      <c r="H71" s="35"/>
      <c r="I71" s="20"/>
      <c r="J71" s="21">
        <f>H71*I71</f>
        <v>0</v>
      </c>
      <c r="K71" s="7"/>
      <c r="V71" s="5">
        <f t="shared" si="5"/>
        <v>0</v>
      </c>
      <c r="W71" s="5">
        <f t="shared" si="6"/>
        <v>0</v>
      </c>
    </row>
    <row r="72" spans="1:23" s="36" customFormat="1" hidden="1" x14ac:dyDescent="0.3">
      <c r="A72" s="6"/>
      <c r="B72" s="17">
        <f t="shared" si="7"/>
        <v>4</v>
      </c>
      <c r="C72" s="18"/>
      <c r="D72" s="19"/>
      <c r="E72" s="19"/>
      <c r="F72" s="35"/>
      <c r="G72" s="97"/>
      <c r="H72" s="35"/>
      <c r="I72" s="20"/>
      <c r="J72" s="21">
        <f>H72*I72</f>
        <v>0</v>
      </c>
      <c r="K72" s="7"/>
      <c r="V72" s="5">
        <f t="shared" si="5"/>
        <v>0</v>
      </c>
      <c r="W72" s="5">
        <f t="shared" si="6"/>
        <v>0</v>
      </c>
    </row>
    <row r="73" spans="1:23" s="36" customFormat="1" hidden="1" x14ac:dyDescent="0.3">
      <c r="A73" s="6"/>
      <c r="B73" s="17">
        <f t="shared" si="7"/>
        <v>5</v>
      </c>
      <c r="C73" s="18"/>
      <c r="D73" s="19"/>
      <c r="E73" s="19"/>
      <c r="F73" s="35"/>
      <c r="G73" s="97"/>
      <c r="H73" s="35"/>
      <c r="I73" s="20"/>
      <c r="J73" s="21">
        <f>H73*I73</f>
        <v>0</v>
      </c>
      <c r="K73" s="7"/>
      <c r="V73" s="5">
        <f t="shared" si="5"/>
        <v>0</v>
      </c>
      <c r="W73" s="5">
        <f t="shared" si="6"/>
        <v>0</v>
      </c>
    </row>
    <row r="74" spans="1:23" s="36" customFormat="1" hidden="1" x14ac:dyDescent="0.3">
      <c r="A74" s="6"/>
      <c r="B74" s="17">
        <f t="shared" si="7"/>
        <v>6</v>
      </c>
      <c r="C74" s="18"/>
      <c r="D74" s="19"/>
      <c r="E74" s="19"/>
      <c r="F74" s="20"/>
      <c r="G74" s="97"/>
      <c r="H74" s="35"/>
      <c r="I74" s="20"/>
      <c r="J74" s="21">
        <f t="shared" ref="J74:J122" si="8">I74*H74</f>
        <v>0</v>
      </c>
      <c r="K74" s="7"/>
      <c r="V74" s="5">
        <f t="shared" si="5"/>
        <v>0</v>
      </c>
      <c r="W74" s="5">
        <f t="shared" si="6"/>
        <v>0</v>
      </c>
    </row>
    <row r="75" spans="1:23" s="36" customFormat="1" hidden="1" x14ac:dyDescent="0.3">
      <c r="A75" s="6"/>
      <c r="B75" s="17">
        <f t="shared" si="7"/>
        <v>7</v>
      </c>
      <c r="C75" s="18"/>
      <c r="D75" s="19"/>
      <c r="E75" s="19"/>
      <c r="F75" s="35"/>
      <c r="G75" s="97"/>
      <c r="H75" s="35"/>
      <c r="I75" s="20"/>
      <c r="J75" s="21">
        <f t="shared" si="8"/>
        <v>0</v>
      </c>
      <c r="K75" s="7"/>
      <c r="V75" s="5">
        <f t="shared" si="5"/>
        <v>0</v>
      </c>
      <c r="W75" s="5">
        <f t="shared" si="6"/>
        <v>0</v>
      </c>
    </row>
    <row r="76" spans="1:23" s="36" customFormat="1" hidden="1" x14ac:dyDescent="0.3">
      <c r="A76" s="6"/>
      <c r="B76" s="17">
        <f t="shared" si="7"/>
        <v>8</v>
      </c>
      <c r="C76" s="18"/>
      <c r="D76" s="19"/>
      <c r="E76" s="19"/>
      <c r="F76" s="35"/>
      <c r="G76" s="97"/>
      <c r="H76" s="35"/>
      <c r="I76" s="20"/>
      <c r="J76" s="21">
        <f t="shared" si="8"/>
        <v>0</v>
      </c>
      <c r="K76" s="7"/>
      <c r="V76" s="5">
        <f t="shared" si="5"/>
        <v>0</v>
      </c>
      <c r="W76" s="5">
        <f t="shared" si="6"/>
        <v>0</v>
      </c>
    </row>
    <row r="77" spans="1:23" s="36" customFormat="1" hidden="1" x14ac:dyDescent="0.3">
      <c r="A77" s="6"/>
      <c r="B77" s="17">
        <f t="shared" si="7"/>
        <v>9</v>
      </c>
      <c r="C77" s="18"/>
      <c r="D77" s="19"/>
      <c r="E77" s="19"/>
      <c r="F77" s="35"/>
      <c r="G77" s="97"/>
      <c r="H77" s="35"/>
      <c r="I77" s="20"/>
      <c r="J77" s="21">
        <f t="shared" si="8"/>
        <v>0</v>
      </c>
      <c r="K77" s="7"/>
      <c r="V77" s="5">
        <f t="shared" si="5"/>
        <v>0</v>
      </c>
      <c r="W77" s="5">
        <f t="shared" si="6"/>
        <v>0</v>
      </c>
    </row>
    <row r="78" spans="1:23" s="36" customFormat="1" hidden="1" x14ac:dyDescent="0.3">
      <c r="A78" s="6"/>
      <c r="B78" s="17">
        <f t="shared" si="7"/>
        <v>10</v>
      </c>
      <c r="C78" s="18"/>
      <c r="D78" s="19"/>
      <c r="E78" s="19"/>
      <c r="F78" s="35"/>
      <c r="G78" s="97"/>
      <c r="H78" s="35"/>
      <c r="I78" s="20"/>
      <c r="J78" s="21">
        <f t="shared" si="8"/>
        <v>0</v>
      </c>
      <c r="K78" s="7"/>
      <c r="V78" s="5">
        <f t="shared" si="5"/>
        <v>0</v>
      </c>
      <c r="W78" s="5">
        <f t="shared" si="6"/>
        <v>0</v>
      </c>
    </row>
    <row r="79" spans="1:23" s="36" customFormat="1" hidden="1" x14ac:dyDescent="0.3">
      <c r="A79" s="6"/>
      <c r="B79" s="17">
        <f t="shared" si="7"/>
        <v>11</v>
      </c>
      <c r="C79" s="18"/>
      <c r="D79" s="19"/>
      <c r="E79" s="19"/>
      <c r="F79" s="19"/>
      <c r="G79" s="97"/>
      <c r="H79" s="35"/>
      <c r="I79" s="20"/>
      <c r="J79" s="21">
        <f t="shared" si="8"/>
        <v>0</v>
      </c>
      <c r="K79" s="7"/>
      <c r="V79" s="5">
        <f t="shared" si="5"/>
        <v>0</v>
      </c>
      <c r="W79" s="5">
        <f t="shared" si="6"/>
        <v>0</v>
      </c>
    </row>
    <row r="80" spans="1:23" s="36" customFormat="1" hidden="1" x14ac:dyDescent="0.3">
      <c r="A80" s="6"/>
      <c r="B80" s="17">
        <f t="shared" si="7"/>
        <v>12</v>
      </c>
      <c r="C80" s="18"/>
      <c r="D80" s="19"/>
      <c r="E80" s="19"/>
      <c r="F80" s="35"/>
      <c r="G80" s="97"/>
      <c r="H80" s="35"/>
      <c r="I80" s="20"/>
      <c r="J80" s="21">
        <f t="shared" si="8"/>
        <v>0</v>
      </c>
      <c r="K80" s="7"/>
      <c r="V80" s="5">
        <f t="shared" si="5"/>
        <v>0</v>
      </c>
      <c r="W80" s="5">
        <f t="shared" si="6"/>
        <v>0</v>
      </c>
    </row>
    <row r="81" spans="1:23" s="36" customFormat="1" hidden="1" x14ac:dyDescent="0.3">
      <c r="A81" s="6"/>
      <c r="B81" s="17">
        <f t="shared" si="7"/>
        <v>13</v>
      </c>
      <c r="C81" s="18"/>
      <c r="D81" s="19"/>
      <c r="E81" s="19"/>
      <c r="F81" s="77"/>
      <c r="G81" s="97"/>
      <c r="H81" s="78"/>
      <c r="I81" s="20"/>
      <c r="J81" s="21">
        <f t="shared" si="8"/>
        <v>0</v>
      </c>
      <c r="K81" s="7"/>
      <c r="V81" s="5">
        <f t="shared" si="5"/>
        <v>0</v>
      </c>
      <c r="W81" s="5">
        <f t="shared" si="6"/>
        <v>0</v>
      </c>
    </row>
    <row r="82" spans="1:23" s="36" customFormat="1" hidden="1" x14ac:dyDescent="0.3">
      <c r="A82" s="6"/>
      <c r="B82" s="17">
        <f t="shared" si="7"/>
        <v>14</v>
      </c>
      <c r="C82" s="18"/>
      <c r="D82" s="19"/>
      <c r="E82" s="19"/>
      <c r="F82" s="35"/>
      <c r="G82" s="97"/>
      <c r="H82" s="78"/>
      <c r="I82" s="20"/>
      <c r="J82" s="21">
        <f t="shared" si="8"/>
        <v>0</v>
      </c>
      <c r="K82" s="7"/>
      <c r="V82" s="5">
        <f t="shared" si="5"/>
        <v>0</v>
      </c>
      <c r="W82" s="5">
        <f t="shared" si="6"/>
        <v>0</v>
      </c>
    </row>
    <row r="83" spans="1:23" s="36" customFormat="1" hidden="1" x14ac:dyDescent="0.3">
      <c r="A83" s="6"/>
      <c r="B83" s="17">
        <f t="shared" si="7"/>
        <v>15</v>
      </c>
      <c r="C83" s="18"/>
      <c r="D83" s="19"/>
      <c r="E83" s="19"/>
      <c r="F83" s="35"/>
      <c r="G83" s="97"/>
      <c r="H83" s="78"/>
      <c r="I83" s="20"/>
      <c r="J83" s="21">
        <f t="shared" si="8"/>
        <v>0</v>
      </c>
      <c r="K83" s="7"/>
      <c r="V83" s="5">
        <f t="shared" si="5"/>
        <v>0</v>
      </c>
      <c r="W83" s="5">
        <f t="shared" si="6"/>
        <v>0</v>
      </c>
    </row>
    <row r="84" spans="1:23" s="36" customFormat="1" hidden="1" x14ac:dyDescent="0.3">
      <c r="A84" s="6"/>
      <c r="B84" s="17">
        <f t="shared" si="7"/>
        <v>16</v>
      </c>
      <c r="C84" s="18"/>
      <c r="D84" s="19"/>
      <c r="E84" s="19"/>
      <c r="F84" s="35"/>
      <c r="G84" s="97"/>
      <c r="H84" s="35"/>
      <c r="I84" s="20"/>
      <c r="J84" s="21">
        <f t="shared" si="8"/>
        <v>0</v>
      </c>
      <c r="K84" s="7"/>
      <c r="V84" s="5">
        <f t="shared" si="5"/>
        <v>0</v>
      </c>
      <c r="W84" s="5">
        <f t="shared" si="6"/>
        <v>0</v>
      </c>
    </row>
    <row r="85" spans="1:23" s="36" customFormat="1" hidden="1" x14ac:dyDescent="0.3">
      <c r="A85" s="6"/>
      <c r="B85" s="17">
        <f t="shared" si="7"/>
        <v>17</v>
      </c>
      <c r="C85" s="18"/>
      <c r="D85" s="19"/>
      <c r="E85" s="19"/>
      <c r="F85" s="35"/>
      <c r="G85" s="97"/>
      <c r="H85" s="35"/>
      <c r="I85" s="20"/>
      <c r="J85" s="21">
        <f t="shared" si="8"/>
        <v>0</v>
      </c>
      <c r="K85" s="7"/>
      <c r="V85" s="5">
        <f t="shared" si="5"/>
        <v>0</v>
      </c>
      <c r="W85" s="5">
        <f t="shared" si="6"/>
        <v>0</v>
      </c>
    </row>
    <row r="86" spans="1:23" s="36" customFormat="1" hidden="1" x14ac:dyDescent="0.3">
      <c r="A86" s="6"/>
      <c r="B86" s="17">
        <f t="shared" si="7"/>
        <v>18</v>
      </c>
      <c r="C86" s="18"/>
      <c r="D86" s="19"/>
      <c r="E86" s="19"/>
      <c r="F86" s="35"/>
      <c r="G86" s="97"/>
      <c r="H86" s="35"/>
      <c r="I86" s="20"/>
      <c r="J86" s="21">
        <f t="shared" si="8"/>
        <v>0</v>
      </c>
      <c r="K86" s="7"/>
      <c r="V86" s="5">
        <f t="shared" si="5"/>
        <v>0</v>
      </c>
      <c r="W86" s="5">
        <f t="shared" si="6"/>
        <v>0</v>
      </c>
    </row>
    <row r="87" spans="1:23" s="36" customFormat="1" hidden="1" x14ac:dyDescent="0.3">
      <c r="A87" s="6"/>
      <c r="B87" s="17">
        <f t="shared" si="7"/>
        <v>19</v>
      </c>
      <c r="C87" s="18"/>
      <c r="D87" s="19"/>
      <c r="E87" s="19"/>
      <c r="F87" s="35"/>
      <c r="G87" s="97"/>
      <c r="H87" s="35"/>
      <c r="I87" s="20"/>
      <c r="J87" s="21">
        <f t="shared" si="8"/>
        <v>0</v>
      </c>
      <c r="K87" s="7"/>
      <c r="V87" s="5">
        <f t="shared" si="5"/>
        <v>0</v>
      </c>
      <c r="W87" s="5">
        <f t="shared" si="6"/>
        <v>0</v>
      </c>
    </row>
    <row r="88" spans="1:23" s="36" customFormat="1" hidden="1" x14ac:dyDescent="0.3">
      <c r="A88" s="6"/>
      <c r="B88" s="17">
        <f t="shared" si="7"/>
        <v>20</v>
      </c>
      <c r="C88" s="18"/>
      <c r="D88" s="19"/>
      <c r="E88" s="19"/>
      <c r="F88" s="35"/>
      <c r="G88" s="97"/>
      <c r="H88" s="35"/>
      <c r="I88" s="20"/>
      <c r="J88" s="21">
        <f t="shared" si="8"/>
        <v>0</v>
      </c>
      <c r="K88" s="7"/>
      <c r="V88" s="5">
        <f t="shared" si="5"/>
        <v>0</v>
      </c>
      <c r="W88" s="5">
        <f t="shared" si="6"/>
        <v>0</v>
      </c>
    </row>
    <row r="89" spans="1:23" s="36" customFormat="1" hidden="1" x14ac:dyDescent="0.3">
      <c r="A89" s="6"/>
      <c r="B89" s="17">
        <f t="shared" si="7"/>
        <v>21</v>
      </c>
      <c r="C89" s="18"/>
      <c r="D89" s="19"/>
      <c r="E89" s="19"/>
      <c r="F89" s="35"/>
      <c r="G89" s="97"/>
      <c r="H89" s="35"/>
      <c r="I89" s="20"/>
      <c r="J89" s="21">
        <f t="shared" si="8"/>
        <v>0</v>
      </c>
      <c r="K89" s="7"/>
      <c r="V89" s="5">
        <f t="shared" si="5"/>
        <v>0</v>
      </c>
      <c r="W89" s="5">
        <f t="shared" si="6"/>
        <v>0</v>
      </c>
    </row>
    <row r="90" spans="1:23" s="36" customFormat="1" hidden="1" x14ac:dyDescent="0.3">
      <c r="A90" s="6"/>
      <c r="B90" s="17">
        <f t="shared" si="7"/>
        <v>22</v>
      </c>
      <c r="C90" s="18"/>
      <c r="D90" s="19"/>
      <c r="E90" s="19"/>
      <c r="F90" s="77"/>
      <c r="G90" s="97"/>
      <c r="H90" s="78"/>
      <c r="I90" s="20"/>
      <c r="J90" s="21">
        <f t="shared" si="8"/>
        <v>0</v>
      </c>
      <c r="K90" s="7"/>
      <c r="V90" s="5">
        <f t="shared" si="5"/>
        <v>0</v>
      </c>
      <c r="W90" s="5">
        <f t="shared" si="6"/>
        <v>0</v>
      </c>
    </row>
    <row r="91" spans="1:23" s="36" customFormat="1" hidden="1" x14ac:dyDescent="0.3">
      <c r="A91" s="6"/>
      <c r="B91" s="17">
        <f t="shared" si="7"/>
        <v>23</v>
      </c>
      <c r="C91" s="18"/>
      <c r="D91" s="19"/>
      <c r="E91" s="19"/>
      <c r="F91" s="35"/>
      <c r="G91" s="97"/>
      <c r="H91" s="78"/>
      <c r="I91" s="20"/>
      <c r="J91" s="21">
        <f t="shared" si="8"/>
        <v>0</v>
      </c>
      <c r="K91" s="7"/>
      <c r="V91" s="5">
        <f t="shared" si="5"/>
        <v>0</v>
      </c>
      <c r="W91" s="5">
        <f t="shared" si="6"/>
        <v>0</v>
      </c>
    </row>
    <row r="92" spans="1:23" s="36" customFormat="1" hidden="1" x14ac:dyDescent="0.3">
      <c r="A92" s="6"/>
      <c r="B92" s="17">
        <f t="shared" si="7"/>
        <v>24</v>
      </c>
      <c r="C92" s="18"/>
      <c r="D92" s="19"/>
      <c r="E92" s="19"/>
      <c r="F92" s="35"/>
      <c r="G92" s="97"/>
      <c r="H92" s="78"/>
      <c r="I92" s="20"/>
      <c r="J92" s="21">
        <f t="shared" si="8"/>
        <v>0</v>
      </c>
      <c r="K92" s="7"/>
      <c r="V92" s="5">
        <f t="shared" si="5"/>
        <v>0</v>
      </c>
      <c r="W92" s="5">
        <f t="shared" si="6"/>
        <v>0</v>
      </c>
    </row>
    <row r="93" spans="1:23" s="36" customFormat="1" hidden="1" x14ac:dyDescent="0.3">
      <c r="A93" s="6"/>
      <c r="B93" s="17">
        <f t="shared" si="7"/>
        <v>25</v>
      </c>
      <c r="C93" s="18"/>
      <c r="D93" s="19"/>
      <c r="E93" s="19"/>
      <c r="F93" s="35"/>
      <c r="G93" s="97"/>
      <c r="H93" s="35"/>
      <c r="I93" s="20"/>
      <c r="J93" s="21">
        <f t="shared" si="8"/>
        <v>0</v>
      </c>
      <c r="K93" s="7"/>
      <c r="V93" s="5">
        <f t="shared" si="5"/>
        <v>0</v>
      </c>
      <c r="W93" s="5">
        <f t="shared" si="6"/>
        <v>0</v>
      </c>
    </row>
    <row r="94" spans="1:23" s="36" customFormat="1" hidden="1" x14ac:dyDescent="0.3">
      <c r="A94" s="6"/>
      <c r="B94" s="17">
        <f t="shared" si="7"/>
        <v>26</v>
      </c>
      <c r="C94" s="18"/>
      <c r="D94" s="19"/>
      <c r="E94" s="19"/>
      <c r="F94" s="35"/>
      <c r="G94" s="97"/>
      <c r="H94" s="35"/>
      <c r="I94" s="20"/>
      <c r="J94" s="21">
        <f t="shared" si="8"/>
        <v>0</v>
      </c>
      <c r="K94" s="7"/>
      <c r="V94" s="5">
        <f t="shared" si="5"/>
        <v>0</v>
      </c>
      <c r="W94" s="5">
        <f t="shared" si="6"/>
        <v>0</v>
      </c>
    </row>
    <row r="95" spans="1:23" s="36" customFormat="1" hidden="1" x14ac:dyDescent="0.3">
      <c r="A95" s="6"/>
      <c r="B95" s="17">
        <f t="shared" si="7"/>
        <v>27</v>
      </c>
      <c r="C95" s="18"/>
      <c r="D95" s="19"/>
      <c r="E95" s="19"/>
      <c r="F95" s="35"/>
      <c r="G95" s="97"/>
      <c r="H95" s="35"/>
      <c r="I95" s="20"/>
      <c r="J95" s="21">
        <f t="shared" si="8"/>
        <v>0</v>
      </c>
      <c r="K95" s="7"/>
      <c r="V95" s="5">
        <f t="shared" si="5"/>
        <v>0</v>
      </c>
      <c r="W95" s="5">
        <f t="shared" si="6"/>
        <v>0</v>
      </c>
    </row>
    <row r="96" spans="1:23" s="36" customFormat="1" hidden="1" x14ac:dyDescent="0.3">
      <c r="A96" s="6"/>
      <c r="B96" s="17">
        <f t="shared" si="7"/>
        <v>28</v>
      </c>
      <c r="C96" s="18"/>
      <c r="D96" s="19"/>
      <c r="E96" s="19"/>
      <c r="F96" s="35"/>
      <c r="G96" s="97"/>
      <c r="H96" s="35"/>
      <c r="I96" s="20"/>
      <c r="J96" s="21">
        <f t="shared" si="8"/>
        <v>0</v>
      </c>
      <c r="K96" s="7"/>
      <c r="V96" s="5">
        <f t="shared" si="5"/>
        <v>0</v>
      </c>
      <c r="W96" s="5">
        <f t="shared" si="6"/>
        <v>0</v>
      </c>
    </row>
    <row r="97" spans="1:23" s="36" customFormat="1" hidden="1" x14ac:dyDescent="0.3">
      <c r="A97" s="6"/>
      <c r="B97" s="17">
        <f t="shared" si="7"/>
        <v>29</v>
      </c>
      <c r="C97" s="18"/>
      <c r="D97" s="19"/>
      <c r="E97" s="19"/>
      <c r="F97" s="35"/>
      <c r="G97" s="97"/>
      <c r="H97" s="35"/>
      <c r="I97" s="20"/>
      <c r="J97" s="21">
        <f t="shared" si="8"/>
        <v>0</v>
      </c>
      <c r="K97" s="7"/>
      <c r="V97" s="5">
        <f t="shared" si="5"/>
        <v>0</v>
      </c>
      <c r="W97" s="5">
        <f t="shared" si="6"/>
        <v>0</v>
      </c>
    </row>
    <row r="98" spans="1:23" s="36" customFormat="1" hidden="1" x14ac:dyDescent="0.3">
      <c r="A98" s="6"/>
      <c r="B98" s="17">
        <f t="shared" si="7"/>
        <v>30</v>
      </c>
      <c r="C98" s="18"/>
      <c r="D98" s="19"/>
      <c r="E98" s="19"/>
      <c r="F98" s="35"/>
      <c r="G98" s="97"/>
      <c r="H98" s="35"/>
      <c r="I98" s="20"/>
      <c r="J98" s="21">
        <f t="shared" si="8"/>
        <v>0</v>
      </c>
      <c r="K98" s="7"/>
      <c r="V98" s="5">
        <f t="shared" si="5"/>
        <v>0</v>
      </c>
      <c r="W98" s="5">
        <f t="shared" si="6"/>
        <v>0</v>
      </c>
    </row>
    <row r="99" spans="1:23" s="36" customFormat="1" hidden="1" x14ac:dyDescent="0.3">
      <c r="A99" s="6"/>
      <c r="B99" s="17">
        <f t="shared" si="7"/>
        <v>31</v>
      </c>
      <c r="C99" s="18"/>
      <c r="D99" s="19"/>
      <c r="E99" s="19"/>
      <c r="F99" s="35"/>
      <c r="G99" s="97"/>
      <c r="H99" s="35"/>
      <c r="I99" s="20"/>
      <c r="J99" s="21">
        <f t="shared" si="8"/>
        <v>0</v>
      </c>
      <c r="K99" s="7"/>
      <c r="V99" s="5">
        <f t="shared" si="5"/>
        <v>0</v>
      </c>
      <c r="W99" s="5">
        <f t="shared" si="6"/>
        <v>0</v>
      </c>
    </row>
    <row r="100" spans="1:23" s="36" customFormat="1" hidden="1" x14ac:dyDescent="0.3">
      <c r="A100" s="6"/>
      <c r="B100" s="17">
        <f t="shared" si="7"/>
        <v>32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hidden="1" x14ac:dyDescent="0.3">
      <c r="A101" s="6"/>
      <c r="B101" s="17">
        <f t="shared" si="7"/>
        <v>33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hidden="1" x14ac:dyDescent="0.3">
      <c r="A102" s="6"/>
      <c r="B102" s="17">
        <f t="shared" si="7"/>
        <v>34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>
        <f t="shared" si="5"/>
        <v>0</v>
      </c>
      <c r="W102" s="5">
        <f t="shared" si="6"/>
        <v>0</v>
      </c>
    </row>
    <row r="103" spans="1:23" s="36" customFormat="1" hidden="1" x14ac:dyDescent="0.3">
      <c r="A103" s="6"/>
      <c r="B103" s="17">
        <v>35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>
        <f t="shared" si="5"/>
        <v>0</v>
      </c>
      <c r="W103" s="5">
        <f t="shared" si="6"/>
        <v>0</v>
      </c>
    </row>
    <row r="104" spans="1:23" s="36" customFormat="1" hidden="1" x14ac:dyDescent="0.3">
      <c r="A104" s="6"/>
      <c r="B104" s="17">
        <v>36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hidden="1" x14ac:dyDescent="0.3">
      <c r="A105" s="6"/>
      <c r="B105" s="17">
        <v>37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hidden="1" x14ac:dyDescent="0.3">
      <c r="A106" s="6"/>
      <c r="B106" s="17">
        <v>38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hidden="1" x14ac:dyDescent="0.3">
      <c r="A107" s="6"/>
      <c r="B107" s="17">
        <v>39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hidden="1" x14ac:dyDescent="0.3">
      <c r="A108" s="6"/>
      <c r="B108" s="17">
        <v>40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hidden="1" x14ac:dyDescent="0.3">
      <c r="A109" s="6"/>
      <c r="B109" s="17">
        <v>41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hidden="1" x14ac:dyDescent="0.3">
      <c r="A110" s="6"/>
      <c r="B110" s="17">
        <v>42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/>
      <c r="W110" s="5"/>
    </row>
    <row r="111" spans="1:23" s="36" customFormat="1" hidden="1" x14ac:dyDescent="0.3">
      <c r="A111" s="6"/>
      <c r="B111" s="17">
        <v>43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/>
      <c r="W111" s="5"/>
    </row>
    <row r="112" spans="1:23" s="36" customFormat="1" hidden="1" x14ac:dyDescent="0.3">
      <c r="A112" s="6"/>
      <c r="B112" s="17">
        <v>40</v>
      </c>
      <c r="C112" s="18"/>
      <c r="D112" s="19"/>
      <c r="E112" s="19"/>
      <c r="F112" s="35"/>
      <c r="G112" s="97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idden="1" x14ac:dyDescent="0.3">
      <c r="A113" s="6"/>
      <c r="B113" s="17">
        <v>41</v>
      </c>
      <c r="C113" s="18"/>
      <c r="D113" s="19"/>
      <c r="E113" s="19"/>
      <c r="F113" s="35"/>
      <c r="G113" s="97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idden="1" x14ac:dyDescent="0.3">
      <c r="A114" s="6"/>
      <c r="B114" s="17">
        <f t="shared" si="7"/>
        <v>42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idden="1" x14ac:dyDescent="0.3">
      <c r="A115" s="6"/>
      <c r="B115" s="17">
        <f t="shared" si="7"/>
        <v>43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idden="1" x14ac:dyDescent="0.3">
      <c r="A116" s="6"/>
      <c r="B116" s="17">
        <f t="shared" si="7"/>
        <v>44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idden="1" x14ac:dyDescent="0.3">
      <c r="A117" s="6"/>
      <c r="B117" s="17">
        <f t="shared" si="7"/>
        <v>45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idden="1" x14ac:dyDescent="0.3">
      <c r="A118" s="6"/>
      <c r="B118" s="17">
        <f t="shared" si="7"/>
        <v>46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idden="1" x14ac:dyDescent="0.3">
      <c r="A119" s="6"/>
      <c r="B119" s="17">
        <f t="shared" si="7"/>
        <v>47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idden="1" x14ac:dyDescent="0.3">
      <c r="A120" s="6"/>
      <c r="B120" s="17">
        <f t="shared" si="7"/>
        <v>48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idden="1" x14ac:dyDescent="0.3">
      <c r="A121" s="6"/>
      <c r="B121" s="17">
        <f t="shared" si="7"/>
        <v>49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50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24" hidden="1" thickBot="1" x14ac:dyDescent="0.5">
      <c r="A123" s="6"/>
      <c r="B123" s="144" t="s">
        <v>22</v>
      </c>
      <c r="C123" s="145"/>
      <c r="D123" s="145"/>
      <c r="E123" s="145"/>
      <c r="F123" s="145"/>
      <c r="G123" s="145"/>
      <c r="H123" s="146"/>
      <c r="I123" s="83" t="s">
        <v>23</v>
      </c>
      <c r="J123" s="84">
        <f>SUM(J69:J122)</f>
        <v>0</v>
      </c>
      <c r="K123" s="7"/>
      <c r="L123" s="5"/>
      <c r="M123" s="5"/>
      <c r="N123" s="5"/>
      <c r="O123" s="5"/>
      <c r="P123" s="5"/>
      <c r="Q123" s="5"/>
      <c r="R123" s="5"/>
      <c r="V123" s="36">
        <f>SUM(V69:V122)</f>
        <v>0</v>
      </c>
      <c r="W123" s="36">
        <f>SUM(W69:W122)</f>
        <v>0</v>
      </c>
    </row>
    <row r="124" spans="1:23" s="36" customFormat="1" ht="30" hidden="1" customHeight="1" thickBot="1" x14ac:dyDescent="0.35">
      <c r="A124" s="30"/>
      <c r="B124" s="31"/>
      <c r="C124" s="31"/>
      <c r="D124" s="31"/>
      <c r="E124" s="31"/>
      <c r="F124" s="31"/>
      <c r="G124" s="31"/>
      <c r="H124" s="32"/>
      <c r="I124" s="31"/>
      <c r="J124" s="32"/>
      <c r="K124" s="33"/>
      <c r="L124" s="5"/>
      <c r="M124" s="5"/>
      <c r="N124" s="5"/>
      <c r="O124" s="5"/>
      <c r="P124" s="5"/>
      <c r="Q124" s="5"/>
      <c r="R124" s="5"/>
    </row>
    <row r="125" spans="1:23" ht="15" hidden="1" thickBot="1" x14ac:dyDescent="0.35"/>
    <row r="126" spans="1:23" s="36" customFormat="1" ht="30" customHeight="1" thickBot="1" x14ac:dyDescent="0.35">
      <c r="A126" s="1"/>
      <c r="B126" s="2"/>
      <c r="C126" s="2"/>
      <c r="D126" s="2"/>
      <c r="E126" s="2"/>
      <c r="F126" s="2"/>
      <c r="G126" s="2"/>
      <c r="H126" s="3"/>
      <c r="I126" s="2"/>
      <c r="J126" s="3"/>
      <c r="K126" s="4"/>
    </row>
    <row r="127" spans="1:23" s="36" customFormat="1" ht="25.2" thickBot="1" x14ac:dyDescent="0.35">
      <c r="A127" s="6" t="s">
        <v>1</v>
      </c>
      <c r="B127" s="119" t="s">
        <v>2</v>
      </c>
      <c r="C127" s="120"/>
      <c r="D127" s="120"/>
      <c r="E127" s="120"/>
      <c r="F127" s="120"/>
      <c r="G127" s="120"/>
      <c r="H127" s="120"/>
      <c r="I127" s="120"/>
      <c r="J127" s="121"/>
      <c r="K127" s="7"/>
    </row>
    <row r="128" spans="1:23" s="36" customFormat="1" ht="16.2" thickBot="1" x14ac:dyDescent="0.35">
      <c r="A128" s="6"/>
      <c r="B128" s="216">
        <v>45292</v>
      </c>
      <c r="C128" s="169"/>
      <c r="D128" s="169"/>
      <c r="E128" s="169"/>
      <c r="F128" s="169"/>
      <c r="G128" s="169"/>
      <c r="H128" s="169"/>
      <c r="I128" s="169"/>
      <c r="J128" s="170"/>
      <c r="K128" s="7"/>
      <c r="L128" s="22"/>
    </row>
    <row r="129" spans="1:23" s="36" customFormat="1" ht="16.2" thickBot="1" x14ac:dyDescent="0.35">
      <c r="A129" s="6"/>
      <c r="B129" s="106" t="s">
        <v>699</v>
      </c>
      <c r="C129" s="107"/>
      <c r="D129" s="107"/>
      <c r="E129" s="107"/>
      <c r="F129" s="107"/>
      <c r="G129" s="107"/>
      <c r="H129" s="107"/>
      <c r="I129" s="107"/>
      <c r="J129" s="108"/>
      <c r="K129" s="7"/>
    </row>
    <row r="130" spans="1:23" s="22" customFormat="1" ht="15" thickBot="1" x14ac:dyDescent="0.35">
      <c r="A130" s="69"/>
      <c r="B130" s="70" t="s">
        <v>9</v>
      </c>
      <c r="C130" s="71" t="s">
        <v>10</v>
      </c>
      <c r="D130" s="72" t="s">
        <v>11</v>
      </c>
      <c r="E130" s="72" t="s">
        <v>12</v>
      </c>
      <c r="F130" s="73" t="s">
        <v>65</v>
      </c>
      <c r="G130" s="73" t="s">
        <v>66</v>
      </c>
      <c r="H130" s="74" t="s">
        <v>67</v>
      </c>
      <c r="I130" s="73" t="s">
        <v>68</v>
      </c>
      <c r="J130" s="75" t="s">
        <v>17</v>
      </c>
      <c r="K130" s="76"/>
      <c r="L130" s="36"/>
      <c r="M130" s="36"/>
      <c r="N130" s="36"/>
      <c r="O130" s="36" t="s">
        <v>21</v>
      </c>
      <c r="P130" s="36"/>
      <c r="Q130" s="36"/>
      <c r="R130" s="36"/>
      <c r="V130" s="5" t="s">
        <v>5</v>
      </c>
      <c r="W130" s="5" t="s">
        <v>6</v>
      </c>
    </row>
    <row r="131" spans="1:23" s="36" customFormat="1" x14ac:dyDescent="0.3">
      <c r="A131" s="6"/>
      <c r="B131" s="14">
        <v>1</v>
      </c>
      <c r="C131" s="93">
        <v>45292</v>
      </c>
      <c r="D131" s="94" t="s">
        <v>18</v>
      </c>
      <c r="E131" s="94" t="s">
        <v>44</v>
      </c>
      <c r="F131" s="60">
        <v>100</v>
      </c>
      <c r="G131" s="60">
        <v>85</v>
      </c>
      <c r="H131" s="60">
        <v>-15</v>
      </c>
      <c r="I131" s="15">
        <v>300</v>
      </c>
      <c r="J131" s="16">
        <f t="shared" ref="J131:J178" si="9">I131*H131</f>
        <v>-4500</v>
      </c>
      <c r="K131" s="7"/>
      <c r="V131" s="5">
        <f t="shared" ref="V131:V178" si="10">IF($J131&gt;0,1,0)</f>
        <v>0</v>
      </c>
      <c r="W131" s="5">
        <f t="shared" ref="W131:W178" si="11">IF($J131&lt;0,1,0)</f>
        <v>1</v>
      </c>
    </row>
    <row r="132" spans="1:23" s="36" customFormat="1" x14ac:dyDescent="0.3">
      <c r="A132" s="6"/>
      <c r="B132" s="17">
        <f>B131+1</f>
        <v>2</v>
      </c>
      <c r="C132" s="18">
        <v>45293</v>
      </c>
      <c r="D132" s="19" t="s">
        <v>18</v>
      </c>
      <c r="E132" s="19" t="s">
        <v>975</v>
      </c>
      <c r="F132" s="35">
        <v>100</v>
      </c>
      <c r="G132" s="35">
        <v>108</v>
      </c>
      <c r="H132" s="35">
        <v>8</v>
      </c>
      <c r="I132" s="20">
        <v>300</v>
      </c>
      <c r="J132" s="21">
        <f t="shared" si="9"/>
        <v>2400</v>
      </c>
      <c r="K132" s="7"/>
      <c r="L132" s="36" t="s">
        <v>21</v>
      </c>
      <c r="V132" s="5">
        <f t="shared" si="10"/>
        <v>1</v>
      </c>
      <c r="W132" s="5">
        <f t="shared" si="11"/>
        <v>0</v>
      </c>
    </row>
    <row r="133" spans="1:23" s="36" customFormat="1" x14ac:dyDescent="0.3">
      <c r="A133" s="6"/>
      <c r="B133" s="17">
        <f t="shared" ref="B133:B153" si="12">B132+1</f>
        <v>3</v>
      </c>
      <c r="C133" s="18">
        <v>45293</v>
      </c>
      <c r="D133" s="19" t="s">
        <v>18</v>
      </c>
      <c r="E133" s="19" t="s">
        <v>976</v>
      </c>
      <c r="F133" s="35">
        <v>100</v>
      </c>
      <c r="G133" s="35">
        <v>130</v>
      </c>
      <c r="H133" s="35">
        <v>30</v>
      </c>
      <c r="I133" s="20">
        <v>300</v>
      </c>
      <c r="J133" s="21">
        <f t="shared" si="9"/>
        <v>9000</v>
      </c>
      <c r="K133" s="7"/>
      <c r="V133" s="5">
        <f t="shared" si="10"/>
        <v>1</v>
      </c>
      <c r="W133" s="5">
        <f t="shared" si="11"/>
        <v>0</v>
      </c>
    </row>
    <row r="134" spans="1:23" s="36" customFormat="1" x14ac:dyDescent="0.3">
      <c r="A134" s="6"/>
      <c r="B134" s="17">
        <f t="shared" si="12"/>
        <v>4</v>
      </c>
      <c r="C134" s="18">
        <v>45294</v>
      </c>
      <c r="D134" s="19" t="s">
        <v>18</v>
      </c>
      <c r="E134" s="19" t="s">
        <v>976</v>
      </c>
      <c r="F134" s="35">
        <v>95</v>
      </c>
      <c r="G134" s="35">
        <v>130</v>
      </c>
      <c r="H134" s="35">
        <f>130-95</f>
        <v>35</v>
      </c>
      <c r="I134" s="20">
        <v>300</v>
      </c>
      <c r="J134" s="21">
        <f t="shared" si="9"/>
        <v>10500</v>
      </c>
      <c r="K134" s="7"/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si="12"/>
        <v>5</v>
      </c>
      <c r="C135" s="18">
        <v>45294</v>
      </c>
      <c r="D135" s="19" t="s">
        <v>18</v>
      </c>
      <c r="E135" s="19" t="s">
        <v>976</v>
      </c>
      <c r="F135" s="20">
        <v>115</v>
      </c>
      <c r="G135" s="35">
        <v>130</v>
      </c>
      <c r="H135" s="35">
        <v>15</v>
      </c>
      <c r="I135" s="20">
        <v>300</v>
      </c>
      <c r="J135" s="21">
        <f t="shared" ref="J135" si="13">I134*H134</f>
        <v>10500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6</v>
      </c>
      <c r="C136" s="18">
        <v>45295</v>
      </c>
      <c r="D136" s="19" t="s">
        <v>18</v>
      </c>
      <c r="E136" s="19" t="s">
        <v>968</v>
      </c>
      <c r="F136" s="35">
        <v>90</v>
      </c>
      <c r="G136" s="35">
        <v>114</v>
      </c>
      <c r="H136" s="35">
        <f>114-90</f>
        <v>24</v>
      </c>
      <c r="I136" s="20">
        <v>300</v>
      </c>
      <c r="J136" s="21">
        <f t="shared" si="9"/>
        <v>7200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7</v>
      </c>
      <c r="C137" s="18">
        <v>45295</v>
      </c>
      <c r="D137" s="19" t="s">
        <v>18</v>
      </c>
      <c r="E137" s="19" t="s">
        <v>101</v>
      </c>
      <c r="F137" s="35">
        <v>105</v>
      </c>
      <c r="G137" s="35">
        <v>135</v>
      </c>
      <c r="H137" s="35">
        <v>30</v>
      </c>
      <c r="I137" s="20">
        <v>300</v>
      </c>
      <c r="J137" s="21">
        <f t="shared" si="9"/>
        <v>9000</v>
      </c>
      <c r="K137" s="7"/>
      <c r="V137" s="5">
        <f t="shared" si="10"/>
        <v>1</v>
      </c>
      <c r="W137" s="5">
        <f t="shared" si="11"/>
        <v>0</v>
      </c>
    </row>
    <row r="138" spans="1:23" s="36" customFormat="1" x14ac:dyDescent="0.3">
      <c r="A138" s="6"/>
      <c r="B138" s="17">
        <f t="shared" si="12"/>
        <v>8</v>
      </c>
      <c r="C138" s="18">
        <v>45296</v>
      </c>
      <c r="D138" s="19" t="s">
        <v>18</v>
      </c>
      <c r="E138" s="19" t="s">
        <v>975</v>
      </c>
      <c r="F138" s="35">
        <v>110</v>
      </c>
      <c r="G138" s="35">
        <v>120</v>
      </c>
      <c r="H138" s="35">
        <v>10</v>
      </c>
      <c r="I138" s="20">
        <v>300</v>
      </c>
      <c r="J138" s="21">
        <f t="shared" si="9"/>
        <v>3000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9</v>
      </c>
      <c r="C139" s="18">
        <v>45296</v>
      </c>
      <c r="D139" s="19" t="s">
        <v>18</v>
      </c>
      <c r="E139" s="19" t="s">
        <v>975</v>
      </c>
      <c r="F139" s="35">
        <v>100</v>
      </c>
      <c r="G139" s="35">
        <v>109</v>
      </c>
      <c r="H139" s="35">
        <v>9</v>
      </c>
      <c r="I139" s="100">
        <v>300</v>
      </c>
      <c r="J139" s="21">
        <f t="shared" si="9"/>
        <v>2700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10</v>
      </c>
      <c r="C140" s="18">
        <v>45299</v>
      </c>
      <c r="D140" s="19" t="s">
        <v>18</v>
      </c>
      <c r="E140" s="19" t="s">
        <v>971</v>
      </c>
      <c r="F140" s="35">
        <v>115</v>
      </c>
      <c r="G140" s="35">
        <v>130</v>
      </c>
      <c r="H140" s="35">
        <v>15</v>
      </c>
      <c r="I140" s="20">
        <v>300</v>
      </c>
      <c r="J140" s="21">
        <f t="shared" si="9"/>
        <v>4500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11</v>
      </c>
      <c r="C141" s="18">
        <v>45299</v>
      </c>
      <c r="D141" s="19" t="s">
        <v>18</v>
      </c>
      <c r="E141" s="19" t="s">
        <v>971</v>
      </c>
      <c r="F141" s="19">
        <v>105</v>
      </c>
      <c r="G141" s="35">
        <v>134</v>
      </c>
      <c r="H141" s="35">
        <f>134-105</f>
        <v>29</v>
      </c>
      <c r="I141" s="20">
        <v>300</v>
      </c>
      <c r="J141" s="21">
        <f t="shared" si="9"/>
        <v>8700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12</v>
      </c>
      <c r="C142" s="18">
        <v>45300</v>
      </c>
      <c r="D142" s="19" t="s">
        <v>18</v>
      </c>
      <c r="E142" s="19" t="s">
        <v>971</v>
      </c>
      <c r="F142" s="35">
        <v>100</v>
      </c>
      <c r="G142" s="35">
        <v>130</v>
      </c>
      <c r="H142" s="35">
        <v>30</v>
      </c>
      <c r="I142" s="20">
        <v>300</v>
      </c>
      <c r="J142" s="21">
        <f t="shared" si="9"/>
        <v>9000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13</v>
      </c>
      <c r="C143" s="18">
        <v>45300</v>
      </c>
      <c r="D143" s="19" t="s">
        <v>18</v>
      </c>
      <c r="E143" s="19" t="s">
        <v>969</v>
      </c>
      <c r="F143" s="35">
        <v>110</v>
      </c>
      <c r="G143" s="35">
        <v>140</v>
      </c>
      <c r="H143" s="35">
        <v>30</v>
      </c>
      <c r="I143" s="20">
        <v>300</v>
      </c>
      <c r="J143" s="21">
        <f t="shared" si="9"/>
        <v>9000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14</v>
      </c>
      <c r="C144" s="18">
        <v>45301</v>
      </c>
      <c r="D144" s="19" t="s">
        <v>18</v>
      </c>
      <c r="E144" s="19" t="s">
        <v>101</v>
      </c>
      <c r="F144" s="77">
        <v>105</v>
      </c>
      <c r="G144" s="35">
        <v>114</v>
      </c>
      <c r="H144" s="78">
        <f>114-105</f>
        <v>9</v>
      </c>
      <c r="I144" s="20">
        <v>300</v>
      </c>
      <c r="J144" s="21">
        <f t="shared" si="9"/>
        <v>2700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15</v>
      </c>
      <c r="C145" s="18">
        <v>45301</v>
      </c>
      <c r="D145" s="19" t="s">
        <v>18</v>
      </c>
      <c r="E145" s="19" t="s">
        <v>101</v>
      </c>
      <c r="F145" s="35">
        <v>100</v>
      </c>
      <c r="G145" s="35">
        <v>110</v>
      </c>
      <c r="H145" s="78">
        <v>10</v>
      </c>
      <c r="I145" s="20">
        <v>300</v>
      </c>
      <c r="J145" s="21">
        <f t="shared" si="9"/>
        <v>3000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16</v>
      </c>
      <c r="C146" s="18">
        <v>45302</v>
      </c>
      <c r="D146" s="19" t="s">
        <v>18</v>
      </c>
      <c r="E146" s="19" t="s">
        <v>970</v>
      </c>
      <c r="F146" s="35">
        <v>100</v>
      </c>
      <c r="G146" s="35">
        <v>105</v>
      </c>
      <c r="H146" s="78">
        <v>5</v>
      </c>
      <c r="I146" s="20">
        <v>300</v>
      </c>
      <c r="J146" s="21">
        <f t="shared" si="9"/>
        <v>1500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17</v>
      </c>
      <c r="C147" s="18">
        <v>45302</v>
      </c>
      <c r="D147" s="19" t="s">
        <v>18</v>
      </c>
      <c r="E147" s="19" t="s">
        <v>980</v>
      </c>
      <c r="F147" s="35">
        <v>105</v>
      </c>
      <c r="G147" s="35">
        <v>135</v>
      </c>
      <c r="H147" s="78">
        <f>135-105</f>
        <v>30</v>
      </c>
      <c r="I147" s="20">
        <v>300</v>
      </c>
      <c r="J147" s="21">
        <f t="shared" si="9"/>
        <v>9000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18</v>
      </c>
      <c r="C148" s="18">
        <v>45303</v>
      </c>
      <c r="D148" s="19" t="s">
        <v>18</v>
      </c>
      <c r="E148" s="19" t="s">
        <v>971</v>
      </c>
      <c r="F148" s="35">
        <v>100</v>
      </c>
      <c r="G148" s="35">
        <v>109</v>
      </c>
      <c r="H148" s="78">
        <v>9</v>
      </c>
      <c r="I148" s="20">
        <v>300</v>
      </c>
      <c r="J148" s="21">
        <f t="shared" si="9"/>
        <v>2700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19</v>
      </c>
      <c r="C149" s="18">
        <v>45303</v>
      </c>
      <c r="D149" s="19" t="s">
        <v>18</v>
      </c>
      <c r="E149" s="19" t="s">
        <v>39</v>
      </c>
      <c r="F149" s="35">
        <v>115</v>
      </c>
      <c r="G149" s="35">
        <v>145</v>
      </c>
      <c r="H149" s="78">
        <f>145-115</f>
        <v>30</v>
      </c>
      <c r="I149" s="20">
        <v>300</v>
      </c>
      <c r="J149" s="21">
        <f t="shared" si="9"/>
        <v>9000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20</v>
      </c>
      <c r="C150" s="18">
        <v>45306</v>
      </c>
      <c r="D150" s="19" t="s">
        <v>18</v>
      </c>
      <c r="E150" s="19" t="s">
        <v>35</v>
      </c>
      <c r="F150" s="35">
        <v>110</v>
      </c>
      <c r="G150" s="35">
        <v>117</v>
      </c>
      <c r="H150" s="35">
        <v>7</v>
      </c>
      <c r="I150" s="20">
        <v>300</v>
      </c>
      <c r="J150" s="21">
        <f t="shared" si="9"/>
        <v>2100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21</v>
      </c>
      <c r="C151" s="18">
        <v>45306</v>
      </c>
      <c r="D151" s="19" t="s">
        <v>18</v>
      </c>
      <c r="E151" s="19" t="s">
        <v>982</v>
      </c>
      <c r="F151" s="35">
        <v>115</v>
      </c>
      <c r="G151" s="35">
        <v>130</v>
      </c>
      <c r="H151" s="35">
        <v>15</v>
      </c>
      <c r="I151" s="20">
        <v>300</v>
      </c>
      <c r="J151" s="21">
        <f t="shared" si="9"/>
        <v>4500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22</v>
      </c>
      <c r="C152" s="18">
        <v>45307</v>
      </c>
      <c r="D152" s="19" t="s">
        <v>18</v>
      </c>
      <c r="E152" s="19" t="s">
        <v>85</v>
      </c>
      <c r="F152" s="35">
        <v>100</v>
      </c>
      <c r="G152" s="35">
        <v>130</v>
      </c>
      <c r="H152" s="35">
        <v>30</v>
      </c>
      <c r="I152" s="20">
        <v>300</v>
      </c>
      <c r="J152" s="21">
        <f t="shared" si="9"/>
        <v>9000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23</v>
      </c>
      <c r="C153" s="18">
        <v>45308</v>
      </c>
      <c r="D153" s="19" t="s">
        <v>18</v>
      </c>
      <c r="E153" s="19" t="s">
        <v>983</v>
      </c>
      <c r="F153" s="35">
        <v>110</v>
      </c>
      <c r="G153" s="35">
        <v>125</v>
      </c>
      <c r="H153" s="35">
        <v>25</v>
      </c>
      <c r="I153" s="20">
        <v>300</v>
      </c>
      <c r="J153" s="21">
        <f t="shared" si="9"/>
        <v>7500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>B153+1</f>
        <v>24</v>
      </c>
      <c r="C154" s="18">
        <v>45308</v>
      </c>
      <c r="D154" s="19" t="s">
        <v>18</v>
      </c>
      <c r="E154" s="19" t="s">
        <v>971</v>
      </c>
      <c r="F154" s="35">
        <v>120</v>
      </c>
      <c r="G154" s="35">
        <v>126</v>
      </c>
      <c r="H154" s="35">
        <v>6</v>
      </c>
      <c r="I154" s="20">
        <v>300</v>
      </c>
      <c r="J154" s="21">
        <f t="shared" si="9"/>
        <v>1800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ref="B155:B178" si="14">B154+1</f>
        <v>25</v>
      </c>
      <c r="C155" s="18">
        <v>45309</v>
      </c>
      <c r="D155" s="19" t="s">
        <v>18</v>
      </c>
      <c r="E155" s="19" t="s">
        <v>984</v>
      </c>
      <c r="F155" s="35">
        <v>120</v>
      </c>
      <c r="G155" s="35">
        <v>100</v>
      </c>
      <c r="H155" s="35">
        <v>-20</v>
      </c>
      <c r="I155" s="20">
        <v>300</v>
      </c>
      <c r="J155" s="21">
        <f t="shared" si="9"/>
        <v>-6000</v>
      </c>
      <c r="K155" s="7"/>
      <c r="V155" s="5">
        <f t="shared" si="10"/>
        <v>0</v>
      </c>
      <c r="W155" s="5">
        <f t="shared" si="11"/>
        <v>1</v>
      </c>
    </row>
    <row r="156" spans="1:23" s="36" customFormat="1" x14ac:dyDescent="0.3">
      <c r="A156" s="6"/>
      <c r="B156" s="17">
        <f t="shared" si="14"/>
        <v>26</v>
      </c>
      <c r="C156" s="18">
        <v>45309</v>
      </c>
      <c r="D156" s="19" t="s">
        <v>18</v>
      </c>
      <c r="E156" s="19" t="s">
        <v>984</v>
      </c>
      <c r="F156" s="35">
        <v>100</v>
      </c>
      <c r="G156" s="35">
        <v>115</v>
      </c>
      <c r="H156" s="35">
        <v>15</v>
      </c>
      <c r="I156" s="20">
        <v>300</v>
      </c>
      <c r="J156" s="21">
        <f t="shared" si="9"/>
        <v>4500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4"/>
        <v>27</v>
      </c>
      <c r="C157" s="18">
        <v>45309</v>
      </c>
      <c r="D157" s="19" t="s">
        <v>18</v>
      </c>
      <c r="E157" s="19" t="s">
        <v>95</v>
      </c>
      <c r="F157" s="35">
        <v>100</v>
      </c>
      <c r="G157" s="35">
        <v>130</v>
      </c>
      <c r="H157" s="35">
        <v>30</v>
      </c>
      <c r="I157" s="20">
        <v>300</v>
      </c>
      <c r="J157" s="21">
        <f t="shared" si="9"/>
        <v>9000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4"/>
        <v>28</v>
      </c>
      <c r="C158" s="18">
        <v>45310</v>
      </c>
      <c r="D158" s="19" t="s">
        <v>18</v>
      </c>
      <c r="E158" s="19" t="s">
        <v>975</v>
      </c>
      <c r="F158" s="35">
        <v>115</v>
      </c>
      <c r="G158" s="35">
        <v>126.5</v>
      </c>
      <c r="H158" s="35">
        <f>126.5-115</f>
        <v>11.5</v>
      </c>
      <c r="I158" s="20">
        <v>300</v>
      </c>
      <c r="J158" s="21">
        <f t="shared" si="9"/>
        <v>3450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4"/>
        <v>29</v>
      </c>
      <c r="C159" s="18">
        <v>45310</v>
      </c>
      <c r="D159" s="19" t="s">
        <v>18</v>
      </c>
      <c r="E159" s="19" t="s">
        <v>975</v>
      </c>
      <c r="F159" s="35">
        <v>110</v>
      </c>
      <c r="G159" s="35">
        <v>95</v>
      </c>
      <c r="H159" s="19">
        <v>-15</v>
      </c>
      <c r="I159" s="20">
        <v>300</v>
      </c>
      <c r="J159" s="21">
        <f t="shared" si="9"/>
        <v>-4500</v>
      </c>
      <c r="K159" s="7"/>
      <c r="V159" s="5">
        <f t="shared" si="10"/>
        <v>0</v>
      </c>
      <c r="W159" s="5">
        <f t="shared" si="11"/>
        <v>1</v>
      </c>
    </row>
    <row r="160" spans="1:23" s="36" customFormat="1" x14ac:dyDescent="0.3">
      <c r="A160" s="6"/>
      <c r="B160" s="17">
        <f t="shared" si="14"/>
        <v>30</v>
      </c>
      <c r="C160" s="18">
        <v>45311</v>
      </c>
      <c r="D160" s="19" t="s">
        <v>18</v>
      </c>
      <c r="E160" s="19" t="s">
        <v>975</v>
      </c>
      <c r="F160" s="35">
        <v>120</v>
      </c>
      <c r="G160" s="35">
        <v>105</v>
      </c>
      <c r="H160" s="35">
        <v>-15</v>
      </c>
      <c r="I160" s="20">
        <v>300</v>
      </c>
      <c r="J160" s="21">
        <f t="shared" si="9"/>
        <v>-4500</v>
      </c>
      <c r="K160" s="7"/>
      <c r="V160" s="5">
        <f t="shared" si="10"/>
        <v>0</v>
      </c>
      <c r="W160" s="5">
        <f t="shared" si="11"/>
        <v>1</v>
      </c>
    </row>
    <row r="161" spans="1:23" s="36" customFormat="1" x14ac:dyDescent="0.3">
      <c r="A161" s="6"/>
      <c r="B161" s="17">
        <f t="shared" si="14"/>
        <v>31</v>
      </c>
      <c r="C161" s="18">
        <v>45314</v>
      </c>
      <c r="D161" s="19" t="s">
        <v>18</v>
      </c>
      <c r="E161" s="19" t="s">
        <v>986</v>
      </c>
      <c r="F161" s="35">
        <v>110</v>
      </c>
      <c r="G161" s="35">
        <v>140</v>
      </c>
      <c r="H161" s="35">
        <v>30</v>
      </c>
      <c r="I161" s="20">
        <v>300</v>
      </c>
      <c r="J161" s="21">
        <f t="shared" si="9"/>
        <v>9000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4"/>
        <v>32</v>
      </c>
      <c r="C162" s="18">
        <v>45314</v>
      </c>
      <c r="D162" s="19" t="s">
        <v>18</v>
      </c>
      <c r="E162" s="19" t="s">
        <v>984</v>
      </c>
      <c r="F162" s="35">
        <v>110</v>
      </c>
      <c r="G162" s="35">
        <v>140</v>
      </c>
      <c r="H162" s="35">
        <v>30</v>
      </c>
      <c r="I162" s="20">
        <v>300</v>
      </c>
      <c r="J162" s="21">
        <f t="shared" si="9"/>
        <v>9000</v>
      </c>
      <c r="K162" s="7"/>
      <c r="V162" s="5">
        <f t="shared" si="10"/>
        <v>1</v>
      </c>
      <c r="W162" s="5">
        <f t="shared" si="11"/>
        <v>0</v>
      </c>
    </row>
    <row r="163" spans="1:23" s="36" customFormat="1" x14ac:dyDescent="0.3">
      <c r="A163" s="6"/>
      <c r="B163" s="17">
        <f t="shared" si="14"/>
        <v>33</v>
      </c>
      <c r="C163" s="18">
        <v>45315</v>
      </c>
      <c r="D163" s="19" t="s">
        <v>18</v>
      </c>
      <c r="E163" s="19" t="s">
        <v>987</v>
      </c>
      <c r="F163" s="35">
        <v>105</v>
      </c>
      <c r="G163" s="35">
        <v>135</v>
      </c>
      <c r="H163" s="35">
        <v>30</v>
      </c>
      <c r="I163" s="20">
        <v>300</v>
      </c>
      <c r="J163" s="21">
        <f t="shared" si="9"/>
        <v>9000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4"/>
        <v>34</v>
      </c>
      <c r="C164" s="18">
        <v>45315</v>
      </c>
      <c r="D164" s="19" t="s">
        <v>18</v>
      </c>
      <c r="E164" s="19" t="s">
        <v>988</v>
      </c>
      <c r="F164" s="35">
        <v>105</v>
      </c>
      <c r="G164" s="35">
        <v>90</v>
      </c>
      <c r="H164" s="35">
        <v>-15</v>
      </c>
      <c r="I164" s="20">
        <v>300</v>
      </c>
      <c r="J164" s="21">
        <f t="shared" si="9"/>
        <v>-4500</v>
      </c>
      <c r="K164" s="7"/>
      <c r="V164" s="5">
        <f t="shared" si="10"/>
        <v>0</v>
      </c>
      <c r="W164" s="5">
        <f t="shared" si="11"/>
        <v>1</v>
      </c>
    </row>
    <row r="165" spans="1:23" s="36" customFormat="1" x14ac:dyDescent="0.3">
      <c r="A165" s="6"/>
      <c r="B165" s="17">
        <f t="shared" si="14"/>
        <v>35</v>
      </c>
      <c r="C165" s="18">
        <v>45316</v>
      </c>
      <c r="D165" s="19" t="s">
        <v>18</v>
      </c>
      <c r="E165" s="19" t="s">
        <v>989</v>
      </c>
      <c r="F165" s="35">
        <v>95</v>
      </c>
      <c r="G165" s="35">
        <v>125</v>
      </c>
      <c r="H165" s="35">
        <f>125-95</f>
        <v>30</v>
      </c>
      <c r="I165" s="20">
        <v>300</v>
      </c>
      <c r="J165" s="21">
        <f t="shared" si="9"/>
        <v>9000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4"/>
        <v>36</v>
      </c>
      <c r="C166" s="18">
        <v>45316</v>
      </c>
      <c r="D166" s="19" t="s">
        <v>18</v>
      </c>
      <c r="E166" s="19" t="s">
        <v>43</v>
      </c>
      <c r="F166" s="35">
        <v>110</v>
      </c>
      <c r="G166" s="35">
        <v>140</v>
      </c>
      <c r="H166" s="35">
        <v>30</v>
      </c>
      <c r="I166" s="20">
        <v>300</v>
      </c>
      <c r="J166" s="21">
        <f t="shared" si="9"/>
        <v>9000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4"/>
        <v>37</v>
      </c>
      <c r="C167" s="18">
        <v>45320</v>
      </c>
      <c r="D167" s="19" t="s">
        <v>18</v>
      </c>
      <c r="E167" s="19" t="s">
        <v>990</v>
      </c>
      <c r="F167" s="35">
        <v>110</v>
      </c>
      <c r="G167" s="35">
        <v>95</v>
      </c>
      <c r="H167" s="35">
        <v>-15</v>
      </c>
      <c r="I167" s="20">
        <v>300</v>
      </c>
      <c r="J167" s="21">
        <f t="shared" si="9"/>
        <v>-4500</v>
      </c>
      <c r="K167" s="7"/>
      <c r="V167" s="5">
        <f t="shared" si="10"/>
        <v>0</v>
      </c>
      <c r="W167" s="5">
        <f t="shared" si="11"/>
        <v>1</v>
      </c>
    </row>
    <row r="168" spans="1:23" s="36" customFormat="1" x14ac:dyDescent="0.3">
      <c r="A168" s="6"/>
      <c r="B168" s="17">
        <f t="shared" si="14"/>
        <v>38</v>
      </c>
      <c r="C168" s="18">
        <v>45320</v>
      </c>
      <c r="D168" s="19" t="s">
        <v>18</v>
      </c>
      <c r="E168" s="19" t="s">
        <v>44</v>
      </c>
      <c r="F168" s="35">
        <v>110</v>
      </c>
      <c r="G168" s="35">
        <v>135</v>
      </c>
      <c r="H168" s="35">
        <f>135-110</f>
        <v>25</v>
      </c>
      <c r="I168" s="20">
        <v>300</v>
      </c>
      <c r="J168" s="21">
        <f t="shared" si="9"/>
        <v>7500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4"/>
        <v>39</v>
      </c>
      <c r="C169" s="18">
        <v>45321</v>
      </c>
      <c r="D169" s="19" t="s">
        <v>18</v>
      </c>
      <c r="E169" s="19" t="s">
        <v>976</v>
      </c>
      <c r="F169" s="35">
        <v>110</v>
      </c>
      <c r="G169" s="35">
        <v>140</v>
      </c>
      <c r="H169" s="35">
        <v>30</v>
      </c>
      <c r="I169" s="20">
        <v>300</v>
      </c>
      <c r="J169" s="21">
        <f t="shared" si="9"/>
        <v>9000</v>
      </c>
      <c r="K169" s="7"/>
      <c r="V169" s="5">
        <f t="shared" si="10"/>
        <v>1</v>
      </c>
      <c r="W169" s="5">
        <f t="shared" si="11"/>
        <v>0</v>
      </c>
    </row>
    <row r="170" spans="1:23" s="36" customFormat="1" x14ac:dyDescent="0.3">
      <c r="A170" s="6"/>
      <c r="B170" s="17">
        <f t="shared" si="14"/>
        <v>40</v>
      </c>
      <c r="C170" s="18">
        <v>45321</v>
      </c>
      <c r="D170" s="19" t="s">
        <v>18</v>
      </c>
      <c r="E170" s="19" t="s">
        <v>991</v>
      </c>
      <c r="F170" s="35">
        <v>115</v>
      </c>
      <c r="G170" s="35">
        <v>130</v>
      </c>
      <c r="H170" s="35">
        <v>15</v>
      </c>
      <c r="I170" s="20">
        <v>300</v>
      </c>
      <c r="J170" s="21">
        <f t="shared" si="9"/>
        <v>4500</v>
      </c>
      <c r="K170" s="7"/>
      <c r="V170" s="5">
        <f t="shared" si="10"/>
        <v>1</v>
      </c>
      <c r="W170" s="5">
        <f t="shared" si="11"/>
        <v>0</v>
      </c>
    </row>
    <row r="171" spans="1:23" s="36" customFormat="1" x14ac:dyDescent="0.3">
      <c r="A171" s="6"/>
      <c r="B171" s="17">
        <f t="shared" si="14"/>
        <v>41</v>
      </c>
      <c r="C171" s="18">
        <v>45322</v>
      </c>
      <c r="D171" s="19" t="s">
        <v>18</v>
      </c>
      <c r="E171" s="19" t="s">
        <v>969</v>
      </c>
      <c r="F171" s="35">
        <v>120</v>
      </c>
      <c r="G171" s="35">
        <v>131</v>
      </c>
      <c r="H171" s="35">
        <f>131-120</f>
        <v>11</v>
      </c>
      <c r="I171" s="20">
        <v>300</v>
      </c>
      <c r="J171" s="21">
        <f t="shared" si="9"/>
        <v>3300</v>
      </c>
      <c r="K171" s="7"/>
      <c r="V171" s="5">
        <f t="shared" si="10"/>
        <v>1</v>
      </c>
      <c r="W171" s="5">
        <f t="shared" si="11"/>
        <v>0</v>
      </c>
    </row>
    <row r="172" spans="1:23" s="36" customFormat="1" x14ac:dyDescent="0.3">
      <c r="A172" s="6"/>
      <c r="B172" s="17">
        <f t="shared" si="14"/>
        <v>42</v>
      </c>
      <c r="C172" s="18">
        <v>45322</v>
      </c>
      <c r="D172" s="19" t="s">
        <v>18</v>
      </c>
      <c r="E172" s="19" t="s">
        <v>44</v>
      </c>
      <c r="F172" s="35">
        <v>105</v>
      </c>
      <c r="G172" s="35">
        <v>114</v>
      </c>
      <c r="H172" s="35">
        <f>114-105</f>
        <v>9</v>
      </c>
      <c r="I172" s="20">
        <v>300</v>
      </c>
      <c r="J172" s="21">
        <f t="shared" si="9"/>
        <v>2700</v>
      </c>
      <c r="K172" s="7"/>
      <c r="V172" s="5">
        <f t="shared" si="10"/>
        <v>1</v>
      </c>
      <c r="W172" s="5">
        <f t="shared" si="11"/>
        <v>0</v>
      </c>
    </row>
    <row r="173" spans="1:23" s="36" customFormat="1" hidden="1" x14ac:dyDescent="0.3">
      <c r="A173" s="6"/>
      <c r="B173" s="17">
        <f t="shared" si="14"/>
        <v>43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hidden="1" x14ac:dyDescent="0.3">
      <c r="A174" s="6"/>
      <c r="B174" s="17">
        <f t="shared" si="14"/>
        <v>44</v>
      </c>
      <c r="C174" s="18"/>
      <c r="D174" s="19"/>
      <c r="E174" s="19"/>
      <c r="F174" s="35"/>
      <c r="G174" s="35"/>
      <c r="H174" s="35"/>
      <c r="I174" s="20"/>
      <c r="J174" s="21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hidden="1" x14ac:dyDescent="0.3">
      <c r="A175" s="6"/>
      <c r="B175" s="17">
        <f t="shared" si="14"/>
        <v>45</v>
      </c>
      <c r="C175" s="18"/>
      <c r="D175" s="19"/>
      <c r="E175" s="19"/>
      <c r="F175" s="35"/>
      <c r="G175" s="35"/>
      <c r="H175" s="35"/>
      <c r="I175" s="20"/>
      <c r="J175" s="21">
        <f t="shared" si="9"/>
        <v>0</v>
      </c>
      <c r="K175" s="7"/>
      <c r="V175" s="5">
        <f t="shared" si="10"/>
        <v>0</v>
      </c>
      <c r="W175" s="5">
        <f t="shared" si="11"/>
        <v>0</v>
      </c>
    </row>
    <row r="176" spans="1:23" s="36" customFormat="1" hidden="1" x14ac:dyDescent="0.3">
      <c r="A176" s="6"/>
      <c r="B176" s="17">
        <f t="shared" si="14"/>
        <v>46</v>
      </c>
      <c r="C176" s="18"/>
      <c r="D176" s="19"/>
      <c r="E176" s="19"/>
      <c r="F176" s="35"/>
      <c r="G176" s="35"/>
      <c r="H176" s="35"/>
      <c r="I176" s="20"/>
      <c r="J176" s="21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hidden="1" x14ac:dyDescent="0.3">
      <c r="A177" s="6"/>
      <c r="B177" s="17">
        <f t="shared" si="14"/>
        <v>47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ht="15" hidden="1" thickBot="1" x14ac:dyDescent="0.35">
      <c r="A178" s="6"/>
      <c r="B178" s="95">
        <f t="shared" si="14"/>
        <v>48</v>
      </c>
      <c r="C178" s="79"/>
      <c r="D178" s="80"/>
      <c r="E178" s="80"/>
      <c r="F178" s="96"/>
      <c r="G178" s="96"/>
      <c r="H178" s="96"/>
      <c r="I178" s="81"/>
      <c r="J178" s="82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ht="24" thickBot="1" x14ac:dyDescent="0.5">
      <c r="A179" s="6"/>
      <c r="B179" s="165" t="s">
        <v>22</v>
      </c>
      <c r="C179" s="166"/>
      <c r="D179" s="166"/>
      <c r="E179" s="166"/>
      <c r="F179" s="166"/>
      <c r="G179" s="166"/>
      <c r="H179" s="167"/>
      <c r="I179" s="83" t="s">
        <v>23</v>
      </c>
      <c r="J179" s="84">
        <f>SUM(J131:J178)</f>
        <v>198750</v>
      </c>
      <c r="K179" s="7"/>
      <c r="L179" s="5"/>
      <c r="M179" s="5"/>
      <c r="N179" s="5"/>
      <c r="O179" s="5"/>
      <c r="P179" s="5"/>
      <c r="Q179" s="5"/>
      <c r="R179" s="5"/>
      <c r="V179" s="36">
        <f>SUM(V131:V178)</f>
        <v>36</v>
      </c>
      <c r="W179" s="36">
        <f>SUM(W131:W178)</f>
        <v>6</v>
      </c>
    </row>
    <row r="180" spans="1:23" s="36" customFormat="1" ht="30" customHeight="1" thickBot="1" x14ac:dyDescent="0.35">
      <c r="A180" s="30"/>
      <c r="B180" s="31"/>
      <c r="C180" s="31"/>
      <c r="D180" s="31"/>
      <c r="E180" s="31"/>
      <c r="F180" s="31"/>
      <c r="G180" s="31"/>
      <c r="H180" s="32"/>
      <c r="I180" s="31"/>
      <c r="J180" s="32"/>
      <c r="K180" s="33"/>
      <c r="L180" s="5"/>
      <c r="M180" s="5"/>
      <c r="N180" s="5"/>
      <c r="O180" s="5"/>
      <c r="P180" s="5"/>
      <c r="Q180" s="5"/>
      <c r="R180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67:J67"/>
    <mergeCell ref="M10:M11"/>
    <mergeCell ref="N10:N11"/>
    <mergeCell ref="O10:O11"/>
    <mergeCell ref="P10:P11"/>
    <mergeCell ref="M12:O14"/>
    <mergeCell ref="P12:R14"/>
    <mergeCell ref="B61:H61"/>
    <mergeCell ref="B65:J65"/>
    <mergeCell ref="B66:J66"/>
    <mergeCell ref="Q10:Q11"/>
    <mergeCell ref="R10:R11"/>
    <mergeCell ref="B123:H123"/>
    <mergeCell ref="B127:J127"/>
    <mergeCell ref="B128:J128"/>
    <mergeCell ref="B129:J129"/>
    <mergeCell ref="B179:H179"/>
  </mergeCells>
  <hyperlinks>
    <hyperlink ref="B61" r:id="rId1" xr:uid="{00000000-0004-0000-2A00-000000000000}"/>
    <hyperlink ref="B123" r:id="rId2" xr:uid="{00000000-0004-0000-2A00-000001000000}"/>
    <hyperlink ref="B179" r:id="rId3" xr:uid="{00000000-0004-0000-2A00-000002000000}"/>
    <hyperlink ref="M1" location="MASTER!A1" display="Back" xr:uid="{00000000-0004-0000-2A00-000003000000}"/>
    <hyperlink ref="M6:M7" location="'JAN 2024'!A70" display="EXTRA STOCK FUTURE" xr:uid="{00000000-0004-0000-2A00-000004000000}"/>
    <hyperlink ref="M8:M9" location="'JAN 2024'!A140" display="EXTRA NIFTY OPTION" xr:uid="{00000000-0004-0000-2A00-000005000000}"/>
    <hyperlink ref="M4:M5" location="'JAN 2024'!A1" display="EXTRA BANKNIFTY OPTION" xr:uid="{00000000-0004-0000-2A00-000006000000}"/>
  </hyperlinks>
  <pageMargins left="0" right="0" top="0" bottom="0" header="0" footer="0"/>
  <pageSetup paperSize="9" orientation="portrait" r:id="rId4"/>
  <drawing r:id="rId5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X180"/>
  <sheetViews>
    <sheetView zoomScaleNormal="100" workbookViewId="0">
      <selection activeCell="B129" sqref="B129:J129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4" width="9.109375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225" t="s">
        <v>3</v>
      </c>
      <c r="N2" s="226" t="s">
        <v>4</v>
      </c>
      <c r="O2" s="227" t="s">
        <v>5</v>
      </c>
      <c r="P2" s="227" t="s">
        <v>6</v>
      </c>
      <c r="Q2" s="227" t="s">
        <v>7</v>
      </c>
      <c r="R2" s="224" t="s">
        <v>8</v>
      </c>
    </row>
    <row r="3" spans="1:23" ht="16.2" thickBot="1" x14ac:dyDescent="0.35">
      <c r="A3" s="6"/>
      <c r="B3" s="103">
        <v>45323</v>
      </c>
      <c r="C3" s="104"/>
      <c r="D3" s="104"/>
      <c r="E3" s="104"/>
      <c r="F3" s="104"/>
      <c r="G3" s="104"/>
      <c r="H3" s="104"/>
      <c r="I3" s="104"/>
      <c r="J3" s="105"/>
      <c r="K3" s="7"/>
      <c r="M3" s="225"/>
      <c r="N3" s="226"/>
      <c r="O3" s="227"/>
      <c r="P3" s="227"/>
      <c r="Q3" s="227"/>
      <c r="R3" s="224"/>
    </row>
    <row r="4" spans="1:23" ht="16.5" customHeight="1" thickBot="1" x14ac:dyDescent="0.35">
      <c r="A4" s="6"/>
      <c r="B4" s="106" t="s">
        <v>900</v>
      </c>
      <c r="C4" s="107"/>
      <c r="D4" s="107"/>
      <c r="E4" s="107"/>
      <c r="F4" s="107"/>
      <c r="G4" s="107"/>
      <c r="H4" s="107"/>
      <c r="I4" s="107"/>
      <c r="J4" s="108"/>
      <c r="K4" s="7"/>
      <c r="M4" s="221" t="s">
        <v>107</v>
      </c>
      <c r="N4" s="222">
        <f>COUNT(C6:C60)</f>
        <v>44</v>
      </c>
      <c r="O4" s="222">
        <f>V61</f>
        <v>37</v>
      </c>
      <c r="P4" s="222">
        <f>W61</f>
        <v>7</v>
      </c>
      <c r="Q4" s="222">
        <f>N4-O4-P4</f>
        <v>0</v>
      </c>
      <c r="R4" s="220">
        <f>O4/N4</f>
        <v>0.84090909090909094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221"/>
      <c r="N5" s="222"/>
      <c r="O5" s="222"/>
      <c r="P5" s="222"/>
      <c r="Q5" s="222"/>
      <c r="R5" s="220"/>
      <c r="V5" s="5" t="s">
        <v>5</v>
      </c>
      <c r="W5" s="5" t="s">
        <v>6</v>
      </c>
    </row>
    <row r="6" spans="1:23" ht="15" customHeight="1" thickBot="1" x14ac:dyDescent="0.35">
      <c r="A6" s="6"/>
      <c r="B6" s="88">
        <v>1</v>
      </c>
      <c r="C6" s="89">
        <v>45323</v>
      </c>
      <c r="D6" s="90" t="s">
        <v>18</v>
      </c>
      <c r="E6" s="90" t="s">
        <v>993</v>
      </c>
      <c r="F6" s="90">
        <v>180</v>
      </c>
      <c r="G6" s="90">
        <v>210</v>
      </c>
      <c r="H6" s="91">
        <f>210-180</f>
        <v>30</v>
      </c>
      <c r="I6" s="90">
        <v>120</v>
      </c>
      <c r="J6" s="92">
        <f t="shared" ref="J6:J60" si="0">H6*I6</f>
        <v>3600</v>
      </c>
      <c r="K6" s="7"/>
      <c r="M6" s="221" t="s">
        <v>108</v>
      </c>
      <c r="N6" s="222">
        <f>COUNT(C69:C122)</f>
        <v>0</v>
      </c>
      <c r="O6" s="222">
        <f>V123</f>
        <v>0</v>
      </c>
      <c r="P6" s="222">
        <f>W123</f>
        <v>0</v>
      </c>
      <c r="Q6" s="222">
        <v>0</v>
      </c>
      <c r="R6" s="220" t="e">
        <f t="shared" ref="R6" si="1">O6/N6</f>
        <v>#DIV/0!</v>
      </c>
      <c r="V6" s="5">
        <f t="shared" ref="V6:V60" si="2">IF($J6&gt;0,1,0)</f>
        <v>1</v>
      </c>
      <c r="W6" s="5">
        <f t="shared" ref="W6:W60" si="3">IF($J6&lt;0,1,0)</f>
        <v>0</v>
      </c>
    </row>
    <row r="7" spans="1:23" ht="15" thickBot="1" x14ac:dyDescent="0.35">
      <c r="A7" s="6"/>
      <c r="B7" s="17">
        <v>2</v>
      </c>
      <c r="C7" s="85">
        <v>45323</v>
      </c>
      <c r="D7" s="86" t="s">
        <v>18</v>
      </c>
      <c r="E7" s="86" t="s">
        <v>993</v>
      </c>
      <c r="F7" s="86">
        <v>160</v>
      </c>
      <c r="G7" s="86">
        <v>190</v>
      </c>
      <c r="H7" s="87">
        <v>30</v>
      </c>
      <c r="I7" s="86">
        <v>120</v>
      </c>
      <c r="J7" s="21">
        <f t="shared" si="0"/>
        <v>3600</v>
      </c>
      <c r="K7" s="7"/>
      <c r="M7" s="221"/>
      <c r="N7" s="222"/>
      <c r="O7" s="222"/>
      <c r="P7" s="222"/>
      <c r="Q7" s="222"/>
      <c r="R7" s="220"/>
      <c r="V7" s="5">
        <f t="shared" si="2"/>
        <v>1</v>
      </c>
      <c r="W7" s="5">
        <f t="shared" si="3"/>
        <v>0</v>
      </c>
    </row>
    <row r="8" spans="1:23" ht="15" thickBot="1" x14ac:dyDescent="0.35">
      <c r="A8" s="6"/>
      <c r="B8" s="88">
        <v>3</v>
      </c>
      <c r="C8" s="85">
        <v>45324</v>
      </c>
      <c r="D8" s="86" t="s">
        <v>18</v>
      </c>
      <c r="E8" s="86" t="s">
        <v>993</v>
      </c>
      <c r="F8" s="86">
        <v>130</v>
      </c>
      <c r="G8" s="86">
        <v>230</v>
      </c>
      <c r="H8" s="87">
        <v>100</v>
      </c>
      <c r="I8" s="86">
        <v>120</v>
      </c>
      <c r="J8" s="21">
        <f t="shared" si="0"/>
        <v>12000</v>
      </c>
      <c r="K8" s="7"/>
      <c r="M8" s="223" t="s">
        <v>194</v>
      </c>
      <c r="N8" s="222">
        <f>COUNT(C131:C178)</f>
        <v>42</v>
      </c>
      <c r="O8" s="222">
        <f>V179</f>
        <v>34</v>
      </c>
      <c r="P8" s="222">
        <f>W179</f>
        <v>8</v>
      </c>
      <c r="Q8" s="222">
        <v>0</v>
      </c>
      <c r="R8" s="220">
        <f t="shared" ref="R8:R10" si="4">O8/N8</f>
        <v>0.80952380952380953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45324</v>
      </c>
      <c r="D9" s="86" t="s">
        <v>18</v>
      </c>
      <c r="E9" s="86" t="s">
        <v>893</v>
      </c>
      <c r="F9" s="86">
        <v>140</v>
      </c>
      <c r="G9" s="86">
        <v>215</v>
      </c>
      <c r="H9" s="87">
        <f>215-140</f>
        <v>75</v>
      </c>
      <c r="I9" s="86">
        <v>120</v>
      </c>
      <c r="J9" s="21">
        <f t="shared" si="0"/>
        <v>9000</v>
      </c>
      <c r="K9" s="7"/>
      <c r="M9" s="223"/>
      <c r="N9" s="222"/>
      <c r="O9" s="222"/>
      <c r="P9" s="222"/>
      <c r="Q9" s="222"/>
      <c r="R9" s="220"/>
      <c r="V9" s="5">
        <f t="shared" si="2"/>
        <v>1</v>
      </c>
      <c r="W9" s="5">
        <f t="shared" si="3"/>
        <v>0</v>
      </c>
    </row>
    <row r="10" spans="1:23" ht="16.5" customHeight="1" thickBot="1" x14ac:dyDescent="0.35">
      <c r="A10" s="6"/>
      <c r="B10" s="88">
        <v>5</v>
      </c>
      <c r="C10" s="85">
        <v>45327</v>
      </c>
      <c r="D10" s="86" t="s">
        <v>18</v>
      </c>
      <c r="E10" s="86" t="s">
        <v>916</v>
      </c>
      <c r="F10" s="86">
        <v>160</v>
      </c>
      <c r="G10" s="86">
        <v>230</v>
      </c>
      <c r="H10" s="87">
        <f>230-160</f>
        <v>70</v>
      </c>
      <c r="I10" s="86">
        <v>120</v>
      </c>
      <c r="J10" s="21">
        <f t="shared" si="0"/>
        <v>8400</v>
      </c>
      <c r="K10" s="7"/>
      <c r="M10" s="218" t="s">
        <v>19</v>
      </c>
      <c r="N10" s="219">
        <f>SUM(N4:N9)</f>
        <v>86</v>
      </c>
      <c r="O10" s="219">
        <f>SUM(O4:O9)</f>
        <v>71</v>
      </c>
      <c r="P10" s="219">
        <f>SUM(P4:P9)</f>
        <v>15</v>
      </c>
      <c r="Q10" s="219">
        <f>SUM(Q4:Q9)</f>
        <v>0</v>
      </c>
      <c r="R10" s="220">
        <f t="shared" si="4"/>
        <v>0.82558139534883723</v>
      </c>
      <c r="V10" s="5">
        <f t="shared" si="2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85">
        <v>45327</v>
      </c>
      <c r="D11" s="86" t="s">
        <v>18</v>
      </c>
      <c r="E11" s="86" t="s">
        <v>916</v>
      </c>
      <c r="F11" s="86">
        <v>140</v>
      </c>
      <c r="G11" s="86">
        <v>210</v>
      </c>
      <c r="H11" s="87">
        <f>210-140</f>
        <v>70</v>
      </c>
      <c r="I11" s="86">
        <v>120</v>
      </c>
      <c r="J11" s="21">
        <f t="shared" si="0"/>
        <v>8400</v>
      </c>
      <c r="K11" s="7"/>
      <c r="M11" s="218"/>
      <c r="N11" s="219"/>
      <c r="O11" s="219"/>
      <c r="P11" s="219"/>
      <c r="Q11" s="219"/>
      <c r="R11" s="220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45327</v>
      </c>
      <c r="D12" s="86" t="s">
        <v>18</v>
      </c>
      <c r="E12" s="86" t="s">
        <v>895</v>
      </c>
      <c r="F12" s="86">
        <v>200</v>
      </c>
      <c r="G12" s="86">
        <v>260</v>
      </c>
      <c r="H12" s="87">
        <v>60</v>
      </c>
      <c r="I12" s="86">
        <v>120</v>
      </c>
      <c r="J12" s="21">
        <f t="shared" si="0"/>
        <v>7200</v>
      </c>
      <c r="K12" s="7"/>
      <c r="M12" s="129" t="s">
        <v>20</v>
      </c>
      <c r="N12" s="130"/>
      <c r="O12" s="131"/>
      <c r="P12" s="138">
        <f>R10</f>
        <v>0.82558139534883723</v>
      </c>
      <c r="Q12" s="139"/>
      <c r="R12" s="140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45328</v>
      </c>
      <c r="D13" s="86" t="s">
        <v>18</v>
      </c>
      <c r="E13" s="86" t="s">
        <v>992</v>
      </c>
      <c r="F13" s="86">
        <v>140</v>
      </c>
      <c r="G13" s="86">
        <v>155</v>
      </c>
      <c r="H13" s="87">
        <v>15</v>
      </c>
      <c r="I13" s="86">
        <v>120</v>
      </c>
      <c r="J13" s="21">
        <f t="shared" si="0"/>
        <v>1800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45328</v>
      </c>
      <c r="D14" s="86" t="s">
        <v>18</v>
      </c>
      <c r="E14" s="86" t="s">
        <v>994</v>
      </c>
      <c r="F14" s="86">
        <v>130</v>
      </c>
      <c r="G14" s="86">
        <v>220</v>
      </c>
      <c r="H14" s="87">
        <f>220-130</f>
        <v>90</v>
      </c>
      <c r="I14" s="86">
        <v>120</v>
      </c>
      <c r="J14" s="21">
        <f t="shared" si="0"/>
        <v>10800</v>
      </c>
      <c r="K14" s="7"/>
      <c r="M14" s="132"/>
      <c r="N14" s="133"/>
      <c r="O14" s="134"/>
      <c r="P14" s="141"/>
      <c r="Q14" s="142"/>
      <c r="R14" s="143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85">
        <v>45329</v>
      </c>
      <c r="D15" s="86" t="s">
        <v>18</v>
      </c>
      <c r="E15" s="86" t="s">
        <v>994</v>
      </c>
      <c r="F15" s="86">
        <v>140</v>
      </c>
      <c r="G15" s="86">
        <v>90</v>
      </c>
      <c r="H15" s="87">
        <v>-50</v>
      </c>
      <c r="I15" s="86">
        <v>120</v>
      </c>
      <c r="J15" s="21">
        <f t="shared" si="0"/>
        <v>-6000</v>
      </c>
      <c r="K15" s="7"/>
      <c r="V15" s="5">
        <f t="shared" si="2"/>
        <v>0</v>
      </c>
      <c r="W15" s="5">
        <f t="shared" si="3"/>
        <v>1</v>
      </c>
    </row>
    <row r="16" spans="1:23" x14ac:dyDescent="0.3">
      <c r="A16" s="6"/>
      <c r="B16" s="88">
        <v>11</v>
      </c>
      <c r="C16" s="85">
        <v>45329</v>
      </c>
      <c r="D16" s="86" t="s">
        <v>18</v>
      </c>
      <c r="E16" s="86" t="s">
        <v>893</v>
      </c>
      <c r="F16" s="86">
        <v>140</v>
      </c>
      <c r="G16" s="86">
        <v>170</v>
      </c>
      <c r="H16" s="87">
        <v>30</v>
      </c>
      <c r="I16" s="86">
        <v>120</v>
      </c>
      <c r="J16" s="21">
        <f t="shared" si="0"/>
        <v>3600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85">
        <v>45330</v>
      </c>
      <c r="D17" s="86" t="s">
        <v>18</v>
      </c>
      <c r="E17" s="86" t="s">
        <v>985</v>
      </c>
      <c r="F17" s="86">
        <v>170</v>
      </c>
      <c r="G17" s="86">
        <v>220</v>
      </c>
      <c r="H17" s="87">
        <f>220-170</f>
        <v>50</v>
      </c>
      <c r="I17" s="86">
        <v>120</v>
      </c>
      <c r="J17" s="21">
        <f t="shared" si="0"/>
        <v>6000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85">
        <v>45330</v>
      </c>
      <c r="D18" s="86" t="s">
        <v>18</v>
      </c>
      <c r="E18" s="86" t="s">
        <v>873</v>
      </c>
      <c r="F18" s="86">
        <v>170</v>
      </c>
      <c r="G18" s="86">
        <v>270</v>
      </c>
      <c r="H18" s="87">
        <v>100</v>
      </c>
      <c r="I18" s="86">
        <v>120</v>
      </c>
      <c r="J18" s="21">
        <f t="shared" si="0"/>
        <v>12000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85">
        <v>45331</v>
      </c>
      <c r="D19" s="86" t="s">
        <v>18</v>
      </c>
      <c r="E19" s="86" t="s">
        <v>843</v>
      </c>
      <c r="F19" s="86">
        <v>150</v>
      </c>
      <c r="G19" s="86">
        <v>100</v>
      </c>
      <c r="H19" s="87">
        <v>-50</v>
      </c>
      <c r="I19" s="86">
        <v>120</v>
      </c>
      <c r="J19" s="21">
        <f t="shared" si="0"/>
        <v>-6000</v>
      </c>
      <c r="K19" s="7"/>
      <c r="V19" s="5">
        <f t="shared" si="2"/>
        <v>0</v>
      </c>
      <c r="W19" s="5">
        <f t="shared" si="3"/>
        <v>1</v>
      </c>
    </row>
    <row r="20" spans="1:23" x14ac:dyDescent="0.3">
      <c r="A20" s="6"/>
      <c r="B20" s="88">
        <v>15</v>
      </c>
      <c r="C20" s="85">
        <v>45331</v>
      </c>
      <c r="D20" s="86" t="s">
        <v>18</v>
      </c>
      <c r="E20" s="86" t="s">
        <v>914</v>
      </c>
      <c r="F20" s="86">
        <v>160</v>
      </c>
      <c r="G20" s="86">
        <v>260</v>
      </c>
      <c r="H20" s="87">
        <v>100</v>
      </c>
      <c r="I20" s="86">
        <v>120</v>
      </c>
      <c r="J20" s="21">
        <f t="shared" si="0"/>
        <v>12000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85">
        <v>45334</v>
      </c>
      <c r="D21" s="86" t="s">
        <v>18</v>
      </c>
      <c r="E21" s="86" t="s">
        <v>865</v>
      </c>
      <c r="F21" s="86">
        <v>150</v>
      </c>
      <c r="G21" s="86">
        <v>250</v>
      </c>
      <c r="H21" s="87">
        <v>100</v>
      </c>
      <c r="I21" s="86">
        <v>120</v>
      </c>
      <c r="J21" s="21">
        <f t="shared" si="0"/>
        <v>12000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45334</v>
      </c>
      <c r="D22" s="19" t="s">
        <v>18</v>
      </c>
      <c r="E22" s="19" t="s">
        <v>905</v>
      </c>
      <c r="F22" s="35">
        <v>140</v>
      </c>
      <c r="G22" s="35">
        <v>240</v>
      </c>
      <c r="H22" s="35">
        <v>100</v>
      </c>
      <c r="I22" s="86">
        <v>120</v>
      </c>
      <c r="J22" s="21">
        <f t="shared" si="0"/>
        <v>12000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45335</v>
      </c>
      <c r="D23" s="19" t="s">
        <v>18</v>
      </c>
      <c r="E23" s="19" t="s">
        <v>884</v>
      </c>
      <c r="F23" s="35">
        <v>140</v>
      </c>
      <c r="G23" s="35">
        <v>90</v>
      </c>
      <c r="H23" s="35">
        <v>-50</v>
      </c>
      <c r="I23" s="86">
        <v>120</v>
      </c>
      <c r="J23" s="21">
        <f t="shared" si="0"/>
        <v>-6000</v>
      </c>
      <c r="K23" s="7"/>
      <c r="V23" s="5">
        <f t="shared" si="2"/>
        <v>0</v>
      </c>
      <c r="W23" s="5">
        <f t="shared" si="3"/>
        <v>1</v>
      </c>
    </row>
    <row r="24" spans="1:23" x14ac:dyDescent="0.3">
      <c r="A24" s="6"/>
      <c r="B24" s="88">
        <v>19</v>
      </c>
      <c r="C24" s="18">
        <v>45335</v>
      </c>
      <c r="D24" s="19" t="s">
        <v>18</v>
      </c>
      <c r="E24" s="19" t="s">
        <v>869</v>
      </c>
      <c r="F24" s="35">
        <v>170</v>
      </c>
      <c r="G24" s="35">
        <v>190</v>
      </c>
      <c r="H24" s="35">
        <v>20</v>
      </c>
      <c r="I24" s="20">
        <v>120</v>
      </c>
      <c r="J24" s="21">
        <f t="shared" si="0"/>
        <v>2400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45336</v>
      </c>
      <c r="D25" s="19" t="s">
        <v>18</v>
      </c>
      <c r="E25" s="19" t="s">
        <v>873</v>
      </c>
      <c r="F25" s="35">
        <v>120</v>
      </c>
      <c r="G25" s="35">
        <v>70</v>
      </c>
      <c r="H25" s="35">
        <v>-50</v>
      </c>
      <c r="I25" s="20">
        <v>120</v>
      </c>
      <c r="J25" s="21">
        <f t="shared" si="0"/>
        <v>-6000</v>
      </c>
      <c r="K25" s="7"/>
      <c r="V25" s="5">
        <f t="shared" si="2"/>
        <v>0</v>
      </c>
      <c r="W25" s="5">
        <f t="shared" si="3"/>
        <v>1</v>
      </c>
    </row>
    <row r="26" spans="1:23" x14ac:dyDescent="0.3">
      <c r="A26" s="6"/>
      <c r="B26" s="88">
        <v>21</v>
      </c>
      <c r="C26" s="18">
        <v>45336</v>
      </c>
      <c r="D26" s="19" t="s">
        <v>18</v>
      </c>
      <c r="E26" s="19" t="s">
        <v>864</v>
      </c>
      <c r="F26" s="35">
        <v>160</v>
      </c>
      <c r="G26" s="35">
        <v>260</v>
      </c>
      <c r="H26" s="35">
        <v>100</v>
      </c>
      <c r="I26" s="20">
        <v>120</v>
      </c>
      <c r="J26" s="21">
        <f t="shared" si="0"/>
        <v>12000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45337</v>
      </c>
      <c r="D27" s="19" t="s">
        <v>18</v>
      </c>
      <c r="E27" s="19" t="s">
        <v>847</v>
      </c>
      <c r="F27" s="35">
        <v>150</v>
      </c>
      <c r="G27" s="35">
        <v>100</v>
      </c>
      <c r="H27" s="19">
        <v>-50</v>
      </c>
      <c r="I27" s="20">
        <v>120</v>
      </c>
      <c r="J27" s="21">
        <f t="shared" si="0"/>
        <v>-6000</v>
      </c>
      <c r="K27" s="7"/>
      <c r="V27" s="5">
        <f t="shared" si="2"/>
        <v>0</v>
      </c>
      <c r="W27" s="5">
        <f t="shared" si="3"/>
        <v>1</v>
      </c>
    </row>
    <row r="28" spans="1:23" x14ac:dyDescent="0.3">
      <c r="A28" s="6"/>
      <c r="B28" s="88">
        <v>23</v>
      </c>
      <c r="C28" s="18">
        <v>45337</v>
      </c>
      <c r="D28" s="19" t="s">
        <v>18</v>
      </c>
      <c r="E28" s="19" t="s">
        <v>896</v>
      </c>
      <c r="F28" s="35">
        <v>170</v>
      </c>
      <c r="G28" s="35">
        <v>120</v>
      </c>
      <c r="H28" s="19">
        <v>-50</v>
      </c>
      <c r="I28" s="20">
        <v>120</v>
      </c>
      <c r="J28" s="21">
        <f t="shared" si="0"/>
        <v>-6000</v>
      </c>
      <c r="K28" s="7"/>
      <c r="V28" s="5">
        <f t="shared" si="2"/>
        <v>0</v>
      </c>
      <c r="W28" s="5">
        <f t="shared" si="3"/>
        <v>1</v>
      </c>
    </row>
    <row r="29" spans="1:23" x14ac:dyDescent="0.3">
      <c r="A29" s="6"/>
      <c r="B29" s="17">
        <v>24</v>
      </c>
      <c r="C29" s="18">
        <v>45338</v>
      </c>
      <c r="D29" s="19" t="s">
        <v>18</v>
      </c>
      <c r="E29" s="19" t="s">
        <v>996</v>
      </c>
      <c r="F29" s="20">
        <v>160</v>
      </c>
      <c r="G29" s="20">
        <v>260</v>
      </c>
      <c r="H29" s="19">
        <v>100</v>
      </c>
      <c r="I29" s="20">
        <v>120</v>
      </c>
      <c r="J29" s="21">
        <f t="shared" si="0"/>
        <v>12000</v>
      </c>
      <c r="K29" s="7"/>
      <c r="V29" s="5">
        <f t="shared" si="2"/>
        <v>1</v>
      </c>
      <c r="W29" s="5">
        <f t="shared" si="3"/>
        <v>0</v>
      </c>
    </row>
    <row r="30" spans="1:23" x14ac:dyDescent="0.3">
      <c r="A30" s="6"/>
      <c r="B30" s="88">
        <v>25</v>
      </c>
      <c r="C30" s="24">
        <v>45338</v>
      </c>
      <c r="D30" s="25" t="s">
        <v>18</v>
      </c>
      <c r="E30" s="25" t="s">
        <v>978</v>
      </c>
      <c r="F30" s="26">
        <v>150</v>
      </c>
      <c r="G30" s="61">
        <v>200</v>
      </c>
      <c r="H30" s="61">
        <v>50</v>
      </c>
      <c r="I30" s="26">
        <v>120</v>
      </c>
      <c r="J30" s="21">
        <f t="shared" si="0"/>
        <v>6000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45341</v>
      </c>
      <c r="D31" s="25" t="s">
        <v>18</v>
      </c>
      <c r="E31" s="25" t="s">
        <v>978</v>
      </c>
      <c r="F31" s="26">
        <v>140</v>
      </c>
      <c r="G31" s="61">
        <v>168</v>
      </c>
      <c r="H31" s="61">
        <v>28</v>
      </c>
      <c r="I31" s="26">
        <v>120</v>
      </c>
      <c r="J31" s="21">
        <f t="shared" si="0"/>
        <v>3360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45341</v>
      </c>
      <c r="D32" s="25" t="s">
        <v>18</v>
      </c>
      <c r="E32" s="25" t="s">
        <v>891</v>
      </c>
      <c r="F32" s="26">
        <v>150</v>
      </c>
      <c r="G32" s="61">
        <v>161</v>
      </c>
      <c r="H32" s="61">
        <v>11</v>
      </c>
      <c r="I32" s="26">
        <v>120</v>
      </c>
      <c r="J32" s="21">
        <f t="shared" si="0"/>
        <v>1320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45341</v>
      </c>
      <c r="D33" s="25" t="s">
        <v>18</v>
      </c>
      <c r="E33" s="25" t="s">
        <v>997</v>
      </c>
      <c r="F33" s="26">
        <v>200</v>
      </c>
      <c r="G33" s="61">
        <v>260</v>
      </c>
      <c r="H33" s="61">
        <v>60</v>
      </c>
      <c r="I33" s="26">
        <v>120</v>
      </c>
      <c r="J33" s="21">
        <f t="shared" si="0"/>
        <v>7200</v>
      </c>
      <c r="K33" s="7"/>
      <c r="V33" s="5">
        <f t="shared" si="2"/>
        <v>1</v>
      </c>
      <c r="W33" s="5">
        <f t="shared" si="3"/>
        <v>0</v>
      </c>
    </row>
    <row r="34" spans="1:23" x14ac:dyDescent="0.3">
      <c r="A34" s="6"/>
      <c r="B34" s="88">
        <v>29</v>
      </c>
      <c r="C34" s="24">
        <v>45342</v>
      </c>
      <c r="D34" s="25" t="s">
        <v>18</v>
      </c>
      <c r="E34" s="25" t="s">
        <v>999</v>
      </c>
      <c r="F34" s="26">
        <v>150</v>
      </c>
      <c r="G34" s="61">
        <v>100</v>
      </c>
      <c r="H34" s="61">
        <v>-50</v>
      </c>
      <c r="I34" s="26">
        <v>120</v>
      </c>
      <c r="J34" s="21">
        <f t="shared" si="0"/>
        <v>-6000</v>
      </c>
      <c r="K34" s="7"/>
      <c r="V34" s="5">
        <f t="shared" si="2"/>
        <v>0</v>
      </c>
      <c r="W34" s="5">
        <f t="shared" si="3"/>
        <v>1</v>
      </c>
    </row>
    <row r="35" spans="1:23" x14ac:dyDescent="0.3">
      <c r="A35" s="6"/>
      <c r="B35" s="17">
        <v>30</v>
      </c>
      <c r="C35" s="24">
        <v>45342</v>
      </c>
      <c r="D35" s="25" t="s">
        <v>18</v>
      </c>
      <c r="E35" s="25" t="s">
        <v>978</v>
      </c>
      <c r="F35" s="26">
        <v>150</v>
      </c>
      <c r="G35" s="61">
        <v>211</v>
      </c>
      <c r="H35" s="61">
        <f>211-150</f>
        <v>61</v>
      </c>
      <c r="I35" s="26">
        <v>120</v>
      </c>
      <c r="J35" s="21">
        <f t="shared" si="0"/>
        <v>7320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45343</v>
      </c>
      <c r="D36" s="25" t="s">
        <v>18</v>
      </c>
      <c r="E36" s="25" t="s">
        <v>978</v>
      </c>
      <c r="F36" s="26">
        <v>150</v>
      </c>
      <c r="G36" s="61">
        <v>240</v>
      </c>
      <c r="H36" s="61">
        <f>240-150</f>
        <v>90</v>
      </c>
      <c r="I36" s="26">
        <v>120</v>
      </c>
      <c r="J36" s="21">
        <f t="shared" si="0"/>
        <v>10800</v>
      </c>
      <c r="K36" s="7"/>
      <c r="V36" s="5">
        <f t="shared" si="2"/>
        <v>1</v>
      </c>
      <c r="W36" s="5">
        <f t="shared" si="3"/>
        <v>0</v>
      </c>
    </row>
    <row r="37" spans="1:23" x14ac:dyDescent="0.3">
      <c r="A37" s="6"/>
      <c r="B37" s="17">
        <v>32</v>
      </c>
      <c r="C37" s="24">
        <v>45343</v>
      </c>
      <c r="D37" s="25" t="s">
        <v>18</v>
      </c>
      <c r="E37" s="25" t="s">
        <v>979</v>
      </c>
      <c r="F37" s="26">
        <v>140</v>
      </c>
      <c r="G37" s="61">
        <v>188</v>
      </c>
      <c r="H37" s="61">
        <f>188-140</f>
        <v>48</v>
      </c>
      <c r="I37" s="26">
        <v>120</v>
      </c>
      <c r="J37" s="21">
        <f t="shared" si="0"/>
        <v>5760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45344</v>
      </c>
      <c r="D38" s="25" t="s">
        <v>18</v>
      </c>
      <c r="E38" s="25" t="s">
        <v>893</v>
      </c>
      <c r="F38" s="26">
        <v>170</v>
      </c>
      <c r="G38" s="61">
        <v>238</v>
      </c>
      <c r="H38" s="61">
        <f>238-170</f>
        <v>68</v>
      </c>
      <c r="I38" s="26">
        <v>120</v>
      </c>
      <c r="J38" s="21">
        <f t="shared" si="0"/>
        <v>8160</v>
      </c>
      <c r="K38" s="7"/>
      <c r="V38" s="5">
        <f t="shared" si="2"/>
        <v>1</v>
      </c>
      <c r="W38" s="5">
        <f t="shared" si="3"/>
        <v>0</v>
      </c>
    </row>
    <row r="39" spans="1:23" x14ac:dyDescent="0.3">
      <c r="A39" s="6"/>
      <c r="B39" s="17">
        <v>34</v>
      </c>
      <c r="C39" s="24">
        <v>45344</v>
      </c>
      <c r="D39" s="25" t="s">
        <v>18</v>
      </c>
      <c r="E39" s="25" t="s">
        <v>902</v>
      </c>
      <c r="F39" s="26">
        <v>160</v>
      </c>
      <c r="G39" s="61">
        <v>185</v>
      </c>
      <c r="H39" s="61">
        <f>185-160</f>
        <v>25</v>
      </c>
      <c r="I39" s="26">
        <v>120</v>
      </c>
      <c r="J39" s="21">
        <f t="shared" si="0"/>
        <v>3000</v>
      </c>
      <c r="K39" s="7"/>
      <c r="V39" s="5">
        <f t="shared" si="2"/>
        <v>1</v>
      </c>
      <c r="W39" s="5">
        <f t="shared" si="3"/>
        <v>0</v>
      </c>
    </row>
    <row r="40" spans="1:23" x14ac:dyDescent="0.3">
      <c r="A40" s="6"/>
      <c r="B40" s="88">
        <v>35</v>
      </c>
      <c r="C40" s="24">
        <v>45345</v>
      </c>
      <c r="D40" s="25" t="s">
        <v>18</v>
      </c>
      <c r="E40" s="25" t="s">
        <v>960</v>
      </c>
      <c r="F40" s="26">
        <v>160</v>
      </c>
      <c r="G40" s="61">
        <v>202</v>
      </c>
      <c r="H40" s="61">
        <f>202-160</f>
        <v>42</v>
      </c>
      <c r="I40" s="26">
        <v>120</v>
      </c>
      <c r="J40" s="21">
        <f t="shared" si="0"/>
        <v>5040</v>
      </c>
      <c r="K40" s="7"/>
      <c r="V40" s="5">
        <f t="shared" si="2"/>
        <v>1</v>
      </c>
      <c r="W40" s="5">
        <f t="shared" si="3"/>
        <v>0</v>
      </c>
    </row>
    <row r="41" spans="1:23" x14ac:dyDescent="0.3">
      <c r="A41" s="6"/>
      <c r="B41" s="17">
        <v>36</v>
      </c>
      <c r="C41" s="18">
        <v>45345</v>
      </c>
      <c r="D41" s="19" t="s">
        <v>18</v>
      </c>
      <c r="E41" s="19" t="s">
        <v>960</v>
      </c>
      <c r="F41" s="35">
        <v>140</v>
      </c>
      <c r="G41" s="35">
        <v>180</v>
      </c>
      <c r="H41" s="35">
        <v>40</v>
      </c>
      <c r="I41" s="26">
        <v>120</v>
      </c>
      <c r="J41" s="21">
        <f t="shared" si="0"/>
        <v>4800</v>
      </c>
      <c r="K41" s="7"/>
      <c r="V41" s="5">
        <f t="shared" si="2"/>
        <v>1</v>
      </c>
      <c r="W41" s="5">
        <f t="shared" si="3"/>
        <v>0</v>
      </c>
    </row>
    <row r="42" spans="1:23" x14ac:dyDescent="0.3">
      <c r="A42" s="6"/>
      <c r="B42" s="17">
        <v>37</v>
      </c>
      <c r="C42" s="18">
        <v>45348</v>
      </c>
      <c r="D42" s="19" t="s">
        <v>18</v>
      </c>
      <c r="E42" s="19" t="s">
        <v>945</v>
      </c>
      <c r="F42" s="35">
        <v>150</v>
      </c>
      <c r="G42" s="35">
        <v>200</v>
      </c>
      <c r="H42" s="35">
        <v>50</v>
      </c>
      <c r="I42" s="26">
        <v>120</v>
      </c>
      <c r="J42" s="21">
        <f t="shared" si="0"/>
        <v>6000</v>
      </c>
      <c r="K42" s="7"/>
      <c r="V42" s="5">
        <f t="shared" si="2"/>
        <v>1</v>
      </c>
      <c r="W42" s="5">
        <f t="shared" si="3"/>
        <v>0</v>
      </c>
    </row>
    <row r="43" spans="1:23" x14ac:dyDescent="0.3">
      <c r="A43" s="6"/>
      <c r="B43" s="17">
        <v>38</v>
      </c>
      <c r="C43" s="18">
        <v>45348</v>
      </c>
      <c r="D43" s="19" t="s">
        <v>18</v>
      </c>
      <c r="E43" s="19" t="s">
        <v>993</v>
      </c>
      <c r="F43" s="35">
        <v>130</v>
      </c>
      <c r="G43" s="35">
        <v>180</v>
      </c>
      <c r="H43" s="35">
        <v>50</v>
      </c>
      <c r="I43" s="26">
        <v>120</v>
      </c>
      <c r="J43" s="21">
        <f t="shared" si="0"/>
        <v>6000</v>
      </c>
      <c r="K43" s="7"/>
      <c r="V43" s="5">
        <f t="shared" si="2"/>
        <v>1</v>
      </c>
      <c r="W43" s="5">
        <f t="shared" si="3"/>
        <v>0</v>
      </c>
    </row>
    <row r="44" spans="1:23" x14ac:dyDescent="0.3">
      <c r="A44" s="6"/>
      <c r="B44" s="17">
        <v>39</v>
      </c>
      <c r="C44" s="18">
        <v>45349</v>
      </c>
      <c r="D44" s="19" t="s">
        <v>18</v>
      </c>
      <c r="E44" s="19" t="s">
        <v>944</v>
      </c>
      <c r="F44" s="35">
        <v>150</v>
      </c>
      <c r="G44" s="35">
        <v>200</v>
      </c>
      <c r="H44" s="35">
        <v>50</v>
      </c>
      <c r="I44" s="26">
        <v>120</v>
      </c>
      <c r="J44" s="21">
        <f t="shared" si="0"/>
        <v>6000</v>
      </c>
      <c r="K44" s="7"/>
      <c r="V44" s="5">
        <f t="shared" si="2"/>
        <v>1</v>
      </c>
      <c r="W44" s="5">
        <f t="shared" si="3"/>
        <v>0</v>
      </c>
    </row>
    <row r="45" spans="1:23" x14ac:dyDescent="0.3">
      <c r="A45" s="6"/>
      <c r="B45" s="17">
        <v>40</v>
      </c>
      <c r="C45" s="24">
        <v>45349</v>
      </c>
      <c r="D45" s="25" t="s">
        <v>18</v>
      </c>
      <c r="E45" s="25" t="s">
        <v>978</v>
      </c>
      <c r="F45" s="26">
        <v>140</v>
      </c>
      <c r="G45" s="61">
        <v>155</v>
      </c>
      <c r="H45" s="61">
        <v>15</v>
      </c>
      <c r="I45" s="26">
        <v>120</v>
      </c>
      <c r="J45" s="21">
        <f t="shared" si="0"/>
        <v>1800</v>
      </c>
      <c r="K45" s="7"/>
      <c r="V45" s="5">
        <f t="shared" si="2"/>
        <v>1</v>
      </c>
      <c r="W45" s="5">
        <f t="shared" si="3"/>
        <v>0</v>
      </c>
    </row>
    <row r="46" spans="1:23" x14ac:dyDescent="0.3">
      <c r="A46" s="6"/>
      <c r="B46" s="17">
        <v>41</v>
      </c>
      <c r="C46" s="24">
        <v>45350</v>
      </c>
      <c r="D46" s="25" t="s">
        <v>18</v>
      </c>
      <c r="E46" s="25" t="s">
        <v>893</v>
      </c>
      <c r="F46" s="26">
        <v>130</v>
      </c>
      <c r="G46" s="61">
        <v>230</v>
      </c>
      <c r="H46" s="61">
        <v>100</v>
      </c>
      <c r="I46" s="26">
        <v>120</v>
      </c>
      <c r="J46" s="21">
        <f t="shared" si="0"/>
        <v>12000</v>
      </c>
      <c r="K46" s="7"/>
      <c r="V46" s="5">
        <f t="shared" si="2"/>
        <v>1</v>
      </c>
      <c r="W46" s="5">
        <f t="shared" si="3"/>
        <v>0</v>
      </c>
    </row>
    <row r="47" spans="1:23" x14ac:dyDescent="0.3">
      <c r="A47" s="6"/>
      <c r="B47" s="17">
        <v>40</v>
      </c>
      <c r="C47" s="24">
        <v>45350</v>
      </c>
      <c r="D47" s="25" t="s">
        <v>18</v>
      </c>
      <c r="E47" s="25" t="s">
        <v>997</v>
      </c>
      <c r="F47" s="26">
        <v>160</v>
      </c>
      <c r="G47" s="61">
        <v>199</v>
      </c>
      <c r="H47" s="61">
        <f>199-160</f>
        <v>39</v>
      </c>
      <c r="I47" s="26">
        <v>120</v>
      </c>
      <c r="J47" s="21">
        <f t="shared" si="0"/>
        <v>4680</v>
      </c>
      <c r="K47" s="7"/>
      <c r="V47" s="5">
        <f t="shared" si="2"/>
        <v>1</v>
      </c>
      <c r="W47" s="5">
        <f t="shared" si="3"/>
        <v>0</v>
      </c>
    </row>
    <row r="48" spans="1:23" x14ac:dyDescent="0.3">
      <c r="A48" s="6"/>
      <c r="B48" s="17">
        <v>41</v>
      </c>
      <c r="C48" s="24">
        <v>45351</v>
      </c>
      <c r="D48" s="25" t="s">
        <v>18</v>
      </c>
      <c r="E48" s="25" t="s">
        <v>994</v>
      </c>
      <c r="F48" s="26">
        <v>150</v>
      </c>
      <c r="G48" s="61">
        <v>177</v>
      </c>
      <c r="H48" s="61">
        <f>177-150</f>
        <v>27</v>
      </c>
      <c r="I48" s="26">
        <v>120</v>
      </c>
      <c r="J48" s="21">
        <f t="shared" si="0"/>
        <v>3240</v>
      </c>
      <c r="K48" s="7"/>
      <c r="V48" s="5">
        <f t="shared" si="2"/>
        <v>1</v>
      </c>
      <c r="W48" s="5">
        <f t="shared" si="3"/>
        <v>0</v>
      </c>
    </row>
    <row r="49" spans="1:23" ht="15" thickBot="1" x14ac:dyDescent="0.35">
      <c r="A49" s="6"/>
      <c r="B49" s="88">
        <v>39</v>
      </c>
      <c r="C49" s="24">
        <v>45351</v>
      </c>
      <c r="D49" s="25" t="s">
        <v>18</v>
      </c>
      <c r="E49" s="25" t="s">
        <v>914</v>
      </c>
      <c r="F49" s="26">
        <v>150</v>
      </c>
      <c r="G49" s="61">
        <v>250</v>
      </c>
      <c r="H49" s="61">
        <v>100</v>
      </c>
      <c r="I49" s="26">
        <v>120</v>
      </c>
      <c r="J49" s="21">
        <f t="shared" si="0"/>
        <v>12000</v>
      </c>
      <c r="K49" s="7"/>
      <c r="V49" s="5">
        <f t="shared" si="2"/>
        <v>1</v>
      </c>
      <c r="W49" s="5">
        <f t="shared" si="3"/>
        <v>0</v>
      </c>
    </row>
    <row r="50" spans="1:23" hidden="1" x14ac:dyDescent="0.3">
      <c r="A50" s="6"/>
      <c r="B50" s="17">
        <v>40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idden="1" x14ac:dyDescent="0.3">
      <c r="A51" s="6"/>
      <c r="B51" s="88">
        <v>41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idden="1" x14ac:dyDescent="0.3">
      <c r="A52" s="6"/>
      <c r="B52" s="17">
        <v>42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idden="1" x14ac:dyDescent="0.3">
      <c r="A53" s="6"/>
      <c r="B53" s="88">
        <v>43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idden="1" x14ac:dyDescent="0.3">
      <c r="A54" s="6"/>
      <c r="B54" s="17">
        <v>44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idden="1" x14ac:dyDescent="0.3">
      <c r="A55" s="6"/>
      <c r="B55" s="88">
        <v>45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idden="1" x14ac:dyDescent="0.3">
      <c r="A56" s="6"/>
      <c r="B56" s="17">
        <v>46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idden="1" x14ac:dyDescent="0.3">
      <c r="A57" s="6"/>
      <c r="B57" s="88">
        <v>47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idden="1" x14ac:dyDescent="0.3">
      <c r="A58" s="6"/>
      <c r="B58" s="17">
        <v>48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idden="1" x14ac:dyDescent="0.3">
      <c r="A59" s="6"/>
      <c r="B59" s="88">
        <v>49</v>
      </c>
      <c r="C59" s="24"/>
      <c r="D59" s="25"/>
      <c r="E59" s="25"/>
      <c r="F59" s="26"/>
      <c r="G59" s="61"/>
      <c r="H59" s="61"/>
      <c r="I59" s="26"/>
      <c r="J59" s="21">
        <f t="shared" si="0"/>
        <v>0</v>
      </c>
      <c r="K59" s="7"/>
      <c r="V59" s="5">
        <f t="shared" si="2"/>
        <v>0</v>
      </c>
      <c r="W59" s="5">
        <f t="shared" si="3"/>
        <v>0</v>
      </c>
    </row>
    <row r="60" spans="1:23" ht="15" hidden="1" thickBot="1" x14ac:dyDescent="0.35">
      <c r="A60" s="6"/>
      <c r="B60" s="17">
        <v>50</v>
      </c>
      <c r="C60" s="24"/>
      <c r="D60" s="25"/>
      <c r="E60" s="25"/>
      <c r="F60" s="26"/>
      <c r="G60" s="61"/>
      <c r="H60" s="61"/>
      <c r="I60" s="26"/>
      <c r="J60" s="21">
        <f t="shared" si="0"/>
        <v>0</v>
      </c>
      <c r="K60" s="7"/>
      <c r="V60" s="5">
        <f t="shared" si="2"/>
        <v>0</v>
      </c>
      <c r="W60" s="5">
        <f t="shared" si="3"/>
        <v>0</v>
      </c>
    </row>
    <row r="61" spans="1:23" ht="24" thickBot="1" x14ac:dyDescent="0.5">
      <c r="A61" s="6"/>
      <c r="B61" s="144" t="s">
        <v>22</v>
      </c>
      <c r="C61" s="145"/>
      <c r="D61" s="145"/>
      <c r="E61" s="145"/>
      <c r="F61" s="145"/>
      <c r="G61" s="145"/>
      <c r="H61" s="146"/>
      <c r="I61" s="28" t="s">
        <v>23</v>
      </c>
      <c r="J61" s="29">
        <f>SUM(J6:J60)</f>
        <v>221280</v>
      </c>
      <c r="K61" s="7"/>
      <c r="V61" s="5">
        <f>SUM(V6:V60)</f>
        <v>37</v>
      </c>
      <c r="W61" s="5">
        <f>SUM(W6:W60)</f>
        <v>7</v>
      </c>
    </row>
    <row r="62" spans="1:23" ht="30" customHeight="1" thickBot="1" x14ac:dyDescent="0.35">
      <c r="A62" s="30"/>
      <c r="B62" s="31"/>
      <c r="C62" s="31"/>
      <c r="D62" s="31"/>
      <c r="E62" s="31"/>
      <c r="F62" s="31"/>
      <c r="G62" s="31"/>
      <c r="H62" s="32"/>
      <c r="I62" s="31"/>
      <c r="J62" s="32"/>
      <c r="K62" s="33"/>
      <c r="L62" s="36"/>
      <c r="M62" s="36"/>
      <c r="N62" s="36"/>
      <c r="O62" s="36"/>
      <c r="P62" s="36"/>
      <c r="Q62" s="36"/>
      <c r="R62" s="36"/>
    </row>
    <row r="63" spans="1:23" hidden="1" x14ac:dyDescent="0.3">
      <c r="L63" s="36"/>
      <c r="M63" s="36"/>
      <c r="N63" s="36"/>
      <c r="O63" s="22"/>
      <c r="P63" s="22"/>
      <c r="Q63" s="22"/>
      <c r="R63" s="22"/>
    </row>
    <row r="64" spans="1:23" s="36" customFormat="1" ht="30" hidden="1" customHeight="1" thickBot="1" x14ac:dyDescent="0.35">
      <c r="A64" s="1"/>
      <c r="B64" s="2"/>
      <c r="C64" s="2"/>
      <c r="D64" s="2"/>
      <c r="E64" s="2"/>
      <c r="F64" s="2"/>
      <c r="G64" s="2"/>
      <c r="H64" s="3"/>
      <c r="I64" s="2"/>
      <c r="J64" s="3"/>
      <c r="K64" s="4"/>
    </row>
    <row r="65" spans="1:23" s="36" customFormat="1" ht="25.2" hidden="1" thickBot="1" x14ac:dyDescent="0.35">
      <c r="A65" s="6" t="s">
        <v>1</v>
      </c>
      <c r="B65" s="119" t="s">
        <v>2</v>
      </c>
      <c r="C65" s="120"/>
      <c r="D65" s="120"/>
      <c r="E65" s="120"/>
      <c r="F65" s="120"/>
      <c r="G65" s="120"/>
      <c r="H65" s="120"/>
      <c r="I65" s="120"/>
      <c r="J65" s="121"/>
      <c r="K65" s="7"/>
    </row>
    <row r="66" spans="1:23" s="36" customFormat="1" ht="16.2" hidden="1" thickBot="1" x14ac:dyDescent="0.35">
      <c r="A66" s="6"/>
      <c r="B66" s="168" t="s">
        <v>972</v>
      </c>
      <c r="C66" s="169"/>
      <c r="D66" s="169"/>
      <c r="E66" s="169"/>
      <c r="F66" s="169"/>
      <c r="G66" s="169"/>
      <c r="H66" s="169"/>
      <c r="I66" s="169"/>
      <c r="J66" s="170"/>
      <c r="K66" s="7"/>
      <c r="L66" s="22"/>
    </row>
    <row r="67" spans="1:23" s="36" customFormat="1" ht="16.2" hidden="1" thickBot="1" x14ac:dyDescent="0.35">
      <c r="A67" s="6"/>
      <c r="B67" s="106" t="s">
        <v>90</v>
      </c>
      <c r="C67" s="107"/>
      <c r="D67" s="107"/>
      <c r="E67" s="107"/>
      <c r="F67" s="107"/>
      <c r="G67" s="107"/>
      <c r="H67" s="107"/>
      <c r="I67" s="107"/>
      <c r="J67" s="108"/>
      <c r="K67" s="7"/>
    </row>
    <row r="68" spans="1:23" s="22" customFormat="1" ht="15" hidden="1" thickBot="1" x14ac:dyDescent="0.35">
      <c r="A68" s="69"/>
      <c r="B68" s="8" t="s">
        <v>9</v>
      </c>
      <c r="C68" s="9" t="s">
        <v>10</v>
      </c>
      <c r="D68" s="10" t="s">
        <v>11</v>
      </c>
      <c r="E68" s="10" t="s">
        <v>12</v>
      </c>
      <c r="F68" s="11" t="s">
        <v>65</v>
      </c>
      <c r="G68" s="11" t="s">
        <v>66</v>
      </c>
      <c r="H68" s="12" t="s">
        <v>67</v>
      </c>
      <c r="I68" s="11" t="s">
        <v>68</v>
      </c>
      <c r="J68" s="13" t="s">
        <v>17</v>
      </c>
      <c r="K68" s="76"/>
      <c r="L68" s="36"/>
      <c r="M68" s="36"/>
      <c r="N68" s="36"/>
      <c r="O68" s="36" t="s">
        <v>21</v>
      </c>
      <c r="P68" s="36"/>
      <c r="Q68" s="36"/>
      <c r="R68" s="36"/>
      <c r="V68" s="5" t="s">
        <v>5</v>
      </c>
      <c r="W68" s="5" t="s">
        <v>6</v>
      </c>
    </row>
    <row r="69" spans="1:23" s="36" customFormat="1" hidden="1" x14ac:dyDescent="0.3">
      <c r="A69" s="6"/>
      <c r="B69" s="88">
        <v>1</v>
      </c>
      <c r="C69" s="66"/>
      <c r="D69" s="67"/>
      <c r="E69" s="67"/>
      <c r="F69" s="68"/>
      <c r="G69" s="68"/>
      <c r="H69" s="97"/>
      <c r="I69" s="68"/>
      <c r="J69" s="92">
        <f>H69*I69</f>
        <v>0</v>
      </c>
      <c r="K69" s="7"/>
      <c r="V69" s="5">
        <f t="shared" ref="V69:V122" si="5">IF($J69&gt;0,1,0)</f>
        <v>0</v>
      </c>
      <c r="W69" s="5">
        <f t="shared" ref="W69:W122" si="6">IF($J69&lt;0,1,0)</f>
        <v>0</v>
      </c>
    </row>
    <row r="70" spans="1:23" s="36" customFormat="1" hidden="1" x14ac:dyDescent="0.3">
      <c r="A70" s="6"/>
      <c r="B70" s="17">
        <f>B69+1</f>
        <v>2</v>
      </c>
      <c r="C70" s="66"/>
      <c r="D70" s="67"/>
      <c r="E70" s="67"/>
      <c r="F70" s="97"/>
      <c r="G70" s="97"/>
      <c r="H70" s="97"/>
      <c r="I70" s="20"/>
      <c r="J70" s="21">
        <f>H70*I70</f>
        <v>0</v>
      </c>
      <c r="K70" s="7"/>
      <c r="L70" s="36" t="s">
        <v>21</v>
      </c>
      <c r="V70" s="5">
        <f t="shared" si="5"/>
        <v>0</v>
      </c>
      <c r="W70" s="5">
        <f t="shared" si="6"/>
        <v>0</v>
      </c>
    </row>
    <row r="71" spans="1:23" s="36" customFormat="1" hidden="1" x14ac:dyDescent="0.3">
      <c r="A71" s="6"/>
      <c r="B71" s="17">
        <f t="shared" ref="B71:B122" si="7">B70+1</f>
        <v>3</v>
      </c>
      <c r="C71" s="18"/>
      <c r="D71" s="19"/>
      <c r="E71" s="19"/>
      <c r="F71" s="35"/>
      <c r="G71" s="97"/>
      <c r="H71" s="35"/>
      <c r="I71" s="20"/>
      <c r="J71" s="21">
        <f>H71*I71</f>
        <v>0</v>
      </c>
      <c r="K71" s="7"/>
      <c r="V71" s="5">
        <f t="shared" si="5"/>
        <v>0</v>
      </c>
      <c r="W71" s="5">
        <f t="shared" si="6"/>
        <v>0</v>
      </c>
    </row>
    <row r="72" spans="1:23" s="36" customFormat="1" hidden="1" x14ac:dyDescent="0.3">
      <c r="A72" s="6"/>
      <c r="B72" s="17">
        <f t="shared" si="7"/>
        <v>4</v>
      </c>
      <c r="C72" s="18"/>
      <c r="D72" s="19"/>
      <c r="E72" s="19"/>
      <c r="F72" s="35"/>
      <c r="G72" s="97"/>
      <c r="H72" s="35"/>
      <c r="I72" s="20"/>
      <c r="J72" s="21">
        <f>H72*I72</f>
        <v>0</v>
      </c>
      <c r="K72" s="7"/>
      <c r="V72" s="5">
        <f t="shared" si="5"/>
        <v>0</v>
      </c>
      <c r="W72" s="5">
        <f t="shared" si="6"/>
        <v>0</v>
      </c>
    </row>
    <row r="73" spans="1:23" s="36" customFormat="1" hidden="1" x14ac:dyDescent="0.3">
      <c r="A73" s="6"/>
      <c r="B73" s="17">
        <f t="shared" si="7"/>
        <v>5</v>
      </c>
      <c r="C73" s="18"/>
      <c r="D73" s="19"/>
      <c r="E73" s="19"/>
      <c r="F73" s="35"/>
      <c r="G73" s="97"/>
      <c r="H73" s="35"/>
      <c r="I73" s="20"/>
      <c r="J73" s="21">
        <f>H73*I73</f>
        <v>0</v>
      </c>
      <c r="K73" s="7"/>
      <c r="V73" s="5">
        <f t="shared" si="5"/>
        <v>0</v>
      </c>
      <c r="W73" s="5">
        <f t="shared" si="6"/>
        <v>0</v>
      </c>
    </row>
    <row r="74" spans="1:23" s="36" customFormat="1" hidden="1" x14ac:dyDescent="0.3">
      <c r="A74" s="6"/>
      <c r="B74" s="17">
        <f t="shared" si="7"/>
        <v>6</v>
      </c>
      <c r="C74" s="18"/>
      <c r="D74" s="19"/>
      <c r="E74" s="19"/>
      <c r="F74" s="20"/>
      <c r="G74" s="97"/>
      <c r="H74" s="35"/>
      <c r="I74" s="20"/>
      <c r="J74" s="21">
        <f t="shared" ref="J74:J122" si="8">I74*H74</f>
        <v>0</v>
      </c>
      <c r="K74" s="7"/>
      <c r="V74" s="5">
        <f t="shared" si="5"/>
        <v>0</v>
      </c>
      <c r="W74" s="5">
        <f t="shared" si="6"/>
        <v>0</v>
      </c>
    </row>
    <row r="75" spans="1:23" s="36" customFormat="1" hidden="1" x14ac:dyDescent="0.3">
      <c r="A75" s="6"/>
      <c r="B75" s="17">
        <f t="shared" si="7"/>
        <v>7</v>
      </c>
      <c r="C75" s="18"/>
      <c r="D75" s="19"/>
      <c r="E75" s="19"/>
      <c r="F75" s="35"/>
      <c r="G75" s="97"/>
      <c r="H75" s="35"/>
      <c r="I75" s="20"/>
      <c r="J75" s="21">
        <f t="shared" si="8"/>
        <v>0</v>
      </c>
      <c r="K75" s="7"/>
      <c r="V75" s="5">
        <f t="shared" si="5"/>
        <v>0</v>
      </c>
      <c r="W75" s="5">
        <f t="shared" si="6"/>
        <v>0</v>
      </c>
    </row>
    <row r="76" spans="1:23" s="36" customFormat="1" hidden="1" x14ac:dyDescent="0.3">
      <c r="A76" s="6"/>
      <c r="B76" s="17">
        <f t="shared" si="7"/>
        <v>8</v>
      </c>
      <c r="C76" s="18"/>
      <c r="D76" s="19"/>
      <c r="E76" s="19"/>
      <c r="F76" s="35"/>
      <c r="G76" s="97"/>
      <c r="H76" s="35"/>
      <c r="I76" s="20"/>
      <c r="J76" s="21">
        <f t="shared" si="8"/>
        <v>0</v>
      </c>
      <c r="K76" s="7"/>
      <c r="V76" s="5">
        <f t="shared" si="5"/>
        <v>0</v>
      </c>
      <c r="W76" s="5">
        <f t="shared" si="6"/>
        <v>0</v>
      </c>
    </row>
    <row r="77" spans="1:23" s="36" customFormat="1" hidden="1" x14ac:dyDescent="0.3">
      <c r="A77" s="6"/>
      <c r="B77" s="17">
        <f t="shared" si="7"/>
        <v>9</v>
      </c>
      <c r="C77" s="18"/>
      <c r="D77" s="19"/>
      <c r="E77" s="19"/>
      <c r="F77" s="35"/>
      <c r="G77" s="97"/>
      <c r="H77" s="35"/>
      <c r="I77" s="20"/>
      <c r="J77" s="21">
        <f t="shared" si="8"/>
        <v>0</v>
      </c>
      <c r="K77" s="7"/>
      <c r="V77" s="5">
        <f t="shared" si="5"/>
        <v>0</v>
      </c>
      <c r="W77" s="5">
        <f t="shared" si="6"/>
        <v>0</v>
      </c>
    </row>
    <row r="78" spans="1:23" s="36" customFormat="1" hidden="1" x14ac:dyDescent="0.3">
      <c r="A78" s="6"/>
      <c r="B78" s="17">
        <f t="shared" si="7"/>
        <v>10</v>
      </c>
      <c r="C78" s="18"/>
      <c r="D78" s="19"/>
      <c r="E78" s="19"/>
      <c r="F78" s="35"/>
      <c r="G78" s="97"/>
      <c r="H78" s="35"/>
      <c r="I78" s="20"/>
      <c r="J78" s="21">
        <f t="shared" si="8"/>
        <v>0</v>
      </c>
      <c r="K78" s="7"/>
      <c r="V78" s="5">
        <f t="shared" si="5"/>
        <v>0</v>
      </c>
      <c r="W78" s="5">
        <f t="shared" si="6"/>
        <v>0</v>
      </c>
    </row>
    <row r="79" spans="1:23" s="36" customFormat="1" hidden="1" x14ac:dyDescent="0.3">
      <c r="A79" s="6"/>
      <c r="B79" s="17">
        <f t="shared" si="7"/>
        <v>11</v>
      </c>
      <c r="C79" s="18"/>
      <c r="D79" s="19"/>
      <c r="E79" s="19"/>
      <c r="F79" s="19"/>
      <c r="G79" s="97"/>
      <c r="H79" s="35"/>
      <c r="I79" s="20"/>
      <c r="J79" s="21">
        <f t="shared" si="8"/>
        <v>0</v>
      </c>
      <c r="K79" s="7"/>
      <c r="V79" s="5">
        <f t="shared" si="5"/>
        <v>0</v>
      </c>
      <c r="W79" s="5">
        <f t="shared" si="6"/>
        <v>0</v>
      </c>
    </row>
    <row r="80" spans="1:23" s="36" customFormat="1" hidden="1" x14ac:dyDescent="0.3">
      <c r="A80" s="6"/>
      <c r="B80" s="17">
        <f t="shared" si="7"/>
        <v>12</v>
      </c>
      <c r="C80" s="18"/>
      <c r="D80" s="19"/>
      <c r="E80" s="19"/>
      <c r="F80" s="35"/>
      <c r="G80" s="97"/>
      <c r="H80" s="35"/>
      <c r="I80" s="20"/>
      <c r="J80" s="21">
        <f t="shared" si="8"/>
        <v>0</v>
      </c>
      <c r="K80" s="7"/>
      <c r="V80" s="5">
        <f t="shared" si="5"/>
        <v>0</v>
      </c>
      <c r="W80" s="5">
        <f t="shared" si="6"/>
        <v>0</v>
      </c>
    </row>
    <row r="81" spans="1:23" s="36" customFormat="1" hidden="1" x14ac:dyDescent="0.3">
      <c r="A81" s="6"/>
      <c r="B81" s="17">
        <f t="shared" si="7"/>
        <v>13</v>
      </c>
      <c r="C81" s="18"/>
      <c r="D81" s="19"/>
      <c r="E81" s="19"/>
      <c r="F81" s="77"/>
      <c r="G81" s="97"/>
      <c r="H81" s="78"/>
      <c r="I81" s="20"/>
      <c r="J81" s="21">
        <f t="shared" si="8"/>
        <v>0</v>
      </c>
      <c r="K81" s="7"/>
      <c r="V81" s="5">
        <f t="shared" si="5"/>
        <v>0</v>
      </c>
      <c r="W81" s="5">
        <f t="shared" si="6"/>
        <v>0</v>
      </c>
    </row>
    <row r="82" spans="1:23" s="36" customFormat="1" hidden="1" x14ac:dyDescent="0.3">
      <c r="A82" s="6"/>
      <c r="B82" s="17">
        <f t="shared" si="7"/>
        <v>14</v>
      </c>
      <c r="C82" s="18"/>
      <c r="D82" s="19"/>
      <c r="E82" s="19"/>
      <c r="F82" s="35"/>
      <c r="G82" s="97"/>
      <c r="H82" s="78"/>
      <c r="I82" s="20"/>
      <c r="J82" s="21">
        <f t="shared" si="8"/>
        <v>0</v>
      </c>
      <c r="K82" s="7"/>
      <c r="V82" s="5">
        <f t="shared" si="5"/>
        <v>0</v>
      </c>
      <c r="W82" s="5">
        <f t="shared" si="6"/>
        <v>0</v>
      </c>
    </row>
    <row r="83" spans="1:23" s="36" customFormat="1" hidden="1" x14ac:dyDescent="0.3">
      <c r="A83" s="6"/>
      <c r="B83" s="17">
        <f t="shared" si="7"/>
        <v>15</v>
      </c>
      <c r="C83" s="18"/>
      <c r="D83" s="19"/>
      <c r="E83" s="19"/>
      <c r="F83" s="35"/>
      <c r="G83" s="97"/>
      <c r="H83" s="78"/>
      <c r="I83" s="20"/>
      <c r="J83" s="21">
        <f t="shared" si="8"/>
        <v>0</v>
      </c>
      <c r="K83" s="7"/>
      <c r="V83" s="5">
        <f t="shared" si="5"/>
        <v>0</v>
      </c>
      <c r="W83" s="5">
        <f t="shared" si="6"/>
        <v>0</v>
      </c>
    </row>
    <row r="84" spans="1:23" s="36" customFormat="1" hidden="1" x14ac:dyDescent="0.3">
      <c r="A84" s="6"/>
      <c r="B84" s="17">
        <f t="shared" si="7"/>
        <v>16</v>
      </c>
      <c r="C84" s="18"/>
      <c r="D84" s="19"/>
      <c r="E84" s="19"/>
      <c r="F84" s="35"/>
      <c r="G84" s="97"/>
      <c r="H84" s="35"/>
      <c r="I84" s="20"/>
      <c r="J84" s="21">
        <f t="shared" si="8"/>
        <v>0</v>
      </c>
      <c r="K84" s="7"/>
      <c r="V84" s="5">
        <f t="shared" si="5"/>
        <v>0</v>
      </c>
      <c r="W84" s="5">
        <f t="shared" si="6"/>
        <v>0</v>
      </c>
    </row>
    <row r="85" spans="1:23" s="36" customFormat="1" hidden="1" x14ac:dyDescent="0.3">
      <c r="A85" s="6"/>
      <c r="B85" s="17">
        <f t="shared" si="7"/>
        <v>17</v>
      </c>
      <c r="C85" s="18"/>
      <c r="D85" s="19"/>
      <c r="E85" s="19"/>
      <c r="F85" s="35"/>
      <c r="G85" s="97"/>
      <c r="H85" s="35"/>
      <c r="I85" s="20"/>
      <c r="J85" s="21">
        <f t="shared" si="8"/>
        <v>0</v>
      </c>
      <c r="K85" s="7"/>
      <c r="V85" s="5">
        <f t="shared" si="5"/>
        <v>0</v>
      </c>
      <c r="W85" s="5">
        <f t="shared" si="6"/>
        <v>0</v>
      </c>
    </row>
    <row r="86" spans="1:23" s="36" customFormat="1" hidden="1" x14ac:dyDescent="0.3">
      <c r="A86" s="6"/>
      <c r="B86" s="17">
        <f t="shared" si="7"/>
        <v>18</v>
      </c>
      <c r="C86" s="18"/>
      <c r="D86" s="19"/>
      <c r="E86" s="19"/>
      <c r="F86" s="35"/>
      <c r="G86" s="97"/>
      <c r="H86" s="35"/>
      <c r="I86" s="20"/>
      <c r="J86" s="21">
        <f t="shared" si="8"/>
        <v>0</v>
      </c>
      <c r="K86" s="7"/>
      <c r="V86" s="5">
        <f t="shared" si="5"/>
        <v>0</v>
      </c>
      <c r="W86" s="5">
        <f t="shared" si="6"/>
        <v>0</v>
      </c>
    </row>
    <row r="87" spans="1:23" s="36" customFormat="1" hidden="1" x14ac:dyDescent="0.3">
      <c r="A87" s="6"/>
      <c r="B87" s="17">
        <f t="shared" si="7"/>
        <v>19</v>
      </c>
      <c r="C87" s="18"/>
      <c r="D87" s="19"/>
      <c r="E87" s="19"/>
      <c r="F87" s="35"/>
      <c r="G87" s="97"/>
      <c r="H87" s="35"/>
      <c r="I87" s="20"/>
      <c r="J87" s="21">
        <f t="shared" si="8"/>
        <v>0</v>
      </c>
      <c r="K87" s="7"/>
      <c r="V87" s="5">
        <f t="shared" si="5"/>
        <v>0</v>
      </c>
      <c r="W87" s="5">
        <f t="shared" si="6"/>
        <v>0</v>
      </c>
    </row>
    <row r="88" spans="1:23" s="36" customFormat="1" hidden="1" x14ac:dyDescent="0.3">
      <c r="A88" s="6"/>
      <c r="B88" s="17">
        <f t="shared" si="7"/>
        <v>20</v>
      </c>
      <c r="C88" s="18"/>
      <c r="D88" s="19"/>
      <c r="E88" s="19"/>
      <c r="F88" s="35"/>
      <c r="G88" s="97"/>
      <c r="H88" s="35"/>
      <c r="I88" s="20"/>
      <c r="J88" s="21">
        <f t="shared" si="8"/>
        <v>0</v>
      </c>
      <c r="K88" s="7"/>
      <c r="V88" s="5">
        <f t="shared" si="5"/>
        <v>0</v>
      </c>
      <c r="W88" s="5">
        <f t="shared" si="6"/>
        <v>0</v>
      </c>
    </row>
    <row r="89" spans="1:23" s="36" customFormat="1" hidden="1" x14ac:dyDescent="0.3">
      <c r="A89" s="6"/>
      <c r="B89" s="17">
        <f t="shared" si="7"/>
        <v>21</v>
      </c>
      <c r="C89" s="18"/>
      <c r="D89" s="19"/>
      <c r="E89" s="19"/>
      <c r="F89" s="35"/>
      <c r="G89" s="97"/>
      <c r="H89" s="35"/>
      <c r="I89" s="20"/>
      <c r="J89" s="21">
        <f t="shared" si="8"/>
        <v>0</v>
      </c>
      <c r="K89" s="7"/>
      <c r="V89" s="5">
        <f t="shared" si="5"/>
        <v>0</v>
      </c>
      <c r="W89" s="5">
        <f t="shared" si="6"/>
        <v>0</v>
      </c>
    </row>
    <row r="90" spans="1:23" s="36" customFormat="1" hidden="1" x14ac:dyDescent="0.3">
      <c r="A90" s="6"/>
      <c r="B90" s="17">
        <f t="shared" si="7"/>
        <v>22</v>
      </c>
      <c r="C90" s="18"/>
      <c r="D90" s="19"/>
      <c r="E90" s="19"/>
      <c r="F90" s="77"/>
      <c r="G90" s="97"/>
      <c r="H90" s="78"/>
      <c r="I90" s="20"/>
      <c r="J90" s="21">
        <f t="shared" si="8"/>
        <v>0</v>
      </c>
      <c r="K90" s="7"/>
      <c r="V90" s="5">
        <f t="shared" si="5"/>
        <v>0</v>
      </c>
      <c r="W90" s="5">
        <f t="shared" si="6"/>
        <v>0</v>
      </c>
    </row>
    <row r="91" spans="1:23" s="36" customFormat="1" hidden="1" x14ac:dyDescent="0.3">
      <c r="A91" s="6"/>
      <c r="B91" s="17">
        <f t="shared" si="7"/>
        <v>23</v>
      </c>
      <c r="C91" s="18"/>
      <c r="D91" s="19"/>
      <c r="E91" s="19"/>
      <c r="F91" s="35"/>
      <c r="G91" s="97"/>
      <c r="H91" s="78"/>
      <c r="I91" s="20"/>
      <c r="J91" s="21">
        <f t="shared" si="8"/>
        <v>0</v>
      </c>
      <c r="K91" s="7"/>
      <c r="V91" s="5">
        <f t="shared" si="5"/>
        <v>0</v>
      </c>
      <c r="W91" s="5">
        <f t="shared" si="6"/>
        <v>0</v>
      </c>
    </row>
    <row r="92" spans="1:23" s="36" customFormat="1" hidden="1" x14ac:dyDescent="0.3">
      <c r="A92" s="6"/>
      <c r="B92" s="17">
        <f t="shared" si="7"/>
        <v>24</v>
      </c>
      <c r="C92" s="18"/>
      <c r="D92" s="19"/>
      <c r="E92" s="19"/>
      <c r="F92" s="35"/>
      <c r="G92" s="97"/>
      <c r="H92" s="78"/>
      <c r="I92" s="20"/>
      <c r="J92" s="21">
        <f t="shared" si="8"/>
        <v>0</v>
      </c>
      <c r="K92" s="7"/>
      <c r="V92" s="5">
        <f t="shared" si="5"/>
        <v>0</v>
      </c>
      <c r="W92" s="5">
        <f t="shared" si="6"/>
        <v>0</v>
      </c>
    </row>
    <row r="93" spans="1:23" s="36" customFormat="1" hidden="1" x14ac:dyDescent="0.3">
      <c r="A93" s="6"/>
      <c r="B93" s="17">
        <f t="shared" si="7"/>
        <v>25</v>
      </c>
      <c r="C93" s="18"/>
      <c r="D93" s="19"/>
      <c r="E93" s="19"/>
      <c r="F93" s="35"/>
      <c r="G93" s="97"/>
      <c r="H93" s="35"/>
      <c r="I93" s="20"/>
      <c r="J93" s="21">
        <f t="shared" si="8"/>
        <v>0</v>
      </c>
      <c r="K93" s="7"/>
      <c r="V93" s="5">
        <f t="shared" si="5"/>
        <v>0</v>
      </c>
      <c r="W93" s="5">
        <f t="shared" si="6"/>
        <v>0</v>
      </c>
    </row>
    <row r="94" spans="1:23" s="36" customFormat="1" hidden="1" x14ac:dyDescent="0.3">
      <c r="A94" s="6"/>
      <c r="B94" s="17">
        <f t="shared" si="7"/>
        <v>26</v>
      </c>
      <c r="C94" s="18"/>
      <c r="D94" s="19"/>
      <c r="E94" s="19"/>
      <c r="F94" s="35"/>
      <c r="G94" s="97"/>
      <c r="H94" s="35"/>
      <c r="I94" s="20"/>
      <c r="J94" s="21">
        <f t="shared" si="8"/>
        <v>0</v>
      </c>
      <c r="K94" s="7"/>
      <c r="V94" s="5">
        <f t="shared" si="5"/>
        <v>0</v>
      </c>
      <c r="W94" s="5">
        <f t="shared" si="6"/>
        <v>0</v>
      </c>
    </row>
    <row r="95" spans="1:23" s="36" customFormat="1" hidden="1" x14ac:dyDescent="0.3">
      <c r="A95" s="6"/>
      <c r="B95" s="17">
        <f t="shared" si="7"/>
        <v>27</v>
      </c>
      <c r="C95" s="18"/>
      <c r="D95" s="19"/>
      <c r="E95" s="19"/>
      <c r="F95" s="35"/>
      <c r="G95" s="97"/>
      <c r="H95" s="35"/>
      <c r="I95" s="20"/>
      <c r="J95" s="21">
        <f t="shared" si="8"/>
        <v>0</v>
      </c>
      <c r="K95" s="7"/>
      <c r="V95" s="5">
        <f t="shared" si="5"/>
        <v>0</v>
      </c>
      <c r="W95" s="5">
        <f t="shared" si="6"/>
        <v>0</v>
      </c>
    </row>
    <row r="96" spans="1:23" s="36" customFormat="1" hidden="1" x14ac:dyDescent="0.3">
      <c r="A96" s="6"/>
      <c r="B96" s="17">
        <f t="shared" si="7"/>
        <v>28</v>
      </c>
      <c r="C96" s="18"/>
      <c r="D96" s="19"/>
      <c r="E96" s="19"/>
      <c r="F96" s="35"/>
      <c r="G96" s="97"/>
      <c r="H96" s="35"/>
      <c r="I96" s="20"/>
      <c r="J96" s="21">
        <f t="shared" si="8"/>
        <v>0</v>
      </c>
      <c r="K96" s="7"/>
      <c r="V96" s="5">
        <f t="shared" si="5"/>
        <v>0</v>
      </c>
      <c r="W96" s="5">
        <f t="shared" si="6"/>
        <v>0</v>
      </c>
    </row>
    <row r="97" spans="1:23" s="36" customFormat="1" hidden="1" x14ac:dyDescent="0.3">
      <c r="A97" s="6"/>
      <c r="B97" s="17">
        <f t="shared" si="7"/>
        <v>29</v>
      </c>
      <c r="C97" s="18"/>
      <c r="D97" s="19"/>
      <c r="E97" s="19"/>
      <c r="F97" s="35"/>
      <c r="G97" s="97"/>
      <c r="H97" s="35"/>
      <c r="I97" s="20"/>
      <c r="J97" s="21">
        <f t="shared" si="8"/>
        <v>0</v>
      </c>
      <c r="K97" s="7"/>
      <c r="V97" s="5">
        <f t="shared" si="5"/>
        <v>0</v>
      </c>
      <c r="W97" s="5">
        <f t="shared" si="6"/>
        <v>0</v>
      </c>
    </row>
    <row r="98" spans="1:23" s="36" customFormat="1" hidden="1" x14ac:dyDescent="0.3">
      <c r="A98" s="6"/>
      <c r="B98" s="17">
        <f t="shared" si="7"/>
        <v>30</v>
      </c>
      <c r="C98" s="18"/>
      <c r="D98" s="19"/>
      <c r="E98" s="19"/>
      <c r="F98" s="35"/>
      <c r="G98" s="97"/>
      <c r="H98" s="35"/>
      <c r="I98" s="20"/>
      <c r="J98" s="21">
        <f t="shared" si="8"/>
        <v>0</v>
      </c>
      <c r="K98" s="7"/>
      <c r="V98" s="5">
        <f t="shared" si="5"/>
        <v>0</v>
      </c>
      <c r="W98" s="5">
        <f t="shared" si="6"/>
        <v>0</v>
      </c>
    </row>
    <row r="99" spans="1:23" s="36" customFormat="1" hidden="1" x14ac:dyDescent="0.3">
      <c r="A99" s="6"/>
      <c r="B99" s="17">
        <f t="shared" si="7"/>
        <v>31</v>
      </c>
      <c r="C99" s="18"/>
      <c r="D99" s="19"/>
      <c r="E99" s="19"/>
      <c r="F99" s="35"/>
      <c r="G99" s="97"/>
      <c r="H99" s="35"/>
      <c r="I99" s="20"/>
      <c r="J99" s="21">
        <f t="shared" si="8"/>
        <v>0</v>
      </c>
      <c r="K99" s="7"/>
      <c r="V99" s="5">
        <f t="shared" si="5"/>
        <v>0</v>
      </c>
      <c r="W99" s="5">
        <f t="shared" si="6"/>
        <v>0</v>
      </c>
    </row>
    <row r="100" spans="1:23" s="36" customFormat="1" hidden="1" x14ac:dyDescent="0.3">
      <c r="A100" s="6"/>
      <c r="B100" s="17">
        <f t="shared" si="7"/>
        <v>32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hidden="1" x14ac:dyDescent="0.3">
      <c r="A101" s="6"/>
      <c r="B101" s="17">
        <f t="shared" si="7"/>
        <v>33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hidden="1" x14ac:dyDescent="0.3">
      <c r="A102" s="6"/>
      <c r="B102" s="17">
        <f t="shared" si="7"/>
        <v>34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>
        <f t="shared" si="5"/>
        <v>0</v>
      </c>
      <c r="W102" s="5">
        <f t="shared" si="6"/>
        <v>0</v>
      </c>
    </row>
    <row r="103" spans="1:23" s="36" customFormat="1" hidden="1" x14ac:dyDescent="0.3">
      <c r="A103" s="6"/>
      <c r="B103" s="17">
        <v>35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>
        <f t="shared" si="5"/>
        <v>0</v>
      </c>
      <c r="W103" s="5">
        <f t="shared" si="6"/>
        <v>0</v>
      </c>
    </row>
    <row r="104" spans="1:23" s="36" customFormat="1" hidden="1" x14ac:dyDescent="0.3">
      <c r="A104" s="6"/>
      <c r="B104" s="17">
        <v>36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hidden="1" x14ac:dyDescent="0.3">
      <c r="A105" s="6"/>
      <c r="B105" s="17">
        <v>37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hidden="1" x14ac:dyDescent="0.3">
      <c r="A106" s="6"/>
      <c r="B106" s="17">
        <v>38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hidden="1" x14ac:dyDescent="0.3">
      <c r="A107" s="6"/>
      <c r="B107" s="17">
        <v>39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hidden="1" x14ac:dyDescent="0.3">
      <c r="A108" s="6"/>
      <c r="B108" s="17">
        <v>40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hidden="1" x14ac:dyDescent="0.3">
      <c r="A109" s="6"/>
      <c r="B109" s="17">
        <v>41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hidden="1" x14ac:dyDescent="0.3">
      <c r="A110" s="6"/>
      <c r="B110" s="17">
        <v>42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/>
      <c r="W110" s="5"/>
    </row>
    <row r="111" spans="1:23" s="36" customFormat="1" hidden="1" x14ac:dyDescent="0.3">
      <c r="A111" s="6"/>
      <c r="B111" s="17">
        <v>43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/>
      <c r="W111" s="5"/>
    </row>
    <row r="112" spans="1:23" s="36" customFormat="1" hidden="1" x14ac:dyDescent="0.3">
      <c r="A112" s="6"/>
      <c r="B112" s="17">
        <v>40</v>
      </c>
      <c r="C112" s="18"/>
      <c r="D112" s="19"/>
      <c r="E112" s="19"/>
      <c r="F112" s="35"/>
      <c r="G112" s="97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idden="1" x14ac:dyDescent="0.3">
      <c r="A113" s="6"/>
      <c r="B113" s="17">
        <v>41</v>
      </c>
      <c r="C113" s="18"/>
      <c r="D113" s="19"/>
      <c r="E113" s="19"/>
      <c r="F113" s="35"/>
      <c r="G113" s="97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idden="1" x14ac:dyDescent="0.3">
      <c r="A114" s="6"/>
      <c r="B114" s="17">
        <f t="shared" si="7"/>
        <v>42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idden="1" x14ac:dyDescent="0.3">
      <c r="A115" s="6"/>
      <c r="B115" s="17">
        <f t="shared" si="7"/>
        <v>43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idden="1" x14ac:dyDescent="0.3">
      <c r="A116" s="6"/>
      <c r="B116" s="17">
        <f t="shared" si="7"/>
        <v>44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idden="1" x14ac:dyDescent="0.3">
      <c r="A117" s="6"/>
      <c r="B117" s="17">
        <f t="shared" si="7"/>
        <v>45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idden="1" x14ac:dyDescent="0.3">
      <c r="A118" s="6"/>
      <c r="B118" s="17">
        <f t="shared" si="7"/>
        <v>46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idden="1" x14ac:dyDescent="0.3">
      <c r="A119" s="6"/>
      <c r="B119" s="17">
        <f t="shared" si="7"/>
        <v>47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idden="1" x14ac:dyDescent="0.3">
      <c r="A120" s="6"/>
      <c r="B120" s="17">
        <f t="shared" si="7"/>
        <v>48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idden="1" x14ac:dyDescent="0.3">
      <c r="A121" s="6"/>
      <c r="B121" s="17">
        <f t="shared" si="7"/>
        <v>49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t="15" hidden="1" thickBot="1" x14ac:dyDescent="0.35">
      <c r="A122" s="6"/>
      <c r="B122" s="17">
        <f t="shared" si="7"/>
        <v>50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24" hidden="1" thickBot="1" x14ac:dyDescent="0.5">
      <c r="A123" s="6"/>
      <c r="B123" s="144" t="s">
        <v>22</v>
      </c>
      <c r="C123" s="145"/>
      <c r="D123" s="145"/>
      <c r="E123" s="145"/>
      <c r="F123" s="145"/>
      <c r="G123" s="145"/>
      <c r="H123" s="146"/>
      <c r="I123" s="83" t="s">
        <v>23</v>
      </c>
      <c r="J123" s="84">
        <f>SUM(J69:J122)</f>
        <v>0</v>
      </c>
      <c r="K123" s="7"/>
      <c r="L123" s="5"/>
      <c r="M123" s="5"/>
      <c r="N123" s="5"/>
      <c r="O123" s="5"/>
      <c r="P123" s="5"/>
      <c r="Q123" s="5"/>
      <c r="R123" s="5"/>
      <c r="V123" s="36">
        <f>SUM(V69:V122)</f>
        <v>0</v>
      </c>
      <c r="W123" s="36">
        <f>SUM(W69:W122)</f>
        <v>0</v>
      </c>
    </row>
    <row r="124" spans="1:23" s="36" customFormat="1" ht="30" hidden="1" customHeight="1" thickBot="1" x14ac:dyDescent="0.35">
      <c r="A124" s="30"/>
      <c r="B124" s="31"/>
      <c r="C124" s="31"/>
      <c r="D124" s="31"/>
      <c r="E124" s="31"/>
      <c r="F124" s="31"/>
      <c r="G124" s="31"/>
      <c r="H124" s="32"/>
      <c r="I124" s="31"/>
      <c r="J124" s="32"/>
      <c r="K124" s="33"/>
      <c r="L124" s="5"/>
      <c r="M124" s="5"/>
      <c r="N124" s="5"/>
      <c r="O124" s="5"/>
      <c r="P124" s="5"/>
      <c r="Q124" s="5"/>
      <c r="R124" s="5"/>
    </row>
    <row r="125" spans="1:23" ht="15" thickBot="1" x14ac:dyDescent="0.35"/>
    <row r="126" spans="1:23" s="36" customFormat="1" ht="30" customHeight="1" thickBot="1" x14ac:dyDescent="0.35">
      <c r="A126" s="1"/>
      <c r="B126" s="2"/>
      <c r="C126" s="2"/>
      <c r="D126" s="2"/>
      <c r="E126" s="2"/>
      <c r="F126" s="2"/>
      <c r="G126" s="2"/>
      <c r="H126" s="3"/>
      <c r="I126" s="2"/>
      <c r="J126" s="3"/>
      <c r="K126" s="4"/>
    </row>
    <row r="127" spans="1:23" s="36" customFormat="1" ht="25.2" thickBot="1" x14ac:dyDescent="0.35">
      <c r="A127" s="6" t="s">
        <v>1</v>
      </c>
      <c r="B127" s="119" t="s">
        <v>2</v>
      </c>
      <c r="C127" s="120"/>
      <c r="D127" s="120"/>
      <c r="E127" s="120"/>
      <c r="F127" s="120"/>
      <c r="G127" s="120"/>
      <c r="H127" s="120"/>
      <c r="I127" s="120"/>
      <c r="J127" s="121"/>
      <c r="K127" s="7"/>
    </row>
    <row r="128" spans="1:23" s="36" customFormat="1" ht="16.2" thickBot="1" x14ac:dyDescent="0.35">
      <c r="A128" s="6"/>
      <c r="B128" s="216">
        <v>45323</v>
      </c>
      <c r="C128" s="169"/>
      <c r="D128" s="169"/>
      <c r="E128" s="169"/>
      <c r="F128" s="169"/>
      <c r="G128" s="169"/>
      <c r="H128" s="169"/>
      <c r="I128" s="169"/>
      <c r="J128" s="170"/>
      <c r="K128" s="7"/>
      <c r="L128" s="22"/>
    </row>
    <row r="129" spans="1:23" s="36" customFormat="1" ht="16.2" thickBot="1" x14ac:dyDescent="0.35">
      <c r="A129" s="6"/>
      <c r="B129" s="106" t="s">
        <v>699</v>
      </c>
      <c r="C129" s="107"/>
      <c r="D129" s="107"/>
      <c r="E129" s="107"/>
      <c r="F129" s="107"/>
      <c r="G129" s="107"/>
      <c r="H129" s="107"/>
      <c r="I129" s="107"/>
      <c r="J129" s="108"/>
      <c r="K129" s="7"/>
    </row>
    <row r="130" spans="1:23" s="22" customFormat="1" ht="15" thickBot="1" x14ac:dyDescent="0.35">
      <c r="A130" s="69"/>
      <c r="B130" s="70" t="s">
        <v>9</v>
      </c>
      <c r="C130" s="71" t="s">
        <v>10</v>
      </c>
      <c r="D130" s="72" t="s">
        <v>11</v>
      </c>
      <c r="E130" s="72" t="s">
        <v>12</v>
      </c>
      <c r="F130" s="73" t="s">
        <v>65</v>
      </c>
      <c r="G130" s="73" t="s">
        <v>66</v>
      </c>
      <c r="H130" s="74" t="s">
        <v>67</v>
      </c>
      <c r="I130" s="73" t="s">
        <v>68</v>
      </c>
      <c r="J130" s="75" t="s">
        <v>17</v>
      </c>
      <c r="K130" s="76"/>
      <c r="L130" s="36"/>
      <c r="M130" s="36"/>
      <c r="N130" s="36"/>
      <c r="O130" s="36" t="s">
        <v>21</v>
      </c>
      <c r="P130" s="36"/>
      <c r="Q130" s="36"/>
      <c r="R130" s="36"/>
      <c r="V130" s="5" t="s">
        <v>5</v>
      </c>
      <c r="W130" s="5" t="s">
        <v>6</v>
      </c>
    </row>
    <row r="131" spans="1:23" s="36" customFormat="1" x14ac:dyDescent="0.3">
      <c r="A131" s="6"/>
      <c r="B131" s="14">
        <v>1</v>
      </c>
      <c r="C131" s="93">
        <v>45323</v>
      </c>
      <c r="D131" s="94" t="s">
        <v>18</v>
      </c>
      <c r="E131" s="94" t="s">
        <v>45</v>
      </c>
      <c r="F131" s="60">
        <v>100</v>
      </c>
      <c r="G131" s="60">
        <v>130</v>
      </c>
      <c r="H131" s="60">
        <v>30</v>
      </c>
      <c r="I131" s="15">
        <v>300</v>
      </c>
      <c r="J131" s="16">
        <f t="shared" ref="J131:J178" si="9">I131*H131</f>
        <v>9000</v>
      </c>
      <c r="K131" s="7"/>
      <c r="V131" s="5">
        <f t="shared" ref="V131:V178" si="10">IF($J131&gt;0,1,0)</f>
        <v>1</v>
      </c>
      <c r="W131" s="5">
        <f t="shared" ref="W131:W178" si="11">IF($J131&lt;0,1,0)</f>
        <v>0</v>
      </c>
    </row>
    <row r="132" spans="1:23" s="36" customFormat="1" x14ac:dyDescent="0.3">
      <c r="A132" s="6"/>
      <c r="B132" s="17">
        <f>B131+1</f>
        <v>2</v>
      </c>
      <c r="C132" s="18">
        <v>45323</v>
      </c>
      <c r="D132" s="19" t="s">
        <v>18</v>
      </c>
      <c r="E132" s="19" t="s">
        <v>45</v>
      </c>
      <c r="F132" s="35">
        <v>100</v>
      </c>
      <c r="G132" s="35">
        <v>123</v>
      </c>
      <c r="H132" s="35">
        <v>23</v>
      </c>
      <c r="I132" s="20">
        <v>300</v>
      </c>
      <c r="J132" s="21">
        <f t="shared" si="9"/>
        <v>6900</v>
      </c>
      <c r="K132" s="7"/>
      <c r="L132" s="36" t="s">
        <v>21</v>
      </c>
      <c r="V132" s="5">
        <f t="shared" si="10"/>
        <v>1</v>
      </c>
      <c r="W132" s="5">
        <f t="shared" si="11"/>
        <v>0</v>
      </c>
    </row>
    <row r="133" spans="1:23" s="36" customFormat="1" x14ac:dyDescent="0.3">
      <c r="A133" s="6"/>
      <c r="B133" s="17">
        <f t="shared" ref="B133:B153" si="12">B132+1</f>
        <v>3</v>
      </c>
      <c r="C133" s="18">
        <v>45324</v>
      </c>
      <c r="D133" s="19" t="s">
        <v>18</v>
      </c>
      <c r="E133" s="19" t="s">
        <v>35</v>
      </c>
      <c r="F133" s="35">
        <v>110</v>
      </c>
      <c r="G133" s="35">
        <v>140</v>
      </c>
      <c r="H133" s="35">
        <v>30</v>
      </c>
      <c r="I133" s="20">
        <v>300</v>
      </c>
      <c r="J133" s="21">
        <f t="shared" si="9"/>
        <v>9000</v>
      </c>
      <c r="K133" s="7"/>
      <c r="V133" s="5">
        <f t="shared" si="10"/>
        <v>1</v>
      </c>
      <c r="W133" s="5">
        <f t="shared" si="11"/>
        <v>0</v>
      </c>
    </row>
    <row r="134" spans="1:23" s="36" customFormat="1" x14ac:dyDescent="0.3">
      <c r="A134" s="6"/>
      <c r="B134" s="17">
        <f t="shared" si="12"/>
        <v>4</v>
      </c>
      <c r="C134" s="18">
        <v>45324</v>
      </c>
      <c r="D134" s="19" t="s">
        <v>18</v>
      </c>
      <c r="E134" s="19" t="s">
        <v>983</v>
      </c>
      <c r="F134" s="35">
        <v>115</v>
      </c>
      <c r="G134" s="35">
        <v>140</v>
      </c>
      <c r="H134" s="35">
        <f>140-115</f>
        <v>25</v>
      </c>
      <c r="I134" s="20">
        <v>300</v>
      </c>
      <c r="J134" s="21">
        <f t="shared" si="9"/>
        <v>7500</v>
      </c>
      <c r="K134" s="7"/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si="12"/>
        <v>5</v>
      </c>
      <c r="C135" s="18">
        <v>45327</v>
      </c>
      <c r="D135" s="19" t="s">
        <v>18</v>
      </c>
      <c r="E135" s="19" t="s">
        <v>49</v>
      </c>
      <c r="F135" s="20">
        <v>105</v>
      </c>
      <c r="G135" s="35">
        <v>135</v>
      </c>
      <c r="H135" s="35">
        <f>135-105</f>
        <v>30</v>
      </c>
      <c r="I135" s="20">
        <v>300</v>
      </c>
      <c r="J135" s="21">
        <f t="shared" ref="J135" si="13">I134*H134</f>
        <v>7500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6</v>
      </c>
      <c r="C136" s="18">
        <v>45327</v>
      </c>
      <c r="D136" s="19" t="s">
        <v>18</v>
      </c>
      <c r="E136" s="19" t="s">
        <v>49</v>
      </c>
      <c r="F136" s="35">
        <v>105</v>
      </c>
      <c r="G136" s="35">
        <v>120</v>
      </c>
      <c r="H136" s="35">
        <v>15</v>
      </c>
      <c r="I136" s="20">
        <v>300</v>
      </c>
      <c r="J136" s="21">
        <f t="shared" si="9"/>
        <v>4500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7</v>
      </c>
      <c r="C137" s="18">
        <v>45327</v>
      </c>
      <c r="D137" s="19" t="s">
        <v>18</v>
      </c>
      <c r="E137" s="19" t="s">
        <v>49</v>
      </c>
      <c r="F137" s="35">
        <v>105</v>
      </c>
      <c r="G137" s="35">
        <v>135</v>
      </c>
      <c r="H137" s="35">
        <v>30</v>
      </c>
      <c r="I137" s="20">
        <v>300</v>
      </c>
      <c r="J137" s="21">
        <f t="shared" si="9"/>
        <v>9000</v>
      </c>
      <c r="K137" s="7"/>
      <c r="V137" s="5">
        <f t="shared" si="10"/>
        <v>1</v>
      </c>
      <c r="W137" s="5">
        <f t="shared" si="11"/>
        <v>0</v>
      </c>
    </row>
    <row r="138" spans="1:23" s="36" customFormat="1" x14ac:dyDescent="0.3">
      <c r="A138" s="6"/>
      <c r="B138" s="17">
        <f t="shared" si="12"/>
        <v>8</v>
      </c>
      <c r="C138" s="18">
        <v>45328</v>
      </c>
      <c r="D138" s="19" t="s">
        <v>18</v>
      </c>
      <c r="E138" s="19" t="s">
        <v>44</v>
      </c>
      <c r="F138" s="35">
        <v>115</v>
      </c>
      <c r="G138" s="35">
        <v>144</v>
      </c>
      <c r="H138" s="35">
        <f>144-115</f>
        <v>29</v>
      </c>
      <c r="I138" s="20">
        <v>300</v>
      </c>
      <c r="J138" s="21">
        <f t="shared" si="9"/>
        <v>8700</v>
      </c>
      <c r="K138" s="7"/>
      <c r="N138" s="36" t="s">
        <v>1003</v>
      </c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9</v>
      </c>
      <c r="C139" s="18">
        <v>45328</v>
      </c>
      <c r="D139" s="19" t="s">
        <v>18</v>
      </c>
      <c r="E139" s="19" t="s">
        <v>990</v>
      </c>
      <c r="F139" s="35">
        <v>120</v>
      </c>
      <c r="G139" s="35">
        <v>150</v>
      </c>
      <c r="H139" s="35">
        <v>30</v>
      </c>
      <c r="I139" s="100">
        <v>300</v>
      </c>
      <c r="J139" s="21">
        <f t="shared" si="9"/>
        <v>9000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10</v>
      </c>
      <c r="C140" s="18">
        <v>45329</v>
      </c>
      <c r="D140" s="19" t="s">
        <v>18</v>
      </c>
      <c r="E140" s="19" t="s">
        <v>49</v>
      </c>
      <c r="F140" s="35">
        <v>115</v>
      </c>
      <c r="G140" s="35">
        <v>125</v>
      </c>
      <c r="H140" s="35">
        <v>10</v>
      </c>
      <c r="I140" s="20">
        <v>300</v>
      </c>
      <c r="J140" s="21">
        <f t="shared" si="9"/>
        <v>3000</v>
      </c>
      <c r="K140" s="7"/>
      <c r="V140" s="5">
        <f t="shared" si="10"/>
        <v>1</v>
      </c>
      <c r="W140" s="5">
        <f t="shared" si="11"/>
        <v>0</v>
      </c>
    </row>
    <row r="141" spans="1:23" s="36" customFormat="1" x14ac:dyDescent="0.3">
      <c r="A141" s="6"/>
      <c r="B141" s="17">
        <f t="shared" si="12"/>
        <v>11</v>
      </c>
      <c r="C141" s="18">
        <v>45329</v>
      </c>
      <c r="D141" s="19" t="s">
        <v>18</v>
      </c>
      <c r="E141" s="19" t="s">
        <v>983</v>
      </c>
      <c r="F141" s="19">
        <v>100</v>
      </c>
      <c r="G141" s="35">
        <v>85</v>
      </c>
      <c r="H141" s="35">
        <v>-15</v>
      </c>
      <c r="I141" s="20">
        <v>300</v>
      </c>
      <c r="J141" s="21">
        <f t="shared" si="9"/>
        <v>-4500</v>
      </c>
      <c r="K141" s="7"/>
      <c r="V141" s="5">
        <f t="shared" si="10"/>
        <v>0</v>
      </c>
      <c r="W141" s="5">
        <f t="shared" si="11"/>
        <v>1</v>
      </c>
    </row>
    <row r="142" spans="1:23" s="36" customFormat="1" x14ac:dyDescent="0.3">
      <c r="A142" s="6"/>
      <c r="B142" s="17">
        <f t="shared" si="12"/>
        <v>12</v>
      </c>
      <c r="C142" s="18">
        <v>45330</v>
      </c>
      <c r="D142" s="19" t="s">
        <v>18</v>
      </c>
      <c r="E142" s="19" t="s">
        <v>39</v>
      </c>
      <c r="F142" s="35">
        <v>95</v>
      </c>
      <c r="G142" s="35">
        <v>110</v>
      </c>
      <c r="H142" s="35">
        <f>110-95</f>
        <v>15</v>
      </c>
      <c r="I142" s="20">
        <v>300</v>
      </c>
      <c r="J142" s="21">
        <f t="shared" si="9"/>
        <v>4500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13</v>
      </c>
      <c r="C143" s="18">
        <v>45330</v>
      </c>
      <c r="D143" s="19" t="s">
        <v>18</v>
      </c>
      <c r="E143" s="19" t="s">
        <v>45</v>
      </c>
      <c r="F143" s="35">
        <v>90</v>
      </c>
      <c r="G143" s="35">
        <v>75</v>
      </c>
      <c r="H143" s="35">
        <v>-15</v>
      </c>
      <c r="I143" s="20">
        <v>300</v>
      </c>
      <c r="J143" s="21">
        <f t="shared" si="9"/>
        <v>-4500</v>
      </c>
      <c r="K143" s="7"/>
      <c r="V143" s="5">
        <f t="shared" si="10"/>
        <v>0</v>
      </c>
      <c r="W143" s="5">
        <f t="shared" si="11"/>
        <v>1</v>
      </c>
    </row>
    <row r="144" spans="1:23" s="36" customFormat="1" x14ac:dyDescent="0.3">
      <c r="A144" s="6"/>
      <c r="B144" s="17">
        <f t="shared" si="12"/>
        <v>14</v>
      </c>
      <c r="C144" s="18">
        <v>45331</v>
      </c>
      <c r="D144" s="19" t="s">
        <v>18</v>
      </c>
      <c r="E144" s="19" t="s">
        <v>39</v>
      </c>
      <c r="F144" s="77">
        <v>115</v>
      </c>
      <c r="G144" s="35">
        <v>127</v>
      </c>
      <c r="H144" s="78">
        <f>127-115</f>
        <v>12</v>
      </c>
      <c r="I144" s="20">
        <v>300</v>
      </c>
      <c r="J144" s="21">
        <f t="shared" si="9"/>
        <v>3600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15</v>
      </c>
      <c r="C145" s="18">
        <v>45331</v>
      </c>
      <c r="D145" s="19" t="s">
        <v>18</v>
      </c>
      <c r="E145" s="19" t="s">
        <v>990</v>
      </c>
      <c r="F145" s="35">
        <v>115</v>
      </c>
      <c r="G145" s="35">
        <v>1300</v>
      </c>
      <c r="H145" s="78">
        <v>15</v>
      </c>
      <c r="I145" s="20">
        <v>300</v>
      </c>
      <c r="J145" s="21">
        <f t="shared" si="9"/>
        <v>4500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16</v>
      </c>
      <c r="C146" s="18">
        <v>45334</v>
      </c>
      <c r="D146" s="19" t="s">
        <v>18</v>
      </c>
      <c r="E146" s="19" t="s">
        <v>991</v>
      </c>
      <c r="F146" s="35">
        <v>80</v>
      </c>
      <c r="G146" s="35">
        <v>110</v>
      </c>
      <c r="H146" s="78">
        <f>110-80</f>
        <v>30</v>
      </c>
      <c r="I146" s="20">
        <v>300</v>
      </c>
      <c r="J146" s="21">
        <f t="shared" si="9"/>
        <v>9000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17</v>
      </c>
      <c r="C147" s="18">
        <v>45334</v>
      </c>
      <c r="D147" s="19" t="s">
        <v>18</v>
      </c>
      <c r="E147" s="19" t="s">
        <v>980</v>
      </c>
      <c r="F147" s="35">
        <v>125</v>
      </c>
      <c r="G147" s="35">
        <v>155</v>
      </c>
      <c r="H147" s="78">
        <v>30</v>
      </c>
      <c r="I147" s="20">
        <v>300</v>
      </c>
      <c r="J147" s="21">
        <f t="shared" si="9"/>
        <v>9000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18</v>
      </c>
      <c r="C148" s="18">
        <v>45335</v>
      </c>
      <c r="D148" s="19" t="s">
        <v>18</v>
      </c>
      <c r="E148" s="19" t="s">
        <v>45</v>
      </c>
      <c r="F148" s="35">
        <v>115</v>
      </c>
      <c r="G148" s="35">
        <v>145</v>
      </c>
      <c r="H148" s="78">
        <v>30</v>
      </c>
      <c r="I148" s="20">
        <v>300</v>
      </c>
      <c r="J148" s="21">
        <f t="shared" si="9"/>
        <v>9000</v>
      </c>
      <c r="K148" s="7"/>
      <c r="V148" s="5">
        <f t="shared" si="10"/>
        <v>1</v>
      </c>
      <c r="W148" s="5">
        <f t="shared" si="11"/>
        <v>0</v>
      </c>
    </row>
    <row r="149" spans="1:23" s="36" customFormat="1" x14ac:dyDescent="0.3">
      <c r="A149" s="6"/>
      <c r="B149" s="17">
        <f t="shared" si="12"/>
        <v>19</v>
      </c>
      <c r="C149" s="18">
        <v>45335</v>
      </c>
      <c r="D149" s="19" t="s">
        <v>18</v>
      </c>
      <c r="E149" s="19" t="s">
        <v>984</v>
      </c>
      <c r="F149" s="35">
        <v>120</v>
      </c>
      <c r="G149" s="35">
        <v>140</v>
      </c>
      <c r="H149" s="78">
        <v>20</v>
      </c>
      <c r="I149" s="20">
        <v>300</v>
      </c>
      <c r="J149" s="21">
        <f t="shared" si="9"/>
        <v>6000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20</v>
      </c>
      <c r="C150" s="18">
        <v>45336</v>
      </c>
      <c r="D150" s="19" t="s">
        <v>18</v>
      </c>
      <c r="E150" s="19" t="s">
        <v>984</v>
      </c>
      <c r="F150" s="35">
        <v>100</v>
      </c>
      <c r="G150" s="35">
        <v>85</v>
      </c>
      <c r="H150" s="35">
        <v>-15</v>
      </c>
      <c r="I150" s="20">
        <v>300</v>
      </c>
      <c r="J150" s="21">
        <f t="shared" si="9"/>
        <v>-4500</v>
      </c>
      <c r="K150" s="7"/>
      <c r="V150" s="5">
        <f t="shared" si="10"/>
        <v>0</v>
      </c>
      <c r="W150" s="5">
        <f t="shared" si="11"/>
        <v>1</v>
      </c>
    </row>
    <row r="151" spans="1:23" s="36" customFormat="1" x14ac:dyDescent="0.3">
      <c r="A151" s="6"/>
      <c r="B151" s="17">
        <f t="shared" si="12"/>
        <v>21</v>
      </c>
      <c r="C151" s="18">
        <v>45336</v>
      </c>
      <c r="D151" s="19" t="s">
        <v>18</v>
      </c>
      <c r="E151" s="19" t="s">
        <v>984</v>
      </c>
      <c r="F151" s="35">
        <v>100</v>
      </c>
      <c r="G151" s="35">
        <v>85</v>
      </c>
      <c r="H151" s="35">
        <v>-15</v>
      </c>
      <c r="I151" s="20">
        <v>300</v>
      </c>
      <c r="J151" s="21">
        <f t="shared" si="9"/>
        <v>-4500</v>
      </c>
      <c r="K151" s="7"/>
      <c r="V151" s="5">
        <f t="shared" si="10"/>
        <v>0</v>
      </c>
      <c r="W151" s="5">
        <f t="shared" si="11"/>
        <v>1</v>
      </c>
    </row>
    <row r="152" spans="1:23" s="36" customFormat="1" x14ac:dyDescent="0.3">
      <c r="A152" s="6"/>
      <c r="B152" s="17">
        <f t="shared" si="12"/>
        <v>22</v>
      </c>
      <c r="C152" s="18">
        <v>45337</v>
      </c>
      <c r="D152" s="19" t="s">
        <v>18</v>
      </c>
      <c r="E152" s="19" t="s">
        <v>44</v>
      </c>
      <c r="F152" s="35">
        <v>110</v>
      </c>
      <c r="G152" s="35">
        <v>95</v>
      </c>
      <c r="H152" s="35">
        <v>-15</v>
      </c>
      <c r="I152" s="20">
        <v>300</v>
      </c>
      <c r="J152" s="21">
        <f t="shared" si="9"/>
        <v>-4500</v>
      </c>
      <c r="K152" s="7"/>
      <c r="V152" s="5">
        <f t="shared" si="10"/>
        <v>0</v>
      </c>
      <c r="W152" s="5">
        <f t="shared" si="11"/>
        <v>1</v>
      </c>
    </row>
    <row r="153" spans="1:23" s="36" customFormat="1" x14ac:dyDescent="0.3">
      <c r="A153" s="6"/>
      <c r="B153" s="17">
        <f t="shared" si="12"/>
        <v>23</v>
      </c>
      <c r="C153" s="18">
        <v>45338</v>
      </c>
      <c r="D153" s="19" t="s">
        <v>18</v>
      </c>
      <c r="E153" s="19" t="s">
        <v>35</v>
      </c>
      <c r="F153" s="35">
        <v>125</v>
      </c>
      <c r="G153" s="35">
        <v>155</v>
      </c>
      <c r="H153" s="35">
        <v>30</v>
      </c>
      <c r="I153" s="20">
        <v>300</v>
      </c>
      <c r="J153" s="21">
        <f t="shared" si="9"/>
        <v>9000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>B153+1</f>
        <v>24</v>
      </c>
      <c r="C154" s="18">
        <v>45338</v>
      </c>
      <c r="D154" s="19" t="s">
        <v>18</v>
      </c>
      <c r="E154" s="19" t="s">
        <v>995</v>
      </c>
      <c r="F154" s="35">
        <v>120</v>
      </c>
      <c r="G154" s="35">
        <v>126</v>
      </c>
      <c r="H154" s="35">
        <v>6</v>
      </c>
      <c r="I154" s="20">
        <v>300</v>
      </c>
      <c r="J154" s="21">
        <f t="shared" si="9"/>
        <v>1800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ref="B155:B178" si="14">B154+1</f>
        <v>25</v>
      </c>
      <c r="C155" s="18">
        <v>45341</v>
      </c>
      <c r="D155" s="19" t="s">
        <v>18</v>
      </c>
      <c r="E155" s="19" t="s">
        <v>37</v>
      </c>
      <c r="F155" s="35">
        <v>125</v>
      </c>
      <c r="G155" s="35">
        <v>140</v>
      </c>
      <c r="H155" s="35">
        <f>140-125</f>
        <v>15</v>
      </c>
      <c r="I155" s="20">
        <v>300</v>
      </c>
      <c r="J155" s="21">
        <f t="shared" si="9"/>
        <v>4500</v>
      </c>
      <c r="K155" s="7"/>
      <c r="V155" s="5">
        <f t="shared" si="10"/>
        <v>1</v>
      </c>
      <c r="W155" s="5">
        <f t="shared" si="11"/>
        <v>0</v>
      </c>
    </row>
    <row r="156" spans="1:23" s="36" customFormat="1" x14ac:dyDescent="0.3">
      <c r="A156" s="6"/>
      <c r="B156" s="17">
        <f t="shared" si="14"/>
        <v>26</v>
      </c>
      <c r="C156" s="18">
        <v>45341</v>
      </c>
      <c r="D156" s="19" t="s">
        <v>18</v>
      </c>
      <c r="E156" s="19" t="s">
        <v>995</v>
      </c>
      <c r="F156" s="35">
        <v>105</v>
      </c>
      <c r="G156" s="35">
        <v>135</v>
      </c>
      <c r="H156" s="35">
        <f>135-105</f>
        <v>30</v>
      </c>
      <c r="I156" s="20">
        <v>300</v>
      </c>
      <c r="J156" s="21">
        <f t="shared" si="9"/>
        <v>9000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4"/>
        <v>27</v>
      </c>
      <c r="C157" s="18">
        <v>45342</v>
      </c>
      <c r="D157" s="19" t="s">
        <v>18</v>
      </c>
      <c r="E157" s="19" t="s">
        <v>37</v>
      </c>
      <c r="F157" s="35">
        <v>110</v>
      </c>
      <c r="G157" s="35">
        <v>116</v>
      </c>
      <c r="H157" s="35">
        <v>6</v>
      </c>
      <c r="I157" s="20">
        <v>300</v>
      </c>
      <c r="J157" s="21">
        <f t="shared" si="9"/>
        <v>1800</v>
      </c>
      <c r="K157" s="7"/>
      <c r="V157" s="5">
        <f t="shared" si="10"/>
        <v>1</v>
      </c>
      <c r="W157" s="5">
        <f t="shared" si="11"/>
        <v>0</v>
      </c>
    </row>
    <row r="158" spans="1:23" s="36" customFormat="1" x14ac:dyDescent="0.3">
      <c r="A158" s="6"/>
      <c r="B158" s="17">
        <f t="shared" si="14"/>
        <v>28</v>
      </c>
      <c r="C158" s="18">
        <v>45342</v>
      </c>
      <c r="D158" s="19" t="s">
        <v>18</v>
      </c>
      <c r="E158" s="19" t="s">
        <v>995</v>
      </c>
      <c r="F158" s="35">
        <v>115</v>
      </c>
      <c r="G158" s="35">
        <v>130</v>
      </c>
      <c r="H158" s="35">
        <v>15</v>
      </c>
      <c r="I158" s="20">
        <v>300</v>
      </c>
      <c r="J158" s="21">
        <f t="shared" si="9"/>
        <v>4500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4"/>
        <v>29</v>
      </c>
      <c r="C159" s="18">
        <v>45343</v>
      </c>
      <c r="D159" s="19" t="s">
        <v>18</v>
      </c>
      <c r="E159" s="19" t="s">
        <v>998</v>
      </c>
      <c r="F159" s="35">
        <v>100</v>
      </c>
      <c r="G159" s="35">
        <v>115</v>
      </c>
      <c r="H159" s="19">
        <v>15</v>
      </c>
      <c r="I159" s="20">
        <v>300</v>
      </c>
      <c r="J159" s="21">
        <f t="shared" si="9"/>
        <v>4500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 t="shared" si="14"/>
        <v>30</v>
      </c>
      <c r="C160" s="18">
        <v>45343</v>
      </c>
      <c r="D160" s="19" t="s">
        <v>18</v>
      </c>
      <c r="E160" s="19" t="s">
        <v>995</v>
      </c>
      <c r="F160" s="35">
        <v>115</v>
      </c>
      <c r="G160" s="35">
        <v>100</v>
      </c>
      <c r="H160" s="35">
        <v>-15</v>
      </c>
      <c r="I160" s="20">
        <v>300</v>
      </c>
      <c r="J160" s="21">
        <f t="shared" si="9"/>
        <v>-4500</v>
      </c>
      <c r="K160" s="7"/>
      <c r="V160" s="5">
        <f t="shared" si="10"/>
        <v>0</v>
      </c>
      <c r="W160" s="5">
        <f t="shared" si="11"/>
        <v>1</v>
      </c>
    </row>
    <row r="161" spans="1:23" s="36" customFormat="1" x14ac:dyDescent="0.3">
      <c r="A161" s="6"/>
      <c r="B161" s="17">
        <f t="shared" si="14"/>
        <v>31</v>
      </c>
      <c r="C161" s="18">
        <v>45344</v>
      </c>
      <c r="D161" s="19" t="s">
        <v>18</v>
      </c>
      <c r="E161" s="19" t="s">
        <v>85</v>
      </c>
      <c r="F161" s="35">
        <v>110</v>
      </c>
      <c r="G161" s="35">
        <v>140</v>
      </c>
      <c r="H161" s="35">
        <v>30</v>
      </c>
      <c r="I161" s="20">
        <v>300</v>
      </c>
      <c r="J161" s="21">
        <f t="shared" si="9"/>
        <v>9000</v>
      </c>
      <c r="K161" s="7"/>
      <c r="V161" s="5">
        <f t="shared" si="10"/>
        <v>1</v>
      </c>
      <c r="W161" s="5">
        <f t="shared" si="11"/>
        <v>0</v>
      </c>
    </row>
    <row r="162" spans="1:23" s="36" customFormat="1" x14ac:dyDescent="0.3">
      <c r="A162" s="6"/>
      <c r="B162" s="17">
        <f t="shared" si="14"/>
        <v>32</v>
      </c>
      <c r="C162" s="18">
        <v>45344</v>
      </c>
      <c r="D162" s="19" t="s">
        <v>18</v>
      </c>
      <c r="E162" s="19" t="s">
        <v>990</v>
      </c>
      <c r="F162" s="35">
        <v>95</v>
      </c>
      <c r="G162" s="35">
        <v>80</v>
      </c>
      <c r="H162" s="35">
        <v>-15</v>
      </c>
      <c r="I162" s="20">
        <v>300</v>
      </c>
      <c r="J162" s="21">
        <f t="shared" si="9"/>
        <v>-4500</v>
      </c>
      <c r="K162" s="7"/>
      <c r="V162" s="5">
        <f t="shared" si="10"/>
        <v>0</v>
      </c>
      <c r="W162" s="5">
        <f t="shared" si="11"/>
        <v>1</v>
      </c>
    </row>
    <row r="163" spans="1:23" s="36" customFormat="1" x14ac:dyDescent="0.3">
      <c r="A163" s="6"/>
      <c r="B163" s="17">
        <f t="shared" si="14"/>
        <v>33</v>
      </c>
      <c r="C163" s="18">
        <v>45345</v>
      </c>
      <c r="D163" s="19" t="s">
        <v>18</v>
      </c>
      <c r="E163" s="19" t="s">
        <v>34</v>
      </c>
      <c r="F163" s="35">
        <v>100</v>
      </c>
      <c r="G163" s="35">
        <v>115</v>
      </c>
      <c r="H163" s="35">
        <v>15</v>
      </c>
      <c r="I163" s="20">
        <v>300</v>
      </c>
      <c r="J163" s="21">
        <f t="shared" si="9"/>
        <v>4500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4"/>
        <v>34</v>
      </c>
      <c r="C164" s="18">
        <v>45345</v>
      </c>
      <c r="D164" s="19" t="s">
        <v>18</v>
      </c>
      <c r="E164" s="19" t="s">
        <v>34</v>
      </c>
      <c r="F164" s="35">
        <v>105</v>
      </c>
      <c r="G164" s="35">
        <v>115</v>
      </c>
      <c r="H164" s="35">
        <v>10</v>
      </c>
      <c r="I164" s="20">
        <v>300</v>
      </c>
      <c r="J164" s="21">
        <f t="shared" si="9"/>
        <v>3000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4"/>
        <v>35</v>
      </c>
      <c r="C165" s="18">
        <v>45348</v>
      </c>
      <c r="D165" s="19" t="s">
        <v>18</v>
      </c>
      <c r="E165" s="19" t="s">
        <v>1000</v>
      </c>
      <c r="F165" s="35">
        <v>115</v>
      </c>
      <c r="G165" s="35">
        <v>130</v>
      </c>
      <c r="H165" s="35">
        <v>15</v>
      </c>
      <c r="I165" s="20">
        <v>300</v>
      </c>
      <c r="J165" s="21">
        <f t="shared" si="9"/>
        <v>4500</v>
      </c>
      <c r="K165" s="7"/>
      <c r="V165" s="5">
        <f t="shared" si="10"/>
        <v>1</v>
      </c>
      <c r="W165" s="5">
        <f t="shared" si="11"/>
        <v>0</v>
      </c>
    </row>
    <row r="166" spans="1:23" s="36" customFormat="1" x14ac:dyDescent="0.3">
      <c r="A166" s="6"/>
      <c r="B166" s="17">
        <f t="shared" si="14"/>
        <v>36</v>
      </c>
      <c r="C166" s="18">
        <v>45348</v>
      </c>
      <c r="D166" s="19" t="s">
        <v>18</v>
      </c>
      <c r="E166" s="19" t="s">
        <v>998</v>
      </c>
      <c r="F166" s="35">
        <v>105</v>
      </c>
      <c r="G166" s="35">
        <v>129</v>
      </c>
      <c r="H166" s="35">
        <f>129-105</f>
        <v>24</v>
      </c>
      <c r="I166" s="20">
        <v>300</v>
      </c>
      <c r="J166" s="21">
        <f t="shared" si="9"/>
        <v>7200</v>
      </c>
      <c r="K166" s="7"/>
      <c r="V166" s="5">
        <f t="shared" si="10"/>
        <v>1</v>
      </c>
      <c r="W166" s="5">
        <f t="shared" si="11"/>
        <v>0</v>
      </c>
    </row>
    <row r="167" spans="1:23" s="36" customFormat="1" x14ac:dyDescent="0.3">
      <c r="A167" s="6"/>
      <c r="B167" s="17">
        <f t="shared" si="14"/>
        <v>37</v>
      </c>
      <c r="C167" s="18">
        <v>45349</v>
      </c>
      <c r="D167" s="19" t="s">
        <v>18</v>
      </c>
      <c r="E167" s="19" t="s">
        <v>998</v>
      </c>
      <c r="F167" s="35">
        <v>95</v>
      </c>
      <c r="G167" s="35">
        <v>107</v>
      </c>
      <c r="H167" s="35">
        <f>107-95</f>
        <v>12</v>
      </c>
      <c r="I167" s="20">
        <v>300</v>
      </c>
      <c r="J167" s="21">
        <f t="shared" si="9"/>
        <v>3600</v>
      </c>
      <c r="K167" s="7"/>
      <c r="V167" s="5">
        <f t="shared" si="10"/>
        <v>1</v>
      </c>
      <c r="W167" s="5">
        <f t="shared" si="11"/>
        <v>0</v>
      </c>
    </row>
    <row r="168" spans="1:23" s="36" customFormat="1" x14ac:dyDescent="0.3">
      <c r="A168" s="6"/>
      <c r="B168" s="17">
        <f t="shared" si="14"/>
        <v>38</v>
      </c>
      <c r="C168" s="18">
        <v>45349</v>
      </c>
      <c r="D168" s="19" t="s">
        <v>18</v>
      </c>
      <c r="E168" s="19" t="s">
        <v>995</v>
      </c>
      <c r="F168" s="35">
        <v>110</v>
      </c>
      <c r="G168" s="35">
        <v>140</v>
      </c>
      <c r="H168" s="35">
        <v>30</v>
      </c>
      <c r="I168" s="20">
        <v>300</v>
      </c>
      <c r="J168" s="21">
        <f t="shared" si="9"/>
        <v>9000</v>
      </c>
      <c r="K168" s="7"/>
      <c r="V168" s="5">
        <f t="shared" si="10"/>
        <v>1</v>
      </c>
      <c r="W168" s="5">
        <f t="shared" si="11"/>
        <v>0</v>
      </c>
    </row>
    <row r="169" spans="1:23" s="36" customFormat="1" x14ac:dyDescent="0.3">
      <c r="A169" s="6"/>
      <c r="B169" s="17">
        <f t="shared" si="14"/>
        <v>39</v>
      </c>
      <c r="C169" s="18">
        <v>45350</v>
      </c>
      <c r="D169" s="19" t="s">
        <v>18</v>
      </c>
      <c r="E169" s="19" t="s">
        <v>85</v>
      </c>
      <c r="F169" s="35">
        <v>95</v>
      </c>
      <c r="G169" s="35">
        <v>125</v>
      </c>
      <c r="H169" s="35">
        <f>125-95</f>
        <v>30</v>
      </c>
      <c r="I169" s="20">
        <v>300</v>
      </c>
      <c r="J169" s="21">
        <f t="shared" si="9"/>
        <v>9000</v>
      </c>
      <c r="K169" s="7"/>
      <c r="V169" s="5">
        <f t="shared" si="10"/>
        <v>1</v>
      </c>
      <c r="W169" s="5">
        <f t="shared" si="11"/>
        <v>0</v>
      </c>
    </row>
    <row r="170" spans="1:23" s="36" customFormat="1" x14ac:dyDescent="0.3">
      <c r="A170" s="6"/>
      <c r="B170" s="17">
        <f t="shared" si="14"/>
        <v>40</v>
      </c>
      <c r="C170" s="18">
        <v>45350</v>
      </c>
      <c r="D170" s="19" t="s">
        <v>18</v>
      </c>
      <c r="E170" s="19" t="s">
        <v>85</v>
      </c>
      <c r="F170" s="35">
        <v>95</v>
      </c>
      <c r="G170" s="35">
        <v>125</v>
      </c>
      <c r="H170" s="35">
        <f>125-95</f>
        <v>30</v>
      </c>
      <c r="I170" s="20">
        <v>300</v>
      </c>
      <c r="J170" s="21">
        <f t="shared" si="9"/>
        <v>9000</v>
      </c>
      <c r="K170" s="7"/>
      <c r="V170" s="5">
        <f t="shared" si="10"/>
        <v>1</v>
      </c>
      <c r="W170" s="5">
        <f t="shared" si="11"/>
        <v>0</v>
      </c>
    </row>
    <row r="171" spans="1:23" s="36" customFormat="1" x14ac:dyDescent="0.3">
      <c r="A171" s="6"/>
      <c r="B171" s="17">
        <f t="shared" si="14"/>
        <v>41</v>
      </c>
      <c r="C171" s="18">
        <v>45351</v>
      </c>
      <c r="D171" s="19" t="s">
        <v>18</v>
      </c>
      <c r="E171" s="19" t="s">
        <v>1001</v>
      </c>
      <c r="F171" s="35">
        <v>95</v>
      </c>
      <c r="G171" s="35">
        <v>80</v>
      </c>
      <c r="H171" s="35">
        <v>-15</v>
      </c>
      <c r="I171" s="20">
        <v>300</v>
      </c>
      <c r="J171" s="21">
        <f t="shared" si="9"/>
        <v>-4500</v>
      </c>
      <c r="K171" s="7"/>
      <c r="V171" s="5">
        <f t="shared" si="10"/>
        <v>0</v>
      </c>
      <c r="W171" s="5">
        <f t="shared" si="11"/>
        <v>1</v>
      </c>
    </row>
    <row r="172" spans="1:23" s="36" customFormat="1" x14ac:dyDescent="0.3">
      <c r="A172" s="6"/>
      <c r="B172" s="17">
        <f t="shared" si="14"/>
        <v>42</v>
      </c>
      <c r="C172" s="18">
        <v>45351</v>
      </c>
      <c r="D172" s="19" t="s">
        <v>18</v>
      </c>
      <c r="E172" s="19" t="s">
        <v>1002</v>
      </c>
      <c r="F172" s="35">
        <v>95</v>
      </c>
      <c r="G172" s="35">
        <v>114</v>
      </c>
      <c r="H172" s="35">
        <f>114-95</f>
        <v>19</v>
      </c>
      <c r="I172" s="20">
        <v>300</v>
      </c>
      <c r="J172" s="21">
        <f t="shared" si="9"/>
        <v>5700</v>
      </c>
      <c r="K172" s="7"/>
      <c r="V172" s="5">
        <f t="shared" si="10"/>
        <v>1</v>
      </c>
      <c r="W172" s="5">
        <f t="shared" si="11"/>
        <v>0</v>
      </c>
    </row>
    <row r="173" spans="1:23" s="36" customFormat="1" hidden="1" x14ac:dyDescent="0.3">
      <c r="A173" s="6"/>
      <c r="B173" s="17">
        <f t="shared" si="14"/>
        <v>43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hidden="1" x14ac:dyDescent="0.3">
      <c r="A174" s="6"/>
      <c r="B174" s="17">
        <f t="shared" si="14"/>
        <v>44</v>
      </c>
      <c r="C174" s="18"/>
      <c r="D174" s="19"/>
      <c r="E174" s="19"/>
      <c r="F174" s="35"/>
      <c r="G174" s="35"/>
      <c r="H174" s="35"/>
      <c r="I174" s="20"/>
      <c r="J174" s="21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hidden="1" x14ac:dyDescent="0.3">
      <c r="A175" s="6"/>
      <c r="B175" s="17">
        <f t="shared" si="14"/>
        <v>45</v>
      </c>
      <c r="C175" s="18"/>
      <c r="D175" s="19"/>
      <c r="E175" s="19"/>
      <c r="F175" s="35"/>
      <c r="G175" s="35"/>
      <c r="H175" s="35"/>
      <c r="I175" s="20"/>
      <c r="J175" s="21">
        <f t="shared" si="9"/>
        <v>0</v>
      </c>
      <c r="K175" s="7"/>
      <c r="V175" s="5">
        <f t="shared" si="10"/>
        <v>0</v>
      </c>
      <c r="W175" s="5">
        <f t="shared" si="11"/>
        <v>0</v>
      </c>
    </row>
    <row r="176" spans="1:23" s="36" customFormat="1" hidden="1" x14ac:dyDescent="0.3">
      <c r="A176" s="6"/>
      <c r="B176" s="17">
        <f t="shared" si="14"/>
        <v>46</v>
      </c>
      <c r="C176" s="18"/>
      <c r="D176" s="19"/>
      <c r="E176" s="19"/>
      <c r="F176" s="35"/>
      <c r="G176" s="35"/>
      <c r="H176" s="35"/>
      <c r="I176" s="20"/>
      <c r="J176" s="21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hidden="1" x14ac:dyDescent="0.3">
      <c r="A177" s="6"/>
      <c r="B177" s="17">
        <f t="shared" si="14"/>
        <v>47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ht="15" hidden="1" thickBot="1" x14ac:dyDescent="0.35">
      <c r="A178" s="6"/>
      <c r="B178" s="95">
        <f t="shared" si="14"/>
        <v>48</v>
      </c>
      <c r="C178" s="79"/>
      <c r="D178" s="80"/>
      <c r="E178" s="80"/>
      <c r="F178" s="96"/>
      <c r="G178" s="96"/>
      <c r="H178" s="96"/>
      <c r="I178" s="81"/>
      <c r="J178" s="82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ht="24" thickBot="1" x14ac:dyDescent="0.5">
      <c r="A179" s="6"/>
      <c r="B179" s="165" t="s">
        <v>22</v>
      </c>
      <c r="C179" s="166"/>
      <c r="D179" s="166"/>
      <c r="E179" s="166"/>
      <c r="F179" s="166"/>
      <c r="G179" s="166"/>
      <c r="H179" s="167"/>
      <c r="I179" s="83" t="s">
        <v>23</v>
      </c>
      <c r="J179" s="84">
        <f>SUM(J131:J178)</f>
        <v>183300</v>
      </c>
      <c r="K179" s="7"/>
      <c r="L179" s="5"/>
      <c r="M179" s="5"/>
      <c r="N179" s="5"/>
      <c r="O179" s="5"/>
      <c r="P179" s="5"/>
      <c r="Q179" s="5"/>
      <c r="R179" s="5"/>
      <c r="V179" s="36">
        <f>SUM(V131:V178)</f>
        <v>34</v>
      </c>
      <c r="W179" s="36">
        <f>SUM(W131:W178)</f>
        <v>8</v>
      </c>
    </row>
    <row r="180" spans="1:23" s="36" customFormat="1" ht="30" customHeight="1" thickBot="1" x14ac:dyDescent="0.35">
      <c r="A180" s="30"/>
      <c r="B180" s="31"/>
      <c r="C180" s="31"/>
      <c r="D180" s="31"/>
      <c r="E180" s="31"/>
      <c r="F180" s="31"/>
      <c r="G180" s="31"/>
      <c r="H180" s="32"/>
      <c r="I180" s="31"/>
      <c r="J180" s="32"/>
      <c r="K180" s="33"/>
      <c r="L180" s="5"/>
      <c r="M180" s="5"/>
      <c r="N180" s="5"/>
      <c r="O180" s="5"/>
      <c r="P180" s="5"/>
      <c r="Q180" s="5"/>
      <c r="R180" s="5"/>
    </row>
  </sheetData>
  <mergeCells count="44">
    <mergeCell ref="B123:H123"/>
    <mergeCell ref="B127:J127"/>
    <mergeCell ref="B128:J128"/>
    <mergeCell ref="B129:J129"/>
    <mergeCell ref="B179:H179"/>
    <mergeCell ref="B67:J67"/>
    <mergeCell ref="M10:M11"/>
    <mergeCell ref="N10:N11"/>
    <mergeCell ref="O10:O11"/>
    <mergeCell ref="P10:P11"/>
    <mergeCell ref="M12:O14"/>
    <mergeCell ref="P12:R14"/>
    <mergeCell ref="B61:H61"/>
    <mergeCell ref="B65:J65"/>
    <mergeCell ref="B66:J66"/>
    <mergeCell ref="Q10:Q11"/>
    <mergeCell ref="R10:R11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61" r:id="rId1" xr:uid="{00000000-0004-0000-2B00-000000000000}"/>
    <hyperlink ref="B123" r:id="rId2" xr:uid="{00000000-0004-0000-2B00-000001000000}"/>
    <hyperlink ref="B179" r:id="rId3" xr:uid="{00000000-0004-0000-2B00-000002000000}"/>
    <hyperlink ref="M1" location="MASTER!A1" display="Back" xr:uid="{00000000-0004-0000-2B00-000003000000}"/>
    <hyperlink ref="M6:M7" location="'FEB 2024'!A70" display="EXTRA STOCK FUTURE" xr:uid="{00000000-0004-0000-2B00-000004000000}"/>
    <hyperlink ref="M8:M9" location="'FEB 2024'!A140" display="EXTRA NIFTY OPTION" xr:uid="{00000000-0004-0000-2B00-000005000000}"/>
    <hyperlink ref="M4:M5" location="'FEB 2024'!A1" display="EXTRA BANKNIFTY OPTION" xr:uid="{00000000-0004-0000-2B00-000006000000}"/>
  </hyperlinks>
  <pageMargins left="0" right="0" top="0" bottom="0" header="0" footer="0"/>
  <pageSetup paperSize="9" orientation="portrait" r:id="rId4"/>
  <ignoredErrors>
    <ignoredError sqref="J135" formula="1"/>
  </ignoredErrors>
  <drawing r:id="rId5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A68D9-6CED-486E-9252-F2E04C0691B5}">
  <dimension ref="A1:X180"/>
  <sheetViews>
    <sheetView tabSelected="1" zoomScaleNormal="100" workbookViewId="0">
      <selection activeCell="M21" sqref="M21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0" width="9.109375" style="5"/>
    <col min="21" max="24" width="9.109375" style="5" hidden="1" customWidth="1"/>
    <col min="25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225" t="s">
        <v>3</v>
      </c>
      <c r="N2" s="226" t="s">
        <v>4</v>
      </c>
      <c r="O2" s="227" t="s">
        <v>5</v>
      </c>
      <c r="P2" s="227" t="s">
        <v>6</v>
      </c>
      <c r="Q2" s="227" t="s">
        <v>7</v>
      </c>
      <c r="R2" s="224" t="s">
        <v>8</v>
      </c>
    </row>
    <row r="3" spans="1:23" ht="16.2" thickBot="1" x14ac:dyDescent="0.35">
      <c r="A3" s="6"/>
      <c r="B3" s="103">
        <v>45352</v>
      </c>
      <c r="C3" s="104"/>
      <c r="D3" s="104"/>
      <c r="E3" s="104"/>
      <c r="F3" s="104"/>
      <c r="G3" s="104"/>
      <c r="H3" s="104"/>
      <c r="I3" s="104"/>
      <c r="J3" s="105"/>
      <c r="K3" s="7"/>
      <c r="M3" s="225"/>
      <c r="N3" s="226"/>
      <c r="O3" s="227"/>
      <c r="P3" s="227"/>
      <c r="Q3" s="227"/>
      <c r="R3" s="224"/>
    </row>
    <row r="4" spans="1:23" ht="16.5" customHeight="1" thickBot="1" x14ac:dyDescent="0.35">
      <c r="A4" s="6"/>
      <c r="B4" s="106" t="s">
        <v>900</v>
      </c>
      <c r="C4" s="107"/>
      <c r="D4" s="107"/>
      <c r="E4" s="107"/>
      <c r="F4" s="107"/>
      <c r="G4" s="107"/>
      <c r="H4" s="107"/>
      <c r="I4" s="107"/>
      <c r="J4" s="108"/>
      <c r="K4" s="7"/>
      <c r="M4" s="221" t="s">
        <v>107</v>
      </c>
      <c r="N4" s="222">
        <f>COUNT(C6:C60)</f>
        <v>34</v>
      </c>
      <c r="O4" s="222">
        <f>V61</f>
        <v>27</v>
      </c>
      <c r="P4" s="222">
        <f>W61</f>
        <v>7</v>
      </c>
      <c r="Q4" s="222">
        <f>N4-O4-P4</f>
        <v>0</v>
      </c>
      <c r="R4" s="220">
        <f>O4/N4</f>
        <v>0.79411764705882348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221"/>
      <c r="N5" s="222"/>
      <c r="O5" s="222"/>
      <c r="P5" s="222"/>
      <c r="Q5" s="222"/>
      <c r="R5" s="220"/>
      <c r="V5" s="5" t="s">
        <v>5</v>
      </c>
      <c r="W5" s="5" t="s">
        <v>6</v>
      </c>
    </row>
    <row r="6" spans="1:23" ht="15" customHeight="1" thickBot="1" x14ac:dyDescent="0.35">
      <c r="A6" s="6"/>
      <c r="B6" s="88">
        <v>1</v>
      </c>
      <c r="C6" s="89">
        <v>45352</v>
      </c>
      <c r="D6" s="90" t="s">
        <v>18</v>
      </c>
      <c r="E6" s="90" t="s">
        <v>1004</v>
      </c>
      <c r="F6" s="90">
        <v>150</v>
      </c>
      <c r="G6" s="90">
        <v>250</v>
      </c>
      <c r="H6" s="91">
        <v>100</v>
      </c>
      <c r="I6" s="90">
        <v>120</v>
      </c>
      <c r="J6" s="92">
        <f t="shared" ref="J6:J60" si="0">H6*I6</f>
        <v>12000</v>
      </c>
      <c r="K6" s="7"/>
      <c r="M6" s="221" t="s">
        <v>108</v>
      </c>
      <c r="N6" s="222">
        <f>COUNT(C69:C122)</f>
        <v>0</v>
      </c>
      <c r="O6" s="222">
        <f>V123</f>
        <v>0</v>
      </c>
      <c r="P6" s="222">
        <f>W123</f>
        <v>0</v>
      </c>
      <c r="Q6" s="222">
        <v>0</v>
      </c>
      <c r="R6" s="220" t="e">
        <f t="shared" ref="R6" si="1">O6/N6</f>
        <v>#DIV/0!</v>
      </c>
      <c r="V6" s="5">
        <f t="shared" ref="V6:V60" si="2">IF($J6&gt;0,1,0)</f>
        <v>1</v>
      </c>
      <c r="W6" s="5">
        <f t="shared" ref="W6:W60" si="3">IF($J6&lt;0,1,0)</f>
        <v>0</v>
      </c>
    </row>
    <row r="7" spans="1:23" ht="15" thickBot="1" x14ac:dyDescent="0.35">
      <c r="A7" s="6"/>
      <c r="B7" s="17">
        <v>2</v>
      </c>
      <c r="C7" s="85">
        <v>45352</v>
      </c>
      <c r="D7" s="86" t="s">
        <v>18</v>
      </c>
      <c r="E7" s="86" t="s">
        <v>1005</v>
      </c>
      <c r="F7" s="86">
        <v>150</v>
      </c>
      <c r="G7" s="86">
        <v>220</v>
      </c>
      <c r="H7" s="87">
        <f>220-150</f>
        <v>70</v>
      </c>
      <c r="I7" s="86">
        <v>120</v>
      </c>
      <c r="J7" s="21">
        <f t="shared" si="0"/>
        <v>8400</v>
      </c>
      <c r="K7" s="7"/>
      <c r="M7" s="221"/>
      <c r="N7" s="222"/>
      <c r="O7" s="222"/>
      <c r="P7" s="222"/>
      <c r="Q7" s="222"/>
      <c r="R7" s="220"/>
      <c r="V7" s="5">
        <f t="shared" si="2"/>
        <v>1</v>
      </c>
      <c r="W7" s="5">
        <f t="shared" si="3"/>
        <v>0</v>
      </c>
    </row>
    <row r="8" spans="1:23" ht="15" thickBot="1" x14ac:dyDescent="0.35">
      <c r="A8" s="6"/>
      <c r="B8" s="88">
        <v>3</v>
      </c>
      <c r="C8" s="85">
        <v>45355</v>
      </c>
      <c r="D8" s="86" t="s">
        <v>18</v>
      </c>
      <c r="E8" s="86" t="s">
        <v>960</v>
      </c>
      <c r="F8" s="86">
        <v>150</v>
      </c>
      <c r="G8" s="86">
        <v>175</v>
      </c>
      <c r="H8" s="87">
        <v>25</v>
      </c>
      <c r="I8" s="86">
        <v>120</v>
      </c>
      <c r="J8" s="21">
        <f t="shared" si="0"/>
        <v>3000</v>
      </c>
      <c r="K8" s="7"/>
      <c r="M8" s="223" t="s">
        <v>194</v>
      </c>
      <c r="N8" s="222">
        <f>COUNT(C131:C178)</f>
        <v>35</v>
      </c>
      <c r="O8" s="222">
        <f>V179</f>
        <v>27</v>
      </c>
      <c r="P8" s="222">
        <f>W179</f>
        <v>8</v>
      </c>
      <c r="Q8" s="222">
        <v>0</v>
      </c>
      <c r="R8" s="220">
        <f t="shared" ref="R8:R10" si="4">O8/N8</f>
        <v>0.77142857142857146</v>
      </c>
      <c r="V8" s="5">
        <f t="shared" si="2"/>
        <v>1</v>
      </c>
      <c r="W8" s="5">
        <f t="shared" si="3"/>
        <v>0</v>
      </c>
    </row>
    <row r="9" spans="1:23" ht="15" thickBot="1" x14ac:dyDescent="0.35">
      <c r="A9" s="6"/>
      <c r="B9" s="17">
        <v>4</v>
      </c>
      <c r="C9" s="85">
        <v>45355</v>
      </c>
      <c r="D9" s="86" t="s">
        <v>18</v>
      </c>
      <c r="E9" s="86" t="s">
        <v>949</v>
      </c>
      <c r="F9" s="86">
        <v>150</v>
      </c>
      <c r="G9" s="86">
        <v>200</v>
      </c>
      <c r="H9" s="87">
        <v>50</v>
      </c>
      <c r="I9" s="86">
        <v>120</v>
      </c>
      <c r="J9" s="21">
        <f t="shared" si="0"/>
        <v>6000</v>
      </c>
      <c r="K9" s="7"/>
      <c r="M9" s="223"/>
      <c r="N9" s="222"/>
      <c r="O9" s="222"/>
      <c r="P9" s="222"/>
      <c r="Q9" s="222"/>
      <c r="R9" s="220"/>
      <c r="V9" s="5">
        <f t="shared" si="2"/>
        <v>1</v>
      </c>
      <c r="W9" s="5">
        <f t="shared" si="3"/>
        <v>0</v>
      </c>
    </row>
    <row r="10" spans="1:23" ht="16.5" customHeight="1" thickBot="1" x14ac:dyDescent="0.35">
      <c r="A10" s="6"/>
      <c r="B10" s="88">
        <v>5</v>
      </c>
      <c r="C10" s="85">
        <v>45356</v>
      </c>
      <c r="D10" s="86" t="s">
        <v>18</v>
      </c>
      <c r="E10" s="86" t="s">
        <v>979</v>
      </c>
      <c r="F10" s="86">
        <v>150</v>
      </c>
      <c r="G10" s="86">
        <v>100</v>
      </c>
      <c r="H10" s="87">
        <v>-50</v>
      </c>
      <c r="I10" s="86">
        <v>120</v>
      </c>
      <c r="J10" s="21">
        <f t="shared" si="0"/>
        <v>-6000</v>
      </c>
      <c r="K10" s="7"/>
      <c r="M10" s="218" t="s">
        <v>19</v>
      </c>
      <c r="N10" s="219">
        <f>SUM(N4:N9)</f>
        <v>69</v>
      </c>
      <c r="O10" s="219">
        <f>SUM(O4:O9)</f>
        <v>54</v>
      </c>
      <c r="P10" s="219">
        <f>SUM(P4:P9)</f>
        <v>15</v>
      </c>
      <c r="Q10" s="219">
        <f>SUM(Q4:Q9)</f>
        <v>0</v>
      </c>
      <c r="R10" s="220">
        <f t="shared" si="4"/>
        <v>0.78260869565217395</v>
      </c>
      <c r="V10" s="5">
        <f t="shared" si="2"/>
        <v>0</v>
      </c>
      <c r="W10" s="5">
        <f t="shared" si="3"/>
        <v>1</v>
      </c>
    </row>
    <row r="11" spans="1:23" ht="15.75" customHeight="1" thickBot="1" x14ac:dyDescent="0.35">
      <c r="A11" s="6"/>
      <c r="B11" s="17">
        <v>6</v>
      </c>
      <c r="C11" s="85">
        <v>45357</v>
      </c>
      <c r="D11" s="86" t="s">
        <v>18</v>
      </c>
      <c r="E11" s="86" t="s">
        <v>1006</v>
      </c>
      <c r="F11" s="86">
        <v>150</v>
      </c>
      <c r="G11" s="86">
        <v>250</v>
      </c>
      <c r="H11" s="87">
        <v>100</v>
      </c>
      <c r="I11" s="86">
        <v>120</v>
      </c>
      <c r="J11" s="21">
        <f t="shared" si="0"/>
        <v>12000</v>
      </c>
      <c r="K11" s="7"/>
      <c r="M11" s="218"/>
      <c r="N11" s="219"/>
      <c r="O11" s="219"/>
      <c r="P11" s="219"/>
      <c r="Q11" s="219"/>
      <c r="R11" s="220"/>
      <c r="V11" s="5">
        <f t="shared" si="2"/>
        <v>1</v>
      </c>
      <c r="W11" s="5">
        <f t="shared" si="3"/>
        <v>0</v>
      </c>
    </row>
    <row r="12" spans="1:23" ht="15" customHeight="1" x14ac:dyDescent="0.3">
      <c r="A12" s="6"/>
      <c r="B12" s="88">
        <v>7</v>
      </c>
      <c r="C12" s="85">
        <v>45357</v>
      </c>
      <c r="D12" s="86" t="s">
        <v>18</v>
      </c>
      <c r="E12" s="86" t="s">
        <v>959</v>
      </c>
      <c r="F12" s="86">
        <v>130</v>
      </c>
      <c r="G12" s="86">
        <v>176</v>
      </c>
      <c r="H12" s="87">
        <f>176-130</f>
        <v>46</v>
      </c>
      <c r="I12" s="86">
        <v>120</v>
      </c>
      <c r="J12" s="21">
        <f t="shared" si="0"/>
        <v>5520</v>
      </c>
      <c r="K12" s="7"/>
      <c r="M12" s="129" t="s">
        <v>20</v>
      </c>
      <c r="N12" s="130"/>
      <c r="O12" s="131"/>
      <c r="P12" s="138">
        <f>R10</f>
        <v>0.78260869565217395</v>
      </c>
      <c r="Q12" s="139"/>
      <c r="R12" s="140"/>
      <c r="V12" s="5">
        <f t="shared" si="2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85">
        <v>45358</v>
      </c>
      <c r="D13" s="86" t="s">
        <v>18</v>
      </c>
      <c r="E13" s="86" t="s">
        <v>974</v>
      </c>
      <c r="F13" s="86">
        <v>160</v>
      </c>
      <c r="G13" s="86">
        <v>210</v>
      </c>
      <c r="H13" s="87">
        <f>210-160</f>
        <v>50</v>
      </c>
      <c r="I13" s="86">
        <v>120</v>
      </c>
      <c r="J13" s="21">
        <f t="shared" si="0"/>
        <v>6000</v>
      </c>
      <c r="K13" s="7"/>
      <c r="M13" s="129"/>
      <c r="N13" s="130"/>
      <c r="O13" s="131"/>
      <c r="P13" s="138"/>
      <c r="Q13" s="139"/>
      <c r="R13" s="140"/>
      <c r="V13" s="5">
        <f t="shared" si="2"/>
        <v>1</v>
      </c>
      <c r="W13" s="5">
        <f t="shared" si="3"/>
        <v>0</v>
      </c>
    </row>
    <row r="14" spans="1:23" ht="15.75" customHeight="1" thickBot="1" x14ac:dyDescent="0.35">
      <c r="A14" s="6"/>
      <c r="B14" s="88">
        <v>9</v>
      </c>
      <c r="C14" s="85">
        <v>45358</v>
      </c>
      <c r="D14" s="86" t="s">
        <v>18</v>
      </c>
      <c r="E14" s="86" t="s">
        <v>973</v>
      </c>
      <c r="F14" s="86">
        <v>150</v>
      </c>
      <c r="G14" s="86">
        <v>100</v>
      </c>
      <c r="H14" s="87">
        <v>-50</v>
      </c>
      <c r="I14" s="86">
        <v>120</v>
      </c>
      <c r="J14" s="21">
        <f t="shared" si="0"/>
        <v>-6000</v>
      </c>
      <c r="K14" s="7"/>
      <c r="M14" s="132"/>
      <c r="N14" s="133"/>
      <c r="O14" s="134"/>
      <c r="P14" s="141"/>
      <c r="Q14" s="142"/>
      <c r="R14" s="143"/>
      <c r="V14" s="5">
        <f t="shared" si="2"/>
        <v>0</v>
      </c>
      <c r="W14" s="5">
        <f t="shared" si="3"/>
        <v>1</v>
      </c>
    </row>
    <row r="15" spans="1:23" x14ac:dyDescent="0.3">
      <c r="A15" s="6"/>
      <c r="B15" s="17">
        <v>10</v>
      </c>
      <c r="C15" s="85">
        <v>45362</v>
      </c>
      <c r="D15" s="86" t="s">
        <v>18</v>
      </c>
      <c r="E15" s="86" t="s">
        <v>954</v>
      </c>
      <c r="F15" s="86">
        <v>160</v>
      </c>
      <c r="G15" s="86">
        <v>172</v>
      </c>
      <c r="H15" s="87">
        <v>12</v>
      </c>
      <c r="I15" s="86">
        <v>120</v>
      </c>
      <c r="J15" s="21">
        <f t="shared" si="0"/>
        <v>1440</v>
      </c>
      <c r="K15" s="7"/>
      <c r="V15" s="5">
        <f t="shared" si="2"/>
        <v>1</v>
      </c>
      <c r="W15" s="5">
        <f t="shared" si="3"/>
        <v>0</v>
      </c>
    </row>
    <row r="16" spans="1:23" x14ac:dyDescent="0.3">
      <c r="A16" s="6"/>
      <c r="B16" s="88">
        <v>11</v>
      </c>
      <c r="C16" s="85">
        <v>45362</v>
      </c>
      <c r="D16" s="86" t="s">
        <v>18</v>
      </c>
      <c r="E16" s="86" t="s">
        <v>979</v>
      </c>
      <c r="F16" s="86">
        <v>150</v>
      </c>
      <c r="G16" s="86">
        <v>200</v>
      </c>
      <c r="H16" s="87">
        <v>50</v>
      </c>
      <c r="I16" s="86">
        <v>120</v>
      </c>
      <c r="J16" s="21">
        <f t="shared" si="0"/>
        <v>6000</v>
      </c>
      <c r="K16" s="7"/>
      <c r="V16" s="5">
        <f t="shared" si="2"/>
        <v>1</v>
      </c>
      <c r="W16" s="5">
        <f t="shared" si="3"/>
        <v>0</v>
      </c>
    </row>
    <row r="17" spans="1:23" x14ac:dyDescent="0.3">
      <c r="A17" s="6"/>
      <c r="B17" s="17">
        <v>12</v>
      </c>
      <c r="C17" s="85">
        <v>45363</v>
      </c>
      <c r="D17" s="86" t="s">
        <v>18</v>
      </c>
      <c r="E17" s="86" t="s">
        <v>1006</v>
      </c>
      <c r="F17" s="86">
        <v>150</v>
      </c>
      <c r="G17" s="86">
        <v>250</v>
      </c>
      <c r="H17" s="87">
        <v>100</v>
      </c>
      <c r="I17" s="86">
        <v>120</v>
      </c>
      <c r="J17" s="21">
        <f t="shared" si="0"/>
        <v>12000</v>
      </c>
      <c r="K17" s="7"/>
      <c r="V17" s="5">
        <f t="shared" si="2"/>
        <v>1</v>
      </c>
      <c r="W17" s="5">
        <f t="shared" si="3"/>
        <v>0</v>
      </c>
    </row>
    <row r="18" spans="1:23" x14ac:dyDescent="0.3">
      <c r="A18" s="6"/>
      <c r="B18" s="88">
        <v>13</v>
      </c>
      <c r="C18" s="85">
        <v>45363</v>
      </c>
      <c r="D18" s="86" t="s">
        <v>18</v>
      </c>
      <c r="E18" s="86" t="s">
        <v>1006</v>
      </c>
      <c r="F18" s="86">
        <v>150</v>
      </c>
      <c r="G18" s="86">
        <v>170</v>
      </c>
      <c r="H18" s="87">
        <v>20</v>
      </c>
      <c r="I18" s="86">
        <v>120</v>
      </c>
      <c r="J18" s="21">
        <f t="shared" si="0"/>
        <v>2400</v>
      </c>
      <c r="K18" s="7"/>
      <c r="V18" s="5">
        <f t="shared" si="2"/>
        <v>1</v>
      </c>
      <c r="W18" s="5">
        <f t="shared" si="3"/>
        <v>0</v>
      </c>
    </row>
    <row r="19" spans="1:23" x14ac:dyDescent="0.3">
      <c r="A19" s="6"/>
      <c r="B19" s="17">
        <v>14</v>
      </c>
      <c r="C19" s="85">
        <v>45364</v>
      </c>
      <c r="D19" s="86" t="s">
        <v>18</v>
      </c>
      <c r="E19" s="86" t="s">
        <v>962</v>
      </c>
      <c r="F19" s="86">
        <v>130</v>
      </c>
      <c r="G19" s="86">
        <v>145</v>
      </c>
      <c r="H19" s="87">
        <v>15</v>
      </c>
      <c r="I19" s="86">
        <v>120</v>
      </c>
      <c r="J19" s="21">
        <f t="shared" si="0"/>
        <v>1800</v>
      </c>
      <c r="K19" s="7"/>
      <c r="V19" s="5">
        <f t="shared" si="2"/>
        <v>1</v>
      </c>
      <c r="W19" s="5">
        <f t="shared" si="3"/>
        <v>0</v>
      </c>
    </row>
    <row r="20" spans="1:23" x14ac:dyDescent="0.3">
      <c r="A20" s="6"/>
      <c r="B20" s="88">
        <v>15</v>
      </c>
      <c r="C20" s="85">
        <v>45364</v>
      </c>
      <c r="D20" s="86" t="s">
        <v>18</v>
      </c>
      <c r="E20" s="86" t="s">
        <v>1009</v>
      </c>
      <c r="F20" s="86">
        <v>150</v>
      </c>
      <c r="G20" s="86">
        <v>250</v>
      </c>
      <c r="H20" s="87">
        <v>100</v>
      </c>
      <c r="I20" s="86">
        <v>120</v>
      </c>
      <c r="J20" s="21">
        <f t="shared" si="0"/>
        <v>12000</v>
      </c>
      <c r="K20" s="7"/>
      <c r="V20" s="5">
        <f t="shared" si="2"/>
        <v>1</v>
      </c>
      <c r="W20" s="5">
        <f t="shared" si="3"/>
        <v>0</v>
      </c>
    </row>
    <row r="21" spans="1:23" x14ac:dyDescent="0.3">
      <c r="A21" s="6"/>
      <c r="B21" s="17">
        <v>16</v>
      </c>
      <c r="C21" s="85">
        <v>45365</v>
      </c>
      <c r="D21" s="86" t="s">
        <v>18</v>
      </c>
      <c r="E21" s="86" t="s">
        <v>1005</v>
      </c>
      <c r="F21" s="86">
        <v>140</v>
      </c>
      <c r="G21" s="86">
        <v>240</v>
      </c>
      <c r="H21" s="87">
        <v>100</v>
      </c>
      <c r="I21" s="86">
        <v>120</v>
      </c>
      <c r="J21" s="21">
        <f t="shared" si="0"/>
        <v>12000</v>
      </c>
      <c r="K21" s="7"/>
      <c r="O21" s="22"/>
      <c r="P21" s="22"/>
      <c r="Q21" s="22"/>
      <c r="R21" s="22"/>
      <c r="V21" s="5">
        <f t="shared" si="2"/>
        <v>1</v>
      </c>
      <c r="W21" s="5">
        <f t="shared" si="3"/>
        <v>0</v>
      </c>
    </row>
    <row r="22" spans="1:23" x14ac:dyDescent="0.3">
      <c r="A22" s="6"/>
      <c r="B22" s="88">
        <v>17</v>
      </c>
      <c r="C22" s="18">
        <v>45365</v>
      </c>
      <c r="D22" s="19" t="s">
        <v>18</v>
      </c>
      <c r="E22" s="19" t="s">
        <v>960</v>
      </c>
      <c r="F22" s="35">
        <v>160</v>
      </c>
      <c r="G22" s="35">
        <v>203</v>
      </c>
      <c r="H22" s="35">
        <f>203-160</f>
        <v>43</v>
      </c>
      <c r="I22" s="86">
        <v>120</v>
      </c>
      <c r="J22" s="21">
        <f t="shared" si="0"/>
        <v>5160</v>
      </c>
      <c r="K22" s="7"/>
      <c r="V22" s="5">
        <f t="shared" si="2"/>
        <v>1</v>
      </c>
      <c r="W22" s="5">
        <f t="shared" si="3"/>
        <v>0</v>
      </c>
    </row>
    <row r="23" spans="1:23" x14ac:dyDescent="0.3">
      <c r="A23" s="6"/>
      <c r="B23" s="17">
        <v>18</v>
      </c>
      <c r="C23" s="18">
        <v>45366</v>
      </c>
      <c r="D23" s="19" t="s">
        <v>18</v>
      </c>
      <c r="E23" s="19" t="s">
        <v>945</v>
      </c>
      <c r="F23" s="35">
        <v>150</v>
      </c>
      <c r="G23" s="35">
        <v>100</v>
      </c>
      <c r="H23" s="35">
        <v>-50</v>
      </c>
      <c r="I23" s="86">
        <v>120</v>
      </c>
      <c r="J23" s="21">
        <f t="shared" si="0"/>
        <v>-6000</v>
      </c>
      <c r="K23" s="7"/>
      <c r="V23" s="5">
        <f t="shared" si="2"/>
        <v>0</v>
      </c>
      <c r="W23" s="5">
        <f t="shared" si="3"/>
        <v>1</v>
      </c>
    </row>
    <row r="24" spans="1:23" x14ac:dyDescent="0.3">
      <c r="A24" s="6"/>
      <c r="B24" s="88">
        <v>19</v>
      </c>
      <c r="C24" s="18">
        <v>45366</v>
      </c>
      <c r="D24" s="19" t="s">
        <v>18</v>
      </c>
      <c r="E24" s="19" t="s">
        <v>892</v>
      </c>
      <c r="F24" s="35">
        <v>150</v>
      </c>
      <c r="G24" s="35">
        <v>183</v>
      </c>
      <c r="H24" s="35">
        <v>33</v>
      </c>
      <c r="I24" s="20">
        <v>120</v>
      </c>
      <c r="J24" s="21">
        <f t="shared" si="0"/>
        <v>3960</v>
      </c>
      <c r="K24" s="7"/>
      <c r="V24" s="5">
        <f t="shared" si="2"/>
        <v>1</v>
      </c>
      <c r="W24" s="5">
        <f t="shared" si="3"/>
        <v>0</v>
      </c>
    </row>
    <row r="25" spans="1:23" x14ac:dyDescent="0.3">
      <c r="A25" s="6"/>
      <c r="B25" s="17">
        <v>20</v>
      </c>
      <c r="C25" s="18">
        <v>45369</v>
      </c>
      <c r="D25" s="19" t="s">
        <v>18</v>
      </c>
      <c r="E25" s="19" t="s">
        <v>978</v>
      </c>
      <c r="F25" s="35">
        <v>140</v>
      </c>
      <c r="G25" s="35">
        <v>90</v>
      </c>
      <c r="H25" s="35">
        <v>-50</v>
      </c>
      <c r="I25" s="20">
        <v>120</v>
      </c>
      <c r="J25" s="21">
        <f t="shared" si="0"/>
        <v>-6000</v>
      </c>
      <c r="K25" s="7"/>
      <c r="V25" s="5">
        <f t="shared" si="2"/>
        <v>0</v>
      </c>
      <c r="W25" s="5">
        <f t="shared" si="3"/>
        <v>1</v>
      </c>
    </row>
    <row r="26" spans="1:23" x14ac:dyDescent="0.3">
      <c r="A26" s="6"/>
      <c r="B26" s="88">
        <v>21</v>
      </c>
      <c r="C26" s="18">
        <v>45369</v>
      </c>
      <c r="D26" s="19" t="s">
        <v>18</v>
      </c>
      <c r="E26" s="19" t="s">
        <v>944</v>
      </c>
      <c r="F26" s="35">
        <v>150</v>
      </c>
      <c r="G26" s="35">
        <v>225</v>
      </c>
      <c r="H26" s="35">
        <f>225-150</f>
        <v>75</v>
      </c>
      <c r="I26" s="20">
        <v>120</v>
      </c>
      <c r="J26" s="21">
        <f t="shared" si="0"/>
        <v>9000</v>
      </c>
      <c r="K26" s="7"/>
      <c r="V26" s="5">
        <f t="shared" si="2"/>
        <v>1</v>
      </c>
      <c r="W26" s="5">
        <f t="shared" si="3"/>
        <v>0</v>
      </c>
    </row>
    <row r="27" spans="1:23" x14ac:dyDescent="0.3">
      <c r="A27" s="6"/>
      <c r="B27" s="17">
        <v>22</v>
      </c>
      <c r="C27" s="18">
        <v>45370</v>
      </c>
      <c r="D27" s="19" t="s">
        <v>18</v>
      </c>
      <c r="E27" s="19" t="s">
        <v>997</v>
      </c>
      <c r="F27" s="35">
        <v>130</v>
      </c>
      <c r="G27" s="35">
        <v>161</v>
      </c>
      <c r="H27" s="19">
        <f>161-130</f>
        <v>31</v>
      </c>
      <c r="I27" s="20">
        <v>120</v>
      </c>
      <c r="J27" s="21">
        <f t="shared" si="0"/>
        <v>3720</v>
      </c>
      <c r="K27" s="7"/>
      <c r="V27" s="5">
        <f t="shared" si="2"/>
        <v>1</v>
      </c>
      <c r="W27" s="5">
        <f t="shared" si="3"/>
        <v>0</v>
      </c>
    </row>
    <row r="28" spans="1:23" x14ac:dyDescent="0.3">
      <c r="A28" s="6"/>
      <c r="B28" s="88">
        <v>23</v>
      </c>
      <c r="C28" s="18">
        <v>45370</v>
      </c>
      <c r="D28" s="19" t="s">
        <v>18</v>
      </c>
      <c r="E28" s="19" t="s">
        <v>1010</v>
      </c>
      <c r="F28" s="35">
        <v>150</v>
      </c>
      <c r="G28" s="35">
        <v>200</v>
      </c>
      <c r="H28" s="19">
        <v>50</v>
      </c>
      <c r="I28" s="20">
        <v>120</v>
      </c>
      <c r="J28" s="21">
        <f t="shared" si="0"/>
        <v>6000</v>
      </c>
      <c r="K28" s="7"/>
      <c r="V28" s="5">
        <f t="shared" si="2"/>
        <v>1</v>
      </c>
      <c r="W28" s="5">
        <f t="shared" si="3"/>
        <v>0</v>
      </c>
    </row>
    <row r="29" spans="1:23" x14ac:dyDescent="0.3">
      <c r="A29" s="6"/>
      <c r="B29" s="17">
        <v>24</v>
      </c>
      <c r="C29" s="18">
        <v>45371</v>
      </c>
      <c r="D29" s="19" t="s">
        <v>18</v>
      </c>
      <c r="E29" s="19" t="s">
        <v>915</v>
      </c>
      <c r="F29" s="20">
        <v>130</v>
      </c>
      <c r="G29" s="20">
        <v>80</v>
      </c>
      <c r="H29" s="19">
        <v>-50</v>
      </c>
      <c r="I29" s="20">
        <v>120</v>
      </c>
      <c r="J29" s="21">
        <f t="shared" si="0"/>
        <v>-6000</v>
      </c>
      <c r="K29" s="7"/>
      <c r="V29" s="5">
        <f t="shared" si="2"/>
        <v>0</v>
      </c>
      <c r="W29" s="5">
        <f t="shared" si="3"/>
        <v>1</v>
      </c>
    </row>
    <row r="30" spans="1:23" x14ac:dyDescent="0.3">
      <c r="A30" s="6"/>
      <c r="B30" s="88">
        <v>25</v>
      </c>
      <c r="C30" s="24">
        <v>45371</v>
      </c>
      <c r="D30" s="25" t="s">
        <v>18</v>
      </c>
      <c r="E30" s="25" t="s">
        <v>999</v>
      </c>
      <c r="F30" s="26">
        <v>130</v>
      </c>
      <c r="G30" s="61">
        <v>230</v>
      </c>
      <c r="H30" s="61">
        <v>100</v>
      </c>
      <c r="I30" s="26">
        <v>120</v>
      </c>
      <c r="J30" s="21">
        <f t="shared" si="0"/>
        <v>12000</v>
      </c>
      <c r="K30" s="7"/>
      <c r="V30" s="5">
        <f t="shared" si="2"/>
        <v>1</v>
      </c>
      <c r="W30" s="5">
        <f t="shared" si="3"/>
        <v>0</v>
      </c>
    </row>
    <row r="31" spans="1:23" x14ac:dyDescent="0.3">
      <c r="A31" s="6"/>
      <c r="B31" s="17">
        <v>26</v>
      </c>
      <c r="C31" s="24">
        <v>45372</v>
      </c>
      <c r="D31" s="25" t="s">
        <v>18</v>
      </c>
      <c r="E31" s="25" t="s">
        <v>945</v>
      </c>
      <c r="F31" s="26">
        <v>160</v>
      </c>
      <c r="G31" s="61">
        <v>210</v>
      </c>
      <c r="H31" s="61">
        <f>210-160</f>
        <v>50</v>
      </c>
      <c r="I31" s="26">
        <v>120</v>
      </c>
      <c r="J31" s="21">
        <f t="shared" si="0"/>
        <v>6000</v>
      </c>
      <c r="K31" s="7"/>
      <c r="V31" s="5">
        <f t="shared" si="2"/>
        <v>1</v>
      </c>
      <c r="W31" s="5">
        <f t="shared" si="3"/>
        <v>0</v>
      </c>
    </row>
    <row r="32" spans="1:23" x14ac:dyDescent="0.3">
      <c r="A32" s="6"/>
      <c r="B32" s="88">
        <v>27</v>
      </c>
      <c r="C32" s="24">
        <v>45372</v>
      </c>
      <c r="D32" s="25" t="s">
        <v>18</v>
      </c>
      <c r="E32" s="25" t="s">
        <v>945</v>
      </c>
      <c r="F32" s="26">
        <v>160</v>
      </c>
      <c r="G32" s="61">
        <v>175</v>
      </c>
      <c r="H32" s="61">
        <v>15</v>
      </c>
      <c r="I32" s="26">
        <v>120</v>
      </c>
      <c r="J32" s="21">
        <f t="shared" si="0"/>
        <v>1800</v>
      </c>
      <c r="K32" s="7"/>
      <c r="V32" s="5">
        <f t="shared" si="2"/>
        <v>1</v>
      </c>
      <c r="W32" s="5">
        <f t="shared" si="3"/>
        <v>0</v>
      </c>
    </row>
    <row r="33" spans="1:23" x14ac:dyDescent="0.3">
      <c r="A33" s="6"/>
      <c r="B33" s="17">
        <v>28</v>
      </c>
      <c r="C33" s="24">
        <v>45373</v>
      </c>
      <c r="D33" s="25" t="s">
        <v>18</v>
      </c>
      <c r="E33" s="25" t="s">
        <v>947</v>
      </c>
      <c r="F33" s="26">
        <v>130</v>
      </c>
      <c r="G33" s="61">
        <v>80</v>
      </c>
      <c r="H33" s="61">
        <v>-50</v>
      </c>
      <c r="I33" s="26">
        <v>120</v>
      </c>
      <c r="J33" s="21">
        <f t="shared" si="0"/>
        <v>-6000</v>
      </c>
      <c r="K33" s="7"/>
      <c r="V33" s="5">
        <f t="shared" si="2"/>
        <v>0</v>
      </c>
      <c r="W33" s="5">
        <f t="shared" si="3"/>
        <v>1</v>
      </c>
    </row>
    <row r="34" spans="1:23" x14ac:dyDescent="0.3">
      <c r="A34" s="6"/>
      <c r="B34" s="88">
        <v>29</v>
      </c>
      <c r="C34" s="24">
        <v>45373</v>
      </c>
      <c r="D34" s="25" t="s">
        <v>18</v>
      </c>
      <c r="E34" s="25" t="s">
        <v>993</v>
      </c>
      <c r="F34" s="26">
        <v>150</v>
      </c>
      <c r="G34" s="61">
        <v>170</v>
      </c>
      <c r="H34" s="61">
        <v>20</v>
      </c>
      <c r="I34" s="26">
        <v>120</v>
      </c>
      <c r="J34" s="21">
        <f t="shared" si="0"/>
        <v>2400</v>
      </c>
      <c r="K34" s="7"/>
      <c r="V34" s="5">
        <f t="shared" si="2"/>
        <v>1</v>
      </c>
      <c r="W34" s="5">
        <f t="shared" si="3"/>
        <v>0</v>
      </c>
    </row>
    <row r="35" spans="1:23" x14ac:dyDescent="0.3">
      <c r="A35" s="6"/>
      <c r="B35" s="17">
        <v>30</v>
      </c>
      <c r="C35" s="24">
        <v>45377</v>
      </c>
      <c r="D35" s="25" t="s">
        <v>18</v>
      </c>
      <c r="E35" s="25" t="s">
        <v>996</v>
      </c>
      <c r="F35" s="26">
        <v>130</v>
      </c>
      <c r="G35" s="61">
        <v>145</v>
      </c>
      <c r="H35" s="61">
        <v>15</v>
      </c>
      <c r="I35" s="26">
        <v>120</v>
      </c>
      <c r="J35" s="21">
        <f t="shared" si="0"/>
        <v>1800</v>
      </c>
      <c r="K35" s="7"/>
      <c r="V35" s="5">
        <f t="shared" si="2"/>
        <v>1</v>
      </c>
      <c r="W35" s="5">
        <f t="shared" si="3"/>
        <v>0</v>
      </c>
    </row>
    <row r="36" spans="1:23" x14ac:dyDescent="0.3">
      <c r="A36" s="6"/>
      <c r="B36" s="88">
        <v>31</v>
      </c>
      <c r="C36" s="24">
        <v>45377</v>
      </c>
      <c r="D36" s="25" t="s">
        <v>18</v>
      </c>
      <c r="E36" s="25" t="s">
        <v>944</v>
      </c>
      <c r="F36" s="26">
        <v>140</v>
      </c>
      <c r="G36" s="61">
        <v>90</v>
      </c>
      <c r="H36" s="61">
        <v>-50</v>
      </c>
      <c r="I36" s="26">
        <v>120</v>
      </c>
      <c r="J36" s="21">
        <f t="shared" si="0"/>
        <v>-6000</v>
      </c>
      <c r="K36" s="7"/>
      <c r="V36" s="5">
        <f t="shared" si="2"/>
        <v>0</v>
      </c>
      <c r="W36" s="5">
        <f t="shared" si="3"/>
        <v>1</v>
      </c>
    </row>
    <row r="37" spans="1:23" x14ac:dyDescent="0.3">
      <c r="A37" s="6"/>
      <c r="B37" s="17">
        <v>32</v>
      </c>
      <c r="C37" s="24">
        <v>45378</v>
      </c>
      <c r="D37" s="25" t="s">
        <v>18</v>
      </c>
      <c r="E37" s="25" t="s">
        <v>997</v>
      </c>
      <c r="F37" s="26">
        <v>120</v>
      </c>
      <c r="G37" s="61">
        <v>144</v>
      </c>
      <c r="H37" s="61">
        <f>144-120</f>
        <v>24</v>
      </c>
      <c r="I37" s="26">
        <v>120</v>
      </c>
      <c r="J37" s="21">
        <f t="shared" si="0"/>
        <v>2880</v>
      </c>
      <c r="K37" s="7"/>
      <c r="V37" s="5">
        <f t="shared" si="2"/>
        <v>1</v>
      </c>
      <c r="W37" s="5">
        <f t="shared" si="3"/>
        <v>0</v>
      </c>
    </row>
    <row r="38" spans="1:23" x14ac:dyDescent="0.3">
      <c r="A38" s="6"/>
      <c r="B38" s="88">
        <v>33</v>
      </c>
      <c r="C38" s="24">
        <v>45379</v>
      </c>
      <c r="D38" s="25" t="s">
        <v>18</v>
      </c>
      <c r="E38" s="25" t="s">
        <v>960</v>
      </c>
      <c r="F38" s="26">
        <v>160</v>
      </c>
      <c r="G38" s="61">
        <v>210</v>
      </c>
      <c r="H38" s="61">
        <f>210-160</f>
        <v>50</v>
      </c>
      <c r="I38" s="26">
        <v>120</v>
      </c>
      <c r="J38" s="21">
        <f t="shared" si="0"/>
        <v>6000</v>
      </c>
      <c r="K38" s="7"/>
      <c r="V38" s="5">
        <f t="shared" si="2"/>
        <v>1</v>
      </c>
      <c r="W38" s="5">
        <f t="shared" si="3"/>
        <v>0</v>
      </c>
    </row>
    <row r="39" spans="1:23" ht="15" thickBot="1" x14ac:dyDescent="0.35">
      <c r="A39" s="6"/>
      <c r="B39" s="17">
        <v>34</v>
      </c>
      <c r="C39" s="24">
        <v>45379</v>
      </c>
      <c r="D39" s="25" t="s">
        <v>18</v>
      </c>
      <c r="E39" s="25" t="s">
        <v>949</v>
      </c>
      <c r="F39" s="26">
        <v>160</v>
      </c>
      <c r="G39" s="61">
        <v>260</v>
      </c>
      <c r="H39" s="61">
        <v>100</v>
      </c>
      <c r="I39" s="26">
        <v>120</v>
      </c>
      <c r="J39" s="21">
        <f t="shared" si="0"/>
        <v>12000</v>
      </c>
      <c r="K39" s="7"/>
      <c r="V39" s="5">
        <f t="shared" si="2"/>
        <v>1</v>
      </c>
      <c r="W39" s="5">
        <f t="shared" si="3"/>
        <v>0</v>
      </c>
    </row>
    <row r="40" spans="1:23" hidden="1" x14ac:dyDescent="0.3">
      <c r="A40" s="6"/>
      <c r="B40" s="88">
        <v>35</v>
      </c>
      <c r="C40" s="24"/>
      <c r="D40" s="25"/>
      <c r="E40" s="25"/>
      <c r="F40" s="26"/>
      <c r="G40" s="61"/>
      <c r="H40" s="61"/>
      <c r="I40" s="26"/>
      <c r="J40" s="21">
        <f t="shared" si="0"/>
        <v>0</v>
      </c>
      <c r="K40" s="7"/>
      <c r="V40" s="5">
        <f t="shared" si="2"/>
        <v>0</v>
      </c>
      <c r="W40" s="5">
        <f t="shared" si="3"/>
        <v>0</v>
      </c>
    </row>
    <row r="41" spans="1:23" hidden="1" x14ac:dyDescent="0.3">
      <c r="A41" s="6"/>
      <c r="B41" s="17">
        <v>36</v>
      </c>
      <c r="C41" s="18"/>
      <c r="D41" s="19"/>
      <c r="E41" s="19"/>
      <c r="F41" s="35"/>
      <c r="G41" s="35"/>
      <c r="H41" s="35"/>
      <c r="I41" s="26"/>
      <c r="J41" s="21">
        <f t="shared" si="0"/>
        <v>0</v>
      </c>
      <c r="K41" s="7"/>
      <c r="V41" s="5">
        <f t="shared" si="2"/>
        <v>0</v>
      </c>
      <c r="W41" s="5">
        <f t="shared" si="3"/>
        <v>0</v>
      </c>
    </row>
    <row r="42" spans="1:23" hidden="1" x14ac:dyDescent="0.3">
      <c r="A42" s="6"/>
      <c r="B42" s="17">
        <v>37</v>
      </c>
      <c r="C42" s="18"/>
      <c r="D42" s="19"/>
      <c r="E42" s="19"/>
      <c r="F42" s="35"/>
      <c r="G42" s="35"/>
      <c r="H42" s="35"/>
      <c r="I42" s="26"/>
      <c r="J42" s="21">
        <f t="shared" si="0"/>
        <v>0</v>
      </c>
      <c r="K42" s="7"/>
      <c r="V42" s="5">
        <f t="shared" si="2"/>
        <v>0</v>
      </c>
      <c r="W42" s="5">
        <f t="shared" si="3"/>
        <v>0</v>
      </c>
    </row>
    <row r="43" spans="1:23" hidden="1" x14ac:dyDescent="0.3">
      <c r="A43" s="6"/>
      <c r="B43" s="17">
        <v>38</v>
      </c>
      <c r="C43" s="18"/>
      <c r="D43" s="19"/>
      <c r="E43" s="19"/>
      <c r="F43" s="35"/>
      <c r="G43" s="35"/>
      <c r="H43" s="35"/>
      <c r="I43" s="26"/>
      <c r="J43" s="21">
        <f t="shared" si="0"/>
        <v>0</v>
      </c>
      <c r="K43" s="7"/>
      <c r="V43" s="5">
        <f t="shared" si="2"/>
        <v>0</v>
      </c>
      <c r="W43" s="5">
        <f t="shared" si="3"/>
        <v>0</v>
      </c>
    </row>
    <row r="44" spans="1:23" hidden="1" x14ac:dyDescent="0.3">
      <c r="A44" s="6"/>
      <c r="B44" s="17">
        <v>39</v>
      </c>
      <c r="C44" s="18"/>
      <c r="D44" s="19"/>
      <c r="E44" s="19"/>
      <c r="F44" s="35"/>
      <c r="G44" s="35"/>
      <c r="H44" s="35"/>
      <c r="I44" s="26"/>
      <c r="J44" s="21">
        <f t="shared" si="0"/>
        <v>0</v>
      </c>
      <c r="K44" s="7"/>
      <c r="V44" s="5">
        <f t="shared" si="2"/>
        <v>0</v>
      </c>
      <c r="W44" s="5">
        <f t="shared" si="3"/>
        <v>0</v>
      </c>
    </row>
    <row r="45" spans="1:23" hidden="1" x14ac:dyDescent="0.3">
      <c r="A45" s="6"/>
      <c r="B45" s="17">
        <v>40</v>
      </c>
      <c r="C45" s="24"/>
      <c r="D45" s="25"/>
      <c r="E45" s="25"/>
      <c r="F45" s="26"/>
      <c r="G45" s="61"/>
      <c r="H45" s="61"/>
      <c r="I45" s="26"/>
      <c r="J45" s="21">
        <f t="shared" si="0"/>
        <v>0</v>
      </c>
      <c r="K45" s="7"/>
      <c r="V45" s="5">
        <f t="shared" si="2"/>
        <v>0</v>
      </c>
      <c r="W45" s="5">
        <f t="shared" si="3"/>
        <v>0</v>
      </c>
    </row>
    <row r="46" spans="1:23" hidden="1" x14ac:dyDescent="0.3">
      <c r="A46" s="6"/>
      <c r="B46" s="17">
        <v>41</v>
      </c>
      <c r="C46" s="24"/>
      <c r="D46" s="25"/>
      <c r="E46" s="25"/>
      <c r="F46" s="26"/>
      <c r="G46" s="61"/>
      <c r="H46" s="61"/>
      <c r="I46" s="26"/>
      <c r="J46" s="21">
        <f t="shared" si="0"/>
        <v>0</v>
      </c>
      <c r="K46" s="7"/>
      <c r="V46" s="5">
        <f t="shared" si="2"/>
        <v>0</v>
      </c>
      <c r="W46" s="5">
        <f t="shared" si="3"/>
        <v>0</v>
      </c>
    </row>
    <row r="47" spans="1:23" hidden="1" x14ac:dyDescent="0.3">
      <c r="A47" s="6"/>
      <c r="B47" s="17">
        <v>40</v>
      </c>
      <c r="C47" s="24"/>
      <c r="D47" s="25"/>
      <c r="E47" s="25"/>
      <c r="F47" s="26"/>
      <c r="G47" s="61"/>
      <c r="H47" s="61"/>
      <c r="I47" s="26"/>
      <c r="J47" s="21">
        <f t="shared" si="0"/>
        <v>0</v>
      </c>
      <c r="K47" s="7"/>
      <c r="V47" s="5">
        <f t="shared" si="2"/>
        <v>0</v>
      </c>
      <c r="W47" s="5">
        <f t="shared" si="3"/>
        <v>0</v>
      </c>
    </row>
    <row r="48" spans="1:23" hidden="1" x14ac:dyDescent="0.3">
      <c r="A48" s="6"/>
      <c r="B48" s="17">
        <v>41</v>
      </c>
      <c r="C48" s="24"/>
      <c r="D48" s="25"/>
      <c r="E48" s="25"/>
      <c r="F48" s="26"/>
      <c r="G48" s="61"/>
      <c r="H48" s="61"/>
      <c r="I48" s="26"/>
      <c r="J48" s="21">
        <f t="shared" si="0"/>
        <v>0</v>
      </c>
      <c r="K48" s="7"/>
      <c r="V48" s="5">
        <f t="shared" si="2"/>
        <v>0</v>
      </c>
      <c r="W48" s="5">
        <f t="shared" si="3"/>
        <v>0</v>
      </c>
    </row>
    <row r="49" spans="1:23" ht="15" hidden="1" thickBot="1" x14ac:dyDescent="0.35">
      <c r="A49" s="6"/>
      <c r="B49" s="88">
        <v>39</v>
      </c>
      <c r="C49" s="24"/>
      <c r="D49" s="25"/>
      <c r="E49" s="25"/>
      <c r="F49" s="26"/>
      <c r="G49" s="61"/>
      <c r="H49" s="61"/>
      <c r="I49" s="26"/>
      <c r="J49" s="21">
        <f t="shared" si="0"/>
        <v>0</v>
      </c>
      <c r="K49" s="7"/>
      <c r="V49" s="5">
        <f t="shared" si="2"/>
        <v>0</v>
      </c>
      <c r="W49" s="5">
        <f t="shared" si="3"/>
        <v>0</v>
      </c>
    </row>
    <row r="50" spans="1:23" ht="15" hidden="1" thickBot="1" x14ac:dyDescent="0.35">
      <c r="A50" s="6"/>
      <c r="B50" s="17">
        <v>40</v>
      </c>
      <c r="C50" s="24"/>
      <c r="D50" s="25"/>
      <c r="E50" s="25"/>
      <c r="F50" s="26"/>
      <c r="G50" s="61"/>
      <c r="H50" s="61"/>
      <c r="I50" s="26"/>
      <c r="J50" s="21">
        <f t="shared" si="0"/>
        <v>0</v>
      </c>
      <c r="K50" s="7"/>
      <c r="V50" s="5">
        <f t="shared" si="2"/>
        <v>0</v>
      </c>
      <c r="W50" s="5">
        <f t="shared" si="3"/>
        <v>0</v>
      </c>
    </row>
    <row r="51" spans="1:23" ht="15" hidden="1" thickBot="1" x14ac:dyDescent="0.35">
      <c r="A51" s="6"/>
      <c r="B51" s="88">
        <v>41</v>
      </c>
      <c r="C51" s="24"/>
      <c r="D51" s="25"/>
      <c r="E51" s="25"/>
      <c r="F51" s="26"/>
      <c r="G51" s="61"/>
      <c r="H51" s="61"/>
      <c r="I51" s="26"/>
      <c r="J51" s="21">
        <f t="shared" si="0"/>
        <v>0</v>
      </c>
      <c r="K51" s="7"/>
      <c r="V51" s="5">
        <f t="shared" si="2"/>
        <v>0</v>
      </c>
      <c r="W51" s="5">
        <f t="shared" si="3"/>
        <v>0</v>
      </c>
    </row>
    <row r="52" spans="1:23" ht="15" hidden="1" thickBot="1" x14ac:dyDescent="0.35">
      <c r="A52" s="6"/>
      <c r="B52" s="17">
        <v>42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2"/>
        <v>0</v>
      </c>
      <c r="W52" s="5">
        <f t="shared" si="3"/>
        <v>0</v>
      </c>
    </row>
    <row r="53" spans="1:23" ht="15" hidden="1" thickBot="1" x14ac:dyDescent="0.35">
      <c r="A53" s="6"/>
      <c r="B53" s="88">
        <v>43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2"/>
        <v>0</v>
      </c>
      <c r="W53" s="5">
        <f t="shared" si="3"/>
        <v>0</v>
      </c>
    </row>
    <row r="54" spans="1:23" ht="15" hidden="1" thickBot="1" x14ac:dyDescent="0.35">
      <c r="A54" s="6"/>
      <c r="B54" s="17">
        <v>44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2"/>
        <v>0</v>
      </c>
      <c r="W54" s="5">
        <f t="shared" si="3"/>
        <v>0</v>
      </c>
    </row>
    <row r="55" spans="1:23" ht="15" hidden="1" thickBot="1" x14ac:dyDescent="0.35">
      <c r="A55" s="6"/>
      <c r="B55" s="88">
        <v>45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2"/>
        <v>0</v>
      </c>
      <c r="W55" s="5">
        <f t="shared" si="3"/>
        <v>0</v>
      </c>
    </row>
    <row r="56" spans="1:23" ht="15" hidden="1" thickBot="1" x14ac:dyDescent="0.35">
      <c r="A56" s="6"/>
      <c r="B56" s="17">
        <v>46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2"/>
        <v>0</v>
      </c>
      <c r="W56" s="5">
        <f t="shared" si="3"/>
        <v>0</v>
      </c>
    </row>
    <row r="57" spans="1:23" ht="15" hidden="1" thickBot="1" x14ac:dyDescent="0.35">
      <c r="A57" s="6"/>
      <c r="B57" s="88">
        <v>47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2"/>
        <v>0</v>
      </c>
      <c r="W57" s="5">
        <f t="shared" si="3"/>
        <v>0</v>
      </c>
    </row>
    <row r="58" spans="1:23" ht="15" hidden="1" thickBot="1" x14ac:dyDescent="0.35">
      <c r="A58" s="6"/>
      <c r="B58" s="17">
        <v>48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2"/>
        <v>0</v>
      </c>
      <c r="W58" s="5">
        <f t="shared" si="3"/>
        <v>0</v>
      </c>
    </row>
    <row r="59" spans="1:23" ht="15" hidden="1" thickBot="1" x14ac:dyDescent="0.35">
      <c r="A59" s="6"/>
      <c r="B59" s="88">
        <v>49</v>
      </c>
      <c r="C59" s="24"/>
      <c r="D59" s="25"/>
      <c r="E59" s="25"/>
      <c r="F59" s="26"/>
      <c r="G59" s="61"/>
      <c r="H59" s="61"/>
      <c r="I59" s="26"/>
      <c r="J59" s="21">
        <f t="shared" si="0"/>
        <v>0</v>
      </c>
      <c r="K59" s="7"/>
      <c r="V59" s="5">
        <f t="shared" si="2"/>
        <v>0</v>
      </c>
      <c r="W59" s="5">
        <f t="shared" si="3"/>
        <v>0</v>
      </c>
    </row>
    <row r="60" spans="1:23" ht="15" hidden="1" thickBot="1" x14ac:dyDescent="0.35">
      <c r="A60" s="6"/>
      <c r="B60" s="17">
        <v>50</v>
      </c>
      <c r="C60" s="24"/>
      <c r="D60" s="25"/>
      <c r="E60" s="25"/>
      <c r="F60" s="26"/>
      <c r="G60" s="61"/>
      <c r="H60" s="61"/>
      <c r="I60" s="26"/>
      <c r="J60" s="21">
        <f t="shared" si="0"/>
        <v>0</v>
      </c>
      <c r="K60" s="7"/>
      <c r="V60" s="5">
        <f t="shared" si="2"/>
        <v>0</v>
      </c>
      <c r="W60" s="5">
        <f t="shared" si="3"/>
        <v>0</v>
      </c>
    </row>
    <row r="61" spans="1:23" ht="24" thickBot="1" x14ac:dyDescent="0.5">
      <c r="A61" s="6"/>
      <c r="B61" s="144" t="s">
        <v>22</v>
      </c>
      <c r="C61" s="145"/>
      <c r="D61" s="145"/>
      <c r="E61" s="145"/>
      <c r="F61" s="145"/>
      <c r="G61" s="145"/>
      <c r="H61" s="146"/>
      <c r="I61" s="28" t="s">
        <v>23</v>
      </c>
      <c r="J61" s="29">
        <f>SUM(J6:J60)</f>
        <v>131280</v>
      </c>
      <c r="K61" s="7"/>
      <c r="V61" s="5">
        <f>SUM(V6:V60)</f>
        <v>27</v>
      </c>
      <c r="W61" s="5">
        <f>SUM(W6:W60)</f>
        <v>7</v>
      </c>
    </row>
    <row r="62" spans="1:23" ht="30" customHeight="1" thickBot="1" x14ac:dyDescent="0.35">
      <c r="A62" s="30"/>
      <c r="B62" s="31"/>
      <c r="C62" s="31"/>
      <c r="D62" s="31"/>
      <c r="E62" s="31"/>
      <c r="F62" s="31"/>
      <c r="G62" s="31"/>
      <c r="H62" s="32"/>
      <c r="I62" s="31"/>
      <c r="J62" s="32"/>
      <c r="K62" s="33"/>
      <c r="L62" s="36"/>
      <c r="M62" s="36"/>
      <c r="N62" s="36"/>
      <c r="O62" s="36"/>
      <c r="P62" s="36"/>
      <c r="Q62" s="36"/>
      <c r="R62" s="36"/>
    </row>
    <row r="63" spans="1:23" hidden="1" x14ac:dyDescent="0.3">
      <c r="L63" s="36"/>
      <c r="M63" s="36"/>
      <c r="N63" s="36"/>
      <c r="O63" s="22"/>
      <c r="P63" s="22"/>
      <c r="Q63" s="22"/>
      <c r="R63" s="22"/>
    </row>
    <row r="64" spans="1:23" s="36" customFormat="1" ht="30" hidden="1" customHeight="1" thickBot="1" x14ac:dyDescent="0.35">
      <c r="A64" s="1"/>
      <c r="B64" s="2"/>
      <c r="C64" s="2"/>
      <c r="D64" s="2"/>
      <c r="E64" s="2"/>
      <c r="F64" s="2"/>
      <c r="G64" s="2"/>
      <c r="H64" s="3"/>
      <c r="I64" s="2"/>
      <c r="J64" s="3"/>
      <c r="K64" s="4"/>
    </row>
    <row r="65" spans="1:23" s="36" customFormat="1" ht="25.2" hidden="1" thickBot="1" x14ac:dyDescent="0.35">
      <c r="A65" s="6" t="s">
        <v>1</v>
      </c>
      <c r="B65" s="119" t="s">
        <v>2</v>
      </c>
      <c r="C65" s="120"/>
      <c r="D65" s="120"/>
      <c r="E65" s="120"/>
      <c r="F65" s="120"/>
      <c r="G65" s="120"/>
      <c r="H65" s="120"/>
      <c r="I65" s="120"/>
      <c r="J65" s="121"/>
      <c r="K65" s="7"/>
    </row>
    <row r="66" spans="1:23" s="36" customFormat="1" ht="16.2" hidden="1" thickBot="1" x14ac:dyDescent="0.35">
      <c r="A66" s="6"/>
      <c r="B66" s="168" t="s">
        <v>972</v>
      </c>
      <c r="C66" s="169"/>
      <c r="D66" s="169"/>
      <c r="E66" s="169"/>
      <c r="F66" s="169"/>
      <c r="G66" s="169"/>
      <c r="H66" s="169"/>
      <c r="I66" s="169"/>
      <c r="J66" s="170"/>
      <c r="K66" s="7"/>
      <c r="L66" s="22"/>
    </row>
    <row r="67" spans="1:23" s="36" customFormat="1" ht="16.2" hidden="1" thickBot="1" x14ac:dyDescent="0.35">
      <c r="A67" s="6"/>
      <c r="B67" s="106" t="s">
        <v>90</v>
      </c>
      <c r="C67" s="107"/>
      <c r="D67" s="107"/>
      <c r="E67" s="107"/>
      <c r="F67" s="107"/>
      <c r="G67" s="107"/>
      <c r="H67" s="107"/>
      <c r="I67" s="107"/>
      <c r="J67" s="108"/>
      <c r="K67" s="7"/>
    </row>
    <row r="68" spans="1:23" s="22" customFormat="1" ht="15" hidden="1" thickBot="1" x14ac:dyDescent="0.35">
      <c r="A68" s="69"/>
      <c r="B68" s="8" t="s">
        <v>9</v>
      </c>
      <c r="C68" s="9" t="s">
        <v>10</v>
      </c>
      <c r="D68" s="10" t="s">
        <v>11</v>
      </c>
      <c r="E68" s="10" t="s">
        <v>12</v>
      </c>
      <c r="F68" s="11" t="s">
        <v>65</v>
      </c>
      <c r="G68" s="11" t="s">
        <v>66</v>
      </c>
      <c r="H68" s="12" t="s">
        <v>67</v>
      </c>
      <c r="I68" s="11" t="s">
        <v>68</v>
      </c>
      <c r="J68" s="13" t="s">
        <v>17</v>
      </c>
      <c r="K68" s="76"/>
      <c r="L68" s="36"/>
      <c r="M68" s="36"/>
      <c r="N68" s="36"/>
      <c r="O68" s="36" t="s">
        <v>21</v>
      </c>
      <c r="P68" s="36"/>
      <c r="Q68" s="36"/>
      <c r="R68" s="36"/>
      <c r="V68" s="5" t="s">
        <v>5</v>
      </c>
      <c r="W68" s="5" t="s">
        <v>6</v>
      </c>
    </row>
    <row r="69" spans="1:23" s="36" customFormat="1" hidden="1" x14ac:dyDescent="0.3">
      <c r="A69" s="6"/>
      <c r="B69" s="88">
        <v>1</v>
      </c>
      <c r="C69" s="66"/>
      <c r="D69" s="67"/>
      <c r="E69" s="67"/>
      <c r="F69" s="68"/>
      <c r="G69" s="68"/>
      <c r="H69" s="97"/>
      <c r="I69" s="68"/>
      <c r="J69" s="92">
        <f>H69*I69</f>
        <v>0</v>
      </c>
      <c r="K69" s="7"/>
      <c r="V69" s="5">
        <f t="shared" ref="V69:V122" si="5">IF($J69&gt;0,1,0)</f>
        <v>0</v>
      </c>
      <c r="W69" s="5">
        <f t="shared" ref="W69:W122" si="6">IF($J69&lt;0,1,0)</f>
        <v>0</v>
      </c>
    </row>
    <row r="70" spans="1:23" s="36" customFormat="1" hidden="1" x14ac:dyDescent="0.3">
      <c r="A70" s="6"/>
      <c r="B70" s="17">
        <f>B69+1</f>
        <v>2</v>
      </c>
      <c r="C70" s="66"/>
      <c r="D70" s="67"/>
      <c r="E70" s="67"/>
      <c r="F70" s="97"/>
      <c r="G70" s="97"/>
      <c r="H70" s="97"/>
      <c r="I70" s="20"/>
      <c r="J70" s="21">
        <f>H70*I70</f>
        <v>0</v>
      </c>
      <c r="K70" s="7"/>
      <c r="L70" s="36" t="s">
        <v>21</v>
      </c>
      <c r="V70" s="5">
        <f t="shared" si="5"/>
        <v>0</v>
      </c>
      <c r="W70" s="5">
        <f t="shared" si="6"/>
        <v>0</v>
      </c>
    </row>
    <row r="71" spans="1:23" s="36" customFormat="1" hidden="1" x14ac:dyDescent="0.3">
      <c r="A71" s="6"/>
      <c r="B71" s="17">
        <f t="shared" ref="B71:B122" si="7">B70+1</f>
        <v>3</v>
      </c>
      <c r="C71" s="18"/>
      <c r="D71" s="19"/>
      <c r="E71" s="19"/>
      <c r="F71" s="35"/>
      <c r="G71" s="97"/>
      <c r="H71" s="35"/>
      <c r="I71" s="20"/>
      <c r="J71" s="21">
        <f>H71*I71</f>
        <v>0</v>
      </c>
      <c r="K71" s="7"/>
      <c r="V71" s="5">
        <f t="shared" si="5"/>
        <v>0</v>
      </c>
      <c r="W71" s="5">
        <f t="shared" si="6"/>
        <v>0</v>
      </c>
    </row>
    <row r="72" spans="1:23" s="36" customFormat="1" hidden="1" x14ac:dyDescent="0.3">
      <c r="A72" s="6"/>
      <c r="B72" s="17">
        <f t="shared" si="7"/>
        <v>4</v>
      </c>
      <c r="C72" s="18"/>
      <c r="D72" s="19"/>
      <c r="E72" s="19"/>
      <c r="F72" s="35"/>
      <c r="G72" s="97"/>
      <c r="H72" s="35"/>
      <c r="I72" s="20"/>
      <c r="J72" s="21">
        <f>H72*I72</f>
        <v>0</v>
      </c>
      <c r="K72" s="7"/>
      <c r="V72" s="5">
        <f t="shared" si="5"/>
        <v>0</v>
      </c>
      <c r="W72" s="5">
        <f t="shared" si="6"/>
        <v>0</v>
      </c>
    </row>
    <row r="73" spans="1:23" s="36" customFormat="1" hidden="1" x14ac:dyDescent="0.3">
      <c r="A73" s="6"/>
      <c r="B73" s="17">
        <f t="shared" si="7"/>
        <v>5</v>
      </c>
      <c r="C73" s="18"/>
      <c r="D73" s="19"/>
      <c r="E73" s="19"/>
      <c r="F73" s="35"/>
      <c r="G73" s="97"/>
      <c r="H73" s="35"/>
      <c r="I73" s="20"/>
      <c r="J73" s="21">
        <f>H73*I73</f>
        <v>0</v>
      </c>
      <c r="K73" s="7"/>
      <c r="V73" s="5">
        <f t="shared" si="5"/>
        <v>0</v>
      </c>
      <c r="W73" s="5">
        <f t="shared" si="6"/>
        <v>0</v>
      </c>
    </row>
    <row r="74" spans="1:23" s="36" customFormat="1" hidden="1" x14ac:dyDescent="0.3">
      <c r="A74" s="6"/>
      <c r="B74" s="17">
        <f t="shared" si="7"/>
        <v>6</v>
      </c>
      <c r="C74" s="18"/>
      <c r="D74" s="19"/>
      <c r="E74" s="19"/>
      <c r="F74" s="20"/>
      <c r="G74" s="97"/>
      <c r="H74" s="35"/>
      <c r="I74" s="20"/>
      <c r="J74" s="21">
        <f t="shared" ref="J74:J122" si="8">I74*H74</f>
        <v>0</v>
      </c>
      <c r="K74" s="7"/>
      <c r="V74" s="5">
        <f t="shared" si="5"/>
        <v>0</v>
      </c>
      <c r="W74" s="5">
        <f t="shared" si="6"/>
        <v>0</v>
      </c>
    </row>
    <row r="75" spans="1:23" s="36" customFormat="1" hidden="1" x14ac:dyDescent="0.3">
      <c r="A75" s="6"/>
      <c r="B75" s="17">
        <f t="shared" si="7"/>
        <v>7</v>
      </c>
      <c r="C75" s="18"/>
      <c r="D75" s="19"/>
      <c r="E75" s="19"/>
      <c r="F75" s="35"/>
      <c r="G75" s="97"/>
      <c r="H75" s="35"/>
      <c r="I75" s="20"/>
      <c r="J75" s="21">
        <f t="shared" si="8"/>
        <v>0</v>
      </c>
      <c r="K75" s="7"/>
      <c r="V75" s="5">
        <f t="shared" si="5"/>
        <v>0</v>
      </c>
      <c r="W75" s="5">
        <f t="shared" si="6"/>
        <v>0</v>
      </c>
    </row>
    <row r="76" spans="1:23" s="36" customFormat="1" hidden="1" x14ac:dyDescent="0.3">
      <c r="A76" s="6"/>
      <c r="B76" s="17">
        <f t="shared" si="7"/>
        <v>8</v>
      </c>
      <c r="C76" s="18"/>
      <c r="D76" s="19"/>
      <c r="E76" s="19"/>
      <c r="F76" s="35"/>
      <c r="G76" s="97"/>
      <c r="H76" s="35"/>
      <c r="I76" s="20"/>
      <c r="J76" s="21">
        <f t="shared" si="8"/>
        <v>0</v>
      </c>
      <c r="K76" s="7"/>
      <c r="V76" s="5">
        <f t="shared" si="5"/>
        <v>0</v>
      </c>
      <c r="W76" s="5">
        <f t="shared" si="6"/>
        <v>0</v>
      </c>
    </row>
    <row r="77" spans="1:23" s="36" customFormat="1" hidden="1" x14ac:dyDescent="0.3">
      <c r="A77" s="6"/>
      <c r="B77" s="17">
        <f t="shared" si="7"/>
        <v>9</v>
      </c>
      <c r="C77" s="18"/>
      <c r="D77" s="19"/>
      <c r="E77" s="19"/>
      <c r="F77" s="35"/>
      <c r="G77" s="97"/>
      <c r="H77" s="35"/>
      <c r="I77" s="20"/>
      <c r="J77" s="21">
        <f t="shared" si="8"/>
        <v>0</v>
      </c>
      <c r="K77" s="7"/>
      <c r="V77" s="5">
        <f t="shared" si="5"/>
        <v>0</v>
      </c>
      <c r="W77" s="5">
        <f t="shared" si="6"/>
        <v>0</v>
      </c>
    </row>
    <row r="78" spans="1:23" s="36" customFormat="1" hidden="1" x14ac:dyDescent="0.3">
      <c r="A78" s="6"/>
      <c r="B78" s="17">
        <f t="shared" si="7"/>
        <v>10</v>
      </c>
      <c r="C78" s="18"/>
      <c r="D78" s="19"/>
      <c r="E78" s="19"/>
      <c r="F78" s="35"/>
      <c r="G78" s="97"/>
      <c r="H78" s="35"/>
      <c r="I78" s="20"/>
      <c r="J78" s="21">
        <f t="shared" si="8"/>
        <v>0</v>
      </c>
      <c r="K78" s="7"/>
      <c r="V78" s="5">
        <f t="shared" si="5"/>
        <v>0</v>
      </c>
      <c r="W78" s="5">
        <f t="shared" si="6"/>
        <v>0</v>
      </c>
    </row>
    <row r="79" spans="1:23" s="36" customFormat="1" hidden="1" x14ac:dyDescent="0.3">
      <c r="A79" s="6"/>
      <c r="B79" s="17">
        <f t="shared" si="7"/>
        <v>11</v>
      </c>
      <c r="C79" s="18"/>
      <c r="D79" s="19"/>
      <c r="E79" s="19"/>
      <c r="F79" s="19"/>
      <c r="G79" s="97"/>
      <c r="H79" s="35"/>
      <c r="I79" s="20"/>
      <c r="J79" s="21">
        <f t="shared" si="8"/>
        <v>0</v>
      </c>
      <c r="K79" s="7"/>
      <c r="V79" s="5">
        <f t="shared" si="5"/>
        <v>0</v>
      </c>
      <c r="W79" s="5">
        <f t="shared" si="6"/>
        <v>0</v>
      </c>
    </row>
    <row r="80" spans="1:23" s="36" customFormat="1" hidden="1" x14ac:dyDescent="0.3">
      <c r="A80" s="6"/>
      <c r="B80" s="17">
        <f t="shared" si="7"/>
        <v>12</v>
      </c>
      <c r="C80" s="18"/>
      <c r="D80" s="19"/>
      <c r="E80" s="19"/>
      <c r="F80" s="35"/>
      <c r="G80" s="97"/>
      <c r="H80" s="35"/>
      <c r="I80" s="20"/>
      <c r="J80" s="21">
        <f t="shared" si="8"/>
        <v>0</v>
      </c>
      <c r="K80" s="7"/>
      <c r="V80" s="5">
        <f t="shared" si="5"/>
        <v>0</v>
      </c>
      <c r="W80" s="5">
        <f t="shared" si="6"/>
        <v>0</v>
      </c>
    </row>
    <row r="81" spans="1:23" s="36" customFormat="1" hidden="1" x14ac:dyDescent="0.3">
      <c r="A81" s="6"/>
      <c r="B81" s="17">
        <f t="shared" si="7"/>
        <v>13</v>
      </c>
      <c r="C81" s="18"/>
      <c r="D81" s="19"/>
      <c r="E81" s="19"/>
      <c r="F81" s="77"/>
      <c r="G81" s="97"/>
      <c r="H81" s="78"/>
      <c r="I81" s="20"/>
      <c r="J81" s="21">
        <f t="shared" si="8"/>
        <v>0</v>
      </c>
      <c r="K81" s="7"/>
      <c r="V81" s="5">
        <f t="shared" si="5"/>
        <v>0</v>
      </c>
      <c r="W81" s="5">
        <f t="shared" si="6"/>
        <v>0</v>
      </c>
    </row>
    <row r="82" spans="1:23" s="36" customFormat="1" hidden="1" x14ac:dyDescent="0.3">
      <c r="A82" s="6"/>
      <c r="B82" s="17">
        <f t="shared" si="7"/>
        <v>14</v>
      </c>
      <c r="C82" s="18"/>
      <c r="D82" s="19"/>
      <c r="E82" s="19"/>
      <c r="F82" s="35"/>
      <c r="G82" s="97"/>
      <c r="H82" s="78"/>
      <c r="I82" s="20"/>
      <c r="J82" s="21">
        <f t="shared" si="8"/>
        <v>0</v>
      </c>
      <c r="K82" s="7"/>
      <c r="V82" s="5">
        <f t="shared" si="5"/>
        <v>0</v>
      </c>
      <c r="W82" s="5">
        <f t="shared" si="6"/>
        <v>0</v>
      </c>
    </row>
    <row r="83" spans="1:23" s="36" customFormat="1" hidden="1" x14ac:dyDescent="0.3">
      <c r="A83" s="6"/>
      <c r="B83" s="17">
        <f t="shared" si="7"/>
        <v>15</v>
      </c>
      <c r="C83" s="18"/>
      <c r="D83" s="19"/>
      <c r="E83" s="19"/>
      <c r="F83" s="35"/>
      <c r="G83" s="97"/>
      <c r="H83" s="78"/>
      <c r="I83" s="20"/>
      <c r="J83" s="21">
        <f t="shared" si="8"/>
        <v>0</v>
      </c>
      <c r="K83" s="7"/>
      <c r="V83" s="5">
        <f t="shared" si="5"/>
        <v>0</v>
      </c>
      <c r="W83" s="5">
        <f t="shared" si="6"/>
        <v>0</v>
      </c>
    </row>
    <row r="84" spans="1:23" s="36" customFormat="1" hidden="1" x14ac:dyDescent="0.3">
      <c r="A84" s="6"/>
      <c r="B84" s="17">
        <f t="shared" si="7"/>
        <v>16</v>
      </c>
      <c r="C84" s="18"/>
      <c r="D84" s="19"/>
      <c r="E84" s="19"/>
      <c r="F84" s="35"/>
      <c r="G84" s="97"/>
      <c r="H84" s="35"/>
      <c r="I84" s="20"/>
      <c r="J84" s="21">
        <f t="shared" si="8"/>
        <v>0</v>
      </c>
      <c r="K84" s="7"/>
      <c r="V84" s="5">
        <f t="shared" si="5"/>
        <v>0</v>
      </c>
      <c r="W84" s="5">
        <f t="shared" si="6"/>
        <v>0</v>
      </c>
    </row>
    <row r="85" spans="1:23" s="36" customFormat="1" hidden="1" x14ac:dyDescent="0.3">
      <c r="A85" s="6"/>
      <c r="B85" s="17">
        <f t="shared" si="7"/>
        <v>17</v>
      </c>
      <c r="C85" s="18"/>
      <c r="D85" s="19"/>
      <c r="E85" s="19"/>
      <c r="F85" s="35"/>
      <c r="G85" s="97"/>
      <c r="H85" s="35"/>
      <c r="I85" s="20"/>
      <c r="J85" s="21">
        <f t="shared" si="8"/>
        <v>0</v>
      </c>
      <c r="K85" s="7"/>
      <c r="V85" s="5">
        <f t="shared" si="5"/>
        <v>0</v>
      </c>
      <c r="W85" s="5">
        <f t="shared" si="6"/>
        <v>0</v>
      </c>
    </row>
    <row r="86" spans="1:23" s="36" customFormat="1" hidden="1" x14ac:dyDescent="0.3">
      <c r="A86" s="6"/>
      <c r="B86" s="17">
        <f t="shared" si="7"/>
        <v>18</v>
      </c>
      <c r="C86" s="18"/>
      <c r="D86" s="19"/>
      <c r="E86" s="19"/>
      <c r="F86" s="35"/>
      <c r="G86" s="97"/>
      <c r="H86" s="35"/>
      <c r="I86" s="20"/>
      <c r="J86" s="21">
        <f t="shared" si="8"/>
        <v>0</v>
      </c>
      <c r="K86" s="7"/>
      <c r="V86" s="5">
        <f t="shared" si="5"/>
        <v>0</v>
      </c>
      <c r="W86" s="5">
        <f t="shared" si="6"/>
        <v>0</v>
      </c>
    </row>
    <row r="87" spans="1:23" s="36" customFormat="1" hidden="1" x14ac:dyDescent="0.3">
      <c r="A87" s="6"/>
      <c r="B87" s="17">
        <f t="shared" si="7"/>
        <v>19</v>
      </c>
      <c r="C87" s="18"/>
      <c r="D87" s="19"/>
      <c r="E87" s="19"/>
      <c r="F87" s="35"/>
      <c r="G87" s="97"/>
      <c r="H87" s="35"/>
      <c r="I87" s="20"/>
      <c r="J87" s="21">
        <f t="shared" si="8"/>
        <v>0</v>
      </c>
      <c r="K87" s="7"/>
      <c r="V87" s="5">
        <f t="shared" si="5"/>
        <v>0</v>
      </c>
      <c r="W87" s="5">
        <f t="shared" si="6"/>
        <v>0</v>
      </c>
    </row>
    <row r="88" spans="1:23" s="36" customFormat="1" hidden="1" x14ac:dyDescent="0.3">
      <c r="A88" s="6"/>
      <c r="B88" s="17">
        <f t="shared" si="7"/>
        <v>20</v>
      </c>
      <c r="C88" s="18"/>
      <c r="D88" s="19"/>
      <c r="E88" s="19"/>
      <c r="F88" s="35"/>
      <c r="G88" s="97"/>
      <c r="H88" s="35"/>
      <c r="I88" s="20"/>
      <c r="J88" s="21">
        <f t="shared" si="8"/>
        <v>0</v>
      </c>
      <c r="K88" s="7"/>
      <c r="V88" s="5">
        <f t="shared" si="5"/>
        <v>0</v>
      </c>
      <c r="W88" s="5">
        <f t="shared" si="6"/>
        <v>0</v>
      </c>
    </row>
    <row r="89" spans="1:23" s="36" customFormat="1" hidden="1" x14ac:dyDescent="0.3">
      <c r="A89" s="6"/>
      <c r="B89" s="17">
        <f t="shared" si="7"/>
        <v>21</v>
      </c>
      <c r="C89" s="18"/>
      <c r="D89" s="19"/>
      <c r="E89" s="19"/>
      <c r="F89" s="35"/>
      <c r="G89" s="97"/>
      <c r="H89" s="35"/>
      <c r="I89" s="20"/>
      <c r="J89" s="21">
        <f t="shared" si="8"/>
        <v>0</v>
      </c>
      <c r="K89" s="7"/>
      <c r="V89" s="5">
        <f t="shared" si="5"/>
        <v>0</v>
      </c>
      <c r="W89" s="5">
        <f t="shared" si="6"/>
        <v>0</v>
      </c>
    </row>
    <row r="90" spans="1:23" s="36" customFormat="1" hidden="1" x14ac:dyDescent="0.3">
      <c r="A90" s="6"/>
      <c r="B90" s="17">
        <f t="shared" si="7"/>
        <v>22</v>
      </c>
      <c r="C90" s="18"/>
      <c r="D90" s="19"/>
      <c r="E90" s="19"/>
      <c r="F90" s="77"/>
      <c r="G90" s="97"/>
      <c r="H90" s="78"/>
      <c r="I90" s="20"/>
      <c r="J90" s="21">
        <f t="shared" si="8"/>
        <v>0</v>
      </c>
      <c r="K90" s="7"/>
      <c r="V90" s="5">
        <f t="shared" si="5"/>
        <v>0</v>
      </c>
      <c r="W90" s="5">
        <f t="shared" si="6"/>
        <v>0</v>
      </c>
    </row>
    <row r="91" spans="1:23" s="36" customFormat="1" hidden="1" x14ac:dyDescent="0.3">
      <c r="A91" s="6"/>
      <c r="B91" s="17">
        <f t="shared" si="7"/>
        <v>23</v>
      </c>
      <c r="C91" s="18"/>
      <c r="D91" s="19"/>
      <c r="E91" s="19"/>
      <c r="F91" s="35"/>
      <c r="G91" s="97"/>
      <c r="H91" s="78"/>
      <c r="I91" s="20"/>
      <c r="J91" s="21">
        <f t="shared" si="8"/>
        <v>0</v>
      </c>
      <c r="K91" s="7"/>
      <c r="V91" s="5">
        <f t="shared" si="5"/>
        <v>0</v>
      </c>
      <c r="W91" s="5">
        <f t="shared" si="6"/>
        <v>0</v>
      </c>
    </row>
    <row r="92" spans="1:23" s="36" customFormat="1" hidden="1" x14ac:dyDescent="0.3">
      <c r="A92" s="6"/>
      <c r="B92" s="17">
        <f t="shared" si="7"/>
        <v>24</v>
      </c>
      <c r="C92" s="18"/>
      <c r="D92" s="19"/>
      <c r="E92" s="19"/>
      <c r="F92" s="35"/>
      <c r="G92" s="97"/>
      <c r="H92" s="78"/>
      <c r="I92" s="20"/>
      <c r="J92" s="21">
        <f t="shared" si="8"/>
        <v>0</v>
      </c>
      <c r="K92" s="7"/>
      <c r="V92" s="5">
        <f t="shared" si="5"/>
        <v>0</v>
      </c>
      <c r="W92" s="5">
        <f t="shared" si="6"/>
        <v>0</v>
      </c>
    </row>
    <row r="93" spans="1:23" s="36" customFormat="1" hidden="1" x14ac:dyDescent="0.3">
      <c r="A93" s="6"/>
      <c r="B93" s="17">
        <f t="shared" si="7"/>
        <v>25</v>
      </c>
      <c r="C93" s="18"/>
      <c r="D93" s="19"/>
      <c r="E93" s="19"/>
      <c r="F93" s="35"/>
      <c r="G93" s="97"/>
      <c r="H93" s="35"/>
      <c r="I93" s="20"/>
      <c r="J93" s="21">
        <f t="shared" si="8"/>
        <v>0</v>
      </c>
      <c r="K93" s="7"/>
      <c r="V93" s="5">
        <f t="shared" si="5"/>
        <v>0</v>
      </c>
      <c r="W93" s="5">
        <f t="shared" si="6"/>
        <v>0</v>
      </c>
    </row>
    <row r="94" spans="1:23" s="36" customFormat="1" hidden="1" x14ac:dyDescent="0.3">
      <c r="A94" s="6"/>
      <c r="B94" s="17">
        <f t="shared" si="7"/>
        <v>26</v>
      </c>
      <c r="C94" s="18"/>
      <c r="D94" s="19"/>
      <c r="E94" s="19"/>
      <c r="F94" s="35"/>
      <c r="G94" s="97"/>
      <c r="H94" s="35"/>
      <c r="I94" s="20"/>
      <c r="J94" s="21">
        <f t="shared" si="8"/>
        <v>0</v>
      </c>
      <c r="K94" s="7"/>
      <c r="V94" s="5">
        <f t="shared" si="5"/>
        <v>0</v>
      </c>
      <c r="W94" s="5">
        <f t="shared" si="6"/>
        <v>0</v>
      </c>
    </row>
    <row r="95" spans="1:23" s="36" customFormat="1" hidden="1" x14ac:dyDescent="0.3">
      <c r="A95" s="6"/>
      <c r="B95" s="17">
        <f t="shared" si="7"/>
        <v>27</v>
      </c>
      <c r="C95" s="18"/>
      <c r="D95" s="19"/>
      <c r="E95" s="19"/>
      <c r="F95" s="35"/>
      <c r="G95" s="97"/>
      <c r="H95" s="35"/>
      <c r="I95" s="20"/>
      <c r="J95" s="21">
        <f t="shared" si="8"/>
        <v>0</v>
      </c>
      <c r="K95" s="7"/>
      <c r="V95" s="5">
        <f t="shared" si="5"/>
        <v>0</v>
      </c>
      <c r="W95" s="5">
        <f t="shared" si="6"/>
        <v>0</v>
      </c>
    </row>
    <row r="96" spans="1:23" s="36" customFormat="1" hidden="1" x14ac:dyDescent="0.3">
      <c r="A96" s="6"/>
      <c r="B96" s="17">
        <f t="shared" si="7"/>
        <v>28</v>
      </c>
      <c r="C96" s="18"/>
      <c r="D96" s="19"/>
      <c r="E96" s="19"/>
      <c r="F96" s="35"/>
      <c r="G96" s="97"/>
      <c r="H96" s="35"/>
      <c r="I96" s="20"/>
      <c r="J96" s="21">
        <f t="shared" si="8"/>
        <v>0</v>
      </c>
      <c r="K96" s="7"/>
      <c r="V96" s="5">
        <f t="shared" si="5"/>
        <v>0</v>
      </c>
      <c r="W96" s="5">
        <f t="shared" si="6"/>
        <v>0</v>
      </c>
    </row>
    <row r="97" spans="1:23" s="36" customFormat="1" hidden="1" x14ac:dyDescent="0.3">
      <c r="A97" s="6"/>
      <c r="B97" s="17">
        <f t="shared" si="7"/>
        <v>29</v>
      </c>
      <c r="C97" s="18"/>
      <c r="D97" s="19"/>
      <c r="E97" s="19"/>
      <c r="F97" s="35"/>
      <c r="G97" s="97"/>
      <c r="H97" s="35"/>
      <c r="I97" s="20"/>
      <c r="J97" s="21">
        <f t="shared" si="8"/>
        <v>0</v>
      </c>
      <c r="K97" s="7"/>
      <c r="V97" s="5">
        <f t="shared" si="5"/>
        <v>0</v>
      </c>
      <c r="W97" s="5">
        <f t="shared" si="6"/>
        <v>0</v>
      </c>
    </row>
    <row r="98" spans="1:23" s="36" customFormat="1" hidden="1" x14ac:dyDescent="0.3">
      <c r="A98" s="6"/>
      <c r="B98" s="17">
        <f t="shared" si="7"/>
        <v>30</v>
      </c>
      <c r="C98" s="18"/>
      <c r="D98" s="19"/>
      <c r="E98" s="19"/>
      <c r="F98" s="35"/>
      <c r="G98" s="97"/>
      <c r="H98" s="35"/>
      <c r="I98" s="20"/>
      <c r="J98" s="21">
        <f t="shared" si="8"/>
        <v>0</v>
      </c>
      <c r="K98" s="7"/>
      <c r="V98" s="5">
        <f t="shared" si="5"/>
        <v>0</v>
      </c>
      <c r="W98" s="5">
        <f t="shared" si="6"/>
        <v>0</v>
      </c>
    </row>
    <row r="99" spans="1:23" s="36" customFormat="1" hidden="1" x14ac:dyDescent="0.3">
      <c r="A99" s="6"/>
      <c r="B99" s="17">
        <f t="shared" si="7"/>
        <v>31</v>
      </c>
      <c r="C99" s="18"/>
      <c r="D99" s="19"/>
      <c r="E99" s="19"/>
      <c r="F99" s="35"/>
      <c r="G99" s="97"/>
      <c r="H99" s="35"/>
      <c r="I99" s="20"/>
      <c r="J99" s="21">
        <f t="shared" si="8"/>
        <v>0</v>
      </c>
      <c r="K99" s="7"/>
      <c r="V99" s="5">
        <f t="shared" si="5"/>
        <v>0</v>
      </c>
      <c r="W99" s="5">
        <f t="shared" si="6"/>
        <v>0</v>
      </c>
    </row>
    <row r="100" spans="1:23" s="36" customFormat="1" hidden="1" x14ac:dyDescent="0.3">
      <c r="A100" s="6"/>
      <c r="B100" s="17">
        <f t="shared" si="7"/>
        <v>32</v>
      </c>
      <c r="C100" s="18"/>
      <c r="D100" s="19"/>
      <c r="E100" s="19"/>
      <c r="F100" s="35"/>
      <c r="G100" s="97"/>
      <c r="H100" s="35"/>
      <c r="I100" s="20"/>
      <c r="J100" s="21">
        <f t="shared" si="8"/>
        <v>0</v>
      </c>
      <c r="K100" s="7"/>
      <c r="V100" s="5">
        <f t="shared" si="5"/>
        <v>0</v>
      </c>
      <c r="W100" s="5">
        <f t="shared" si="6"/>
        <v>0</v>
      </c>
    </row>
    <row r="101" spans="1:23" s="36" customFormat="1" hidden="1" x14ac:dyDescent="0.3">
      <c r="A101" s="6"/>
      <c r="B101" s="17">
        <f t="shared" si="7"/>
        <v>33</v>
      </c>
      <c r="C101" s="18"/>
      <c r="D101" s="19"/>
      <c r="E101" s="19"/>
      <c r="F101" s="35"/>
      <c r="G101" s="97"/>
      <c r="H101" s="35"/>
      <c r="I101" s="20"/>
      <c r="J101" s="21">
        <f t="shared" si="8"/>
        <v>0</v>
      </c>
      <c r="K101" s="7"/>
      <c r="V101" s="5">
        <f t="shared" si="5"/>
        <v>0</v>
      </c>
      <c r="W101" s="5">
        <f t="shared" si="6"/>
        <v>0</v>
      </c>
    </row>
    <row r="102" spans="1:23" s="36" customFormat="1" hidden="1" x14ac:dyDescent="0.3">
      <c r="A102" s="6"/>
      <c r="B102" s="17">
        <f t="shared" si="7"/>
        <v>34</v>
      </c>
      <c r="C102" s="18"/>
      <c r="D102" s="19"/>
      <c r="E102" s="19"/>
      <c r="F102" s="35"/>
      <c r="G102" s="97"/>
      <c r="H102" s="35"/>
      <c r="I102" s="20"/>
      <c r="J102" s="21">
        <f t="shared" si="8"/>
        <v>0</v>
      </c>
      <c r="K102" s="7"/>
      <c r="V102" s="5">
        <f t="shared" si="5"/>
        <v>0</v>
      </c>
      <c r="W102" s="5">
        <f t="shared" si="6"/>
        <v>0</v>
      </c>
    </row>
    <row r="103" spans="1:23" s="36" customFormat="1" hidden="1" x14ac:dyDescent="0.3">
      <c r="A103" s="6"/>
      <c r="B103" s="17">
        <v>35</v>
      </c>
      <c r="C103" s="18"/>
      <c r="D103" s="19"/>
      <c r="E103" s="19"/>
      <c r="F103" s="35"/>
      <c r="G103" s="97"/>
      <c r="H103" s="35"/>
      <c r="I103" s="20"/>
      <c r="J103" s="21">
        <f t="shared" si="8"/>
        <v>0</v>
      </c>
      <c r="K103" s="7"/>
      <c r="V103" s="5">
        <f t="shared" si="5"/>
        <v>0</v>
      </c>
      <c r="W103" s="5">
        <f t="shared" si="6"/>
        <v>0</v>
      </c>
    </row>
    <row r="104" spans="1:23" s="36" customFormat="1" hidden="1" x14ac:dyDescent="0.3">
      <c r="A104" s="6"/>
      <c r="B104" s="17">
        <v>36</v>
      </c>
      <c r="C104" s="18"/>
      <c r="D104" s="19"/>
      <c r="E104" s="19"/>
      <c r="F104" s="35"/>
      <c r="G104" s="97"/>
      <c r="H104" s="35"/>
      <c r="I104" s="20"/>
      <c r="J104" s="21">
        <f t="shared" si="8"/>
        <v>0</v>
      </c>
      <c r="K104" s="7"/>
      <c r="V104" s="5"/>
      <c r="W104" s="5"/>
    </row>
    <row r="105" spans="1:23" s="36" customFormat="1" hidden="1" x14ac:dyDescent="0.3">
      <c r="A105" s="6"/>
      <c r="B105" s="17">
        <v>37</v>
      </c>
      <c r="C105" s="18"/>
      <c r="D105" s="19"/>
      <c r="E105" s="19"/>
      <c r="F105" s="35"/>
      <c r="G105" s="97"/>
      <c r="H105" s="35"/>
      <c r="I105" s="20"/>
      <c r="J105" s="21">
        <f t="shared" si="8"/>
        <v>0</v>
      </c>
      <c r="K105" s="7"/>
      <c r="V105" s="5"/>
      <c r="W105" s="5"/>
    </row>
    <row r="106" spans="1:23" s="36" customFormat="1" hidden="1" x14ac:dyDescent="0.3">
      <c r="A106" s="6"/>
      <c r="B106" s="17">
        <v>38</v>
      </c>
      <c r="C106" s="18"/>
      <c r="D106" s="19"/>
      <c r="E106" s="19"/>
      <c r="F106" s="35"/>
      <c r="G106" s="97"/>
      <c r="H106" s="35"/>
      <c r="I106" s="20"/>
      <c r="J106" s="21">
        <f t="shared" si="8"/>
        <v>0</v>
      </c>
      <c r="K106" s="7"/>
      <c r="V106" s="5"/>
      <c r="W106" s="5"/>
    </row>
    <row r="107" spans="1:23" s="36" customFormat="1" hidden="1" x14ac:dyDescent="0.3">
      <c r="A107" s="6"/>
      <c r="B107" s="17">
        <v>39</v>
      </c>
      <c r="C107" s="18"/>
      <c r="D107" s="19"/>
      <c r="E107" s="19"/>
      <c r="F107" s="35"/>
      <c r="G107" s="97"/>
      <c r="H107" s="35"/>
      <c r="I107" s="20"/>
      <c r="J107" s="21">
        <f t="shared" si="8"/>
        <v>0</v>
      </c>
      <c r="K107" s="7"/>
      <c r="V107" s="5"/>
      <c r="W107" s="5"/>
    </row>
    <row r="108" spans="1:23" s="36" customFormat="1" hidden="1" x14ac:dyDescent="0.3">
      <c r="A108" s="6"/>
      <c r="B108" s="17">
        <v>40</v>
      </c>
      <c r="C108" s="18"/>
      <c r="D108" s="19"/>
      <c r="E108" s="19"/>
      <c r="F108" s="35"/>
      <c r="G108" s="97"/>
      <c r="H108" s="35"/>
      <c r="I108" s="20"/>
      <c r="J108" s="21">
        <f t="shared" si="8"/>
        <v>0</v>
      </c>
      <c r="K108" s="7"/>
      <c r="V108" s="5"/>
      <c r="W108" s="5"/>
    </row>
    <row r="109" spans="1:23" s="36" customFormat="1" hidden="1" x14ac:dyDescent="0.3">
      <c r="A109" s="6"/>
      <c r="B109" s="17">
        <v>41</v>
      </c>
      <c r="C109" s="18"/>
      <c r="D109" s="19"/>
      <c r="E109" s="19"/>
      <c r="F109" s="35"/>
      <c r="G109" s="97"/>
      <c r="H109" s="35"/>
      <c r="I109" s="20"/>
      <c r="J109" s="21">
        <f t="shared" si="8"/>
        <v>0</v>
      </c>
      <c r="K109" s="7"/>
      <c r="V109" s="5"/>
      <c r="W109" s="5"/>
    </row>
    <row r="110" spans="1:23" s="36" customFormat="1" hidden="1" x14ac:dyDescent="0.3">
      <c r="A110" s="6"/>
      <c r="B110" s="17">
        <v>42</v>
      </c>
      <c r="C110" s="18"/>
      <c r="D110" s="19"/>
      <c r="E110" s="19"/>
      <c r="F110" s="35"/>
      <c r="G110" s="97"/>
      <c r="H110" s="35"/>
      <c r="I110" s="20"/>
      <c r="J110" s="21">
        <f t="shared" si="8"/>
        <v>0</v>
      </c>
      <c r="K110" s="7"/>
      <c r="V110" s="5"/>
      <c r="W110" s="5"/>
    </row>
    <row r="111" spans="1:23" s="36" customFormat="1" hidden="1" x14ac:dyDescent="0.3">
      <c r="A111" s="6"/>
      <c r="B111" s="17">
        <v>43</v>
      </c>
      <c r="C111" s="18"/>
      <c r="D111" s="19"/>
      <c r="E111" s="19"/>
      <c r="F111" s="35"/>
      <c r="G111" s="97"/>
      <c r="H111" s="35"/>
      <c r="I111" s="20"/>
      <c r="J111" s="21">
        <f t="shared" si="8"/>
        <v>0</v>
      </c>
      <c r="K111" s="7"/>
      <c r="V111" s="5"/>
      <c r="W111" s="5"/>
    </row>
    <row r="112" spans="1:23" s="36" customFormat="1" hidden="1" x14ac:dyDescent="0.3">
      <c r="A112" s="6"/>
      <c r="B112" s="17">
        <v>40</v>
      </c>
      <c r="C112" s="18"/>
      <c r="D112" s="19"/>
      <c r="E112" s="19"/>
      <c r="F112" s="35"/>
      <c r="G112" s="97"/>
      <c r="H112" s="35"/>
      <c r="I112" s="20"/>
      <c r="J112" s="21">
        <f t="shared" si="8"/>
        <v>0</v>
      </c>
      <c r="K112" s="7"/>
      <c r="V112" s="5">
        <f t="shared" si="5"/>
        <v>0</v>
      </c>
      <c r="W112" s="5">
        <f t="shared" si="6"/>
        <v>0</v>
      </c>
    </row>
    <row r="113" spans="1:23" s="36" customFormat="1" hidden="1" x14ac:dyDescent="0.3">
      <c r="A113" s="6"/>
      <c r="B113" s="17">
        <v>41</v>
      </c>
      <c r="C113" s="18"/>
      <c r="D113" s="19"/>
      <c r="E113" s="19"/>
      <c r="F113" s="35"/>
      <c r="G113" s="97"/>
      <c r="H113" s="35"/>
      <c r="I113" s="20"/>
      <c r="J113" s="21">
        <f t="shared" si="8"/>
        <v>0</v>
      </c>
      <c r="K113" s="7"/>
      <c r="V113" s="5">
        <f t="shared" si="5"/>
        <v>0</v>
      </c>
      <c r="W113" s="5">
        <f t="shared" si="6"/>
        <v>0</v>
      </c>
    </row>
    <row r="114" spans="1:23" s="36" customFormat="1" hidden="1" x14ac:dyDescent="0.3">
      <c r="A114" s="6"/>
      <c r="B114" s="17">
        <f t="shared" si="7"/>
        <v>42</v>
      </c>
      <c r="C114" s="18"/>
      <c r="D114" s="19"/>
      <c r="E114" s="19"/>
      <c r="F114" s="35"/>
      <c r="G114" s="35"/>
      <c r="H114" s="35"/>
      <c r="I114" s="20"/>
      <c r="J114" s="21">
        <f t="shared" si="8"/>
        <v>0</v>
      </c>
      <c r="K114" s="7"/>
      <c r="V114" s="5">
        <f t="shared" si="5"/>
        <v>0</v>
      </c>
      <c r="W114" s="5">
        <f t="shared" si="6"/>
        <v>0</v>
      </c>
    </row>
    <row r="115" spans="1:23" s="36" customFormat="1" hidden="1" x14ac:dyDescent="0.3">
      <c r="A115" s="6"/>
      <c r="B115" s="17">
        <f t="shared" si="7"/>
        <v>43</v>
      </c>
      <c r="C115" s="18"/>
      <c r="D115" s="19"/>
      <c r="E115" s="19"/>
      <c r="F115" s="35"/>
      <c r="G115" s="35"/>
      <c r="H115" s="35"/>
      <c r="I115" s="20"/>
      <c r="J115" s="21">
        <f t="shared" si="8"/>
        <v>0</v>
      </c>
      <c r="K115" s="7"/>
      <c r="V115" s="5">
        <f t="shared" si="5"/>
        <v>0</v>
      </c>
      <c r="W115" s="5">
        <f t="shared" si="6"/>
        <v>0</v>
      </c>
    </row>
    <row r="116" spans="1:23" s="36" customFormat="1" hidden="1" x14ac:dyDescent="0.3">
      <c r="A116" s="6"/>
      <c r="B116" s="17">
        <f t="shared" si="7"/>
        <v>44</v>
      </c>
      <c r="C116" s="18"/>
      <c r="D116" s="19"/>
      <c r="E116" s="19"/>
      <c r="F116" s="35"/>
      <c r="G116" s="35"/>
      <c r="H116" s="35"/>
      <c r="I116" s="20"/>
      <c r="J116" s="21">
        <f t="shared" si="8"/>
        <v>0</v>
      </c>
      <c r="K116" s="7"/>
      <c r="V116" s="5">
        <f t="shared" si="5"/>
        <v>0</v>
      </c>
      <c r="W116" s="5">
        <f t="shared" si="6"/>
        <v>0</v>
      </c>
    </row>
    <row r="117" spans="1:23" s="36" customFormat="1" hidden="1" x14ac:dyDescent="0.3">
      <c r="A117" s="6"/>
      <c r="B117" s="17">
        <f t="shared" si="7"/>
        <v>45</v>
      </c>
      <c r="C117" s="18"/>
      <c r="D117" s="19"/>
      <c r="E117" s="19"/>
      <c r="F117" s="35"/>
      <c r="G117" s="35"/>
      <c r="H117" s="35"/>
      <c r="I117" s="20"/>
      <c r="J117" s="21">
        <f t="shared" si="8"/>
        <v>0</v>
      </c>
      <c r="K117" s="7"/>
      <c r="V117" s="5">
        <f t="shared" si="5"/>
        <v>0</v>
      </c>
      <c r="W117" s="5">
        <f t="shared" si="6"/>
        <v>0</v>
      </c>
    </row>
    <row r="118" spans="1:23" s="36" customFormat="1" hidden="1" x14ac:dyDescent="0.3">
      <c r="A118" s="6"/>
      <c r="B118" s="17">
        <f t="shared" si="7"/>
        <v>46</v>
      </c>
      <c r="C118" s="18"/>
      <c r="D118" s="19"/>
      <c r="E118" s="19"/>
      <c r="F118" s="35"/>
      <c r="G118" s="35"/>
      <c r="H118" s="35"/>
      <c r="I118" s="20"/>
      <c r="J118" s="21">
        <f t="shared" si="8"/>
        <v>0</v>
      </c>
      <c r="K118" s="7"/>
      <c r="V118" s="5">
        <f t="shared" si="5"/>
        <v>0</v>
      </c>
      <c r="W118" s="5">
        <f t="shared" si="6"/>
        <v>0</v>
      </c>
    </row>
    <row r="119" spans="1:23" s="36" customFormat="1" hidden="1" x14ac:dyDescent="0.3">
      <c r="A119" s="6"/>
      <c r="B119" s="17">
        <f t="shared" si="7"/>
        <v>47</v>
      </c>
      <c r="C119" s="18"/>
      <c r="D119" s="19"/>
      <c r="E119" s="19"/>
      <c r="F119" s="35"/>
      <c r="G119" s="35"/>
      <c r="H119" s="35"/>
      <c r="I119" s="20"/>
      <c r="J119" s="21">
        <f t="shared" si="8"/>
        <v>0</v>
      </c>
      <c r="K119" s="7"/>
      <c r="V119" s="5">
        <f t="shared" si="5"/>
        <v>0</v>
      </c>
      <c r="W119" s="5">
        <f t="shared" si="6"/>
        <v>0</v>
      </c>
    </row>
    <row r="120" spans="1:23" s="36" customFormat="1" hidden="1" x14ac:dyDescent="0.3">
      <c r="A120" s="6"/>
      <c r="B120" s="17">
        <f t="shared" si="7"/>
        <v>48</v>
      </c>
      <c r="C120" s="18"/>
      <c r="D120" s="19"/>
      <c r="E120" s="19"/>
      <c r="F120" s="35"/>
      <c r="G120" s="35"/>
      <c r="H120" s="35"/>
      <c r="I120" s="20"/>
      <c r="J120" s="21">
        <f t="shared" si="8"/>
        <v>0</v>
      </c>
      <c r="K120" s="7"/>
      <c r="V120" s="5">
        <f t="shared" si="5"/>
        <v>0</v>
      </c>
      <c r="W120" s="5">
        <f t="shared" si="6"/>
        <v>0</v>
      </c>
    </row>
    <row r="121" spans="1:23" s="36" customFormat="1" hidden="1" x14ac:dyDescent="0.3">
      <c r="A121" s="6"/>
      <c r="B121" s="17">
        <f t="shared" si="7"/>
        <v>49</v>
      </c>
      <c r="C121" s="18"/>
      <c r="D121" s="19"/>
      <c r="E121" s="19"/>
      <c r="F121" s="35"/>
      <c r="G121" s="35"/>
      <c r="H121" s="35"/>
      <c r="I121" s="20"/>
      <c r="J121" s="21">
        <f t="shared" si="8"/>
        <v>0</v>
      </c>
      <c r="K121" s="7"/>
      <c r="V121" s="5">
        <f t="shared" si="5"/>
        <v>0</v>
      </c>
      <c r="W121" s="5">
        <f t="shared" si="6"/>
        <v>0</v>
      </c>
    </row>
    <row r="122" spans="1:23" s="36" customFormat="1" hidden="1" x14ac:dyDescent="0.3">
      <c r="A122" s="6"/>
      <c r="B122" s="17">
        <f t="shared" si="7"/>
        <v>50</v>
      </c>
      <c r="C122" s="18"/>
      <c r="D122" s="19"/>
      <c r="E122" s="19"/>
      <c r="F122" s="35"/>
      <c r="G122" s="35"/>
      <c r="H122" s="35"/>
      <c r="I122" s="20"/>
      <c r="J122" s="21">
        <f t="shared" si="8"/>
        <v>0</v>
      </c>
      <c r="K122" s="7"/>
      <c r="V122" s="5">
        <f t="shared" si="5"/>
        <v>0</v>
      </c>
      <c r="W122" s="5">
        <f t="shared" si="6"/>
        <v>0</v>
      </c>
    </row>
    <row r="123" spans="1:23" s="36" customFormat="1" ht="24" hidden="1" thickBot="1" x14ac:dyDescent="0.5">
      <c r="A123" s="6"/>
      <c r="B123" s="144" t="s">
        <v>22</v>
      </c>
      <c r="C123" s="145"/>
      <c r="D123" s="145"/>
      <c r="E123" s="145"/>
      <c r="F123" s="145"/>
      <c r="G123" s="145"/>
      <c r="H123" s="146"/>
      <c r="I123" s="83" t="s">
        <v>23</v>
      </c>
      <c r="J123" s="84">
        <f>SUM(J69:J122)</f>
        <v>0</v>
      </c>
      <c r="K123" s="7"/>
      <c r="L123" s="5"/>
      <c r="M123" s="5"/>
      <c r="N123" s="5"/>
      <c r="O123" s="5"/>
      <c r="P123" s="5"/>
      <c r="Q123" s="5"/>
      <c r="R123" s="5"/>
      <c r="V123" s="36">
        <f>SUM(V69:V122)</f>
        <v>0</v>
      </c>
      <c r="W123" s="36">
        <f>SUM(W69:W122)</f>
        <v>0</v>
      </c>
    </row>
    <row r="124" spans="1:23" s="36" customFormat="1" ht="30" hidden="1" customHeight="1" thickBot="1" x14ac:dyDescent="0.35">
      <c r="A124" s="30"/>
      <c r="B124" s="31"/>
      <c r="C124" s="31"/>
      <c r="D124" s="31"/>
      <c r="E124" s="31"/>
      <c r="F124" s="31"/>
      <c r="G124" s="31"/>
      <c r="H124" s="32"/>
      <c r="I124" s="31"/>
      <c r="J124" s="32"/>
      <c r="K124" s="33"/>
      <c r="L124" s="5"/>
      <c r="M124" s="5"/>
      <c r="N124" s="5"/>
      <c r="O124" s="5"/>
      <c r="P124" s="5"/>
      <c r="Q124" s="5"/>
      <c r="R124" s="5"/>
    </row>
    <row r="125" spans="1:23" ht="15" thickBot="1" x14ac:dyDescent="0.35"/>
    <row r="126" spans="1:23" s="36" customFormat="1" ht="30" customHeight="1" thickBot="1" x14ac:dyDescent="0.35">
      <c r="A126" s="1"/>
      <c r="B126" s="2"/>
      <c r="C126" s="2"/>
      <c r="D126" s="2"/>
      <c r="E126" s="2"/>
      <c r="F126" s="2"/>
      <c r="G126" s="2"/>
      <c r="H126" s="3"/>
      <c r="I126" s="2"/>
      <c r="J126" s="3"/>
      <c r="K126" s="4"/>
    </row>
    <row r="127" spans="1:23" s="36" customFormat="1" ht="25.2" thickBot="1" x14ac:dyDescent="0.35">
      <c r="A127" s="6" t="s">
        <v>1</v>
      </c>
      <c r="B127" s="119" t="s">
        <v>2</v>
      </c>
      <c r="C127" s="120"/>
      <c r="D127" s="120"/>
      <c r="E127" s="120"/>
      <c r="F127" s="120"/>
      <c r="G127" s="120"/>
      <c r="H127" s="120"/>
      <c r="I127" s="120"/>
      <c r="J127" s="121"/>
      <c r="K127" s="7"/>
    </row>
    <row r="128" spans="1:23" s="36" customFormat="1" ht="16.2" thickBot="1" x14ac:dyDescent="0.35">
      <c r="A128" s="6"/>
      <c r="B128" s="216">
        <v>45352</v>
      </c>
      <c r="C128" s="169"/>
      <c r="D128" s="169"/>
      <c r="E128" s="169"/>
      <c r="F128" s="169"/>
      <c r="G128" s="169"/>
      <c r="H128" s="169"/>
      <c r="I128" s="169"/>
      <c r="J128" s="170"/>
      <c r="K128" s="7"/>
      <c r="L128" s="22"/>
    </row>
    <row r="129" spans="1:23" s="36" customFormat="1" ht="16.2" thickBot="1" x14ac:dyDescent="0.35">
      <c r="A129" s="6"/>
      <c r="B129" s="106" t="s">
        <v>699</v>
      </c>
      <c r="C129" s="107"/>
      <c r="D129" s="107"/>
      <c r="E129" s="107"/>
      <c r="F129" s="107"/>
      <c r="G129" s="107"/>
      <c r="H129" s="107"/>
      <c r="I129" s="107"/>
      <c r="J129" s="108"/>
      <c r="K129" s="7"/>
    </row>
    <row r="130" spans="1:23" s="22" customFormat="1" ht="15" thickBot="1" x14ac:dyDescent="0.35">
      <c r="A130" s="69"/>
      <c r="B130" s="70" t="s">
        <v>9</v>
      </c>
      <c r="C130" s="71" t="s">
        <v>10</v>
      </c>
      <c r="D130" s="72" t="s">
        <v>11</v>
      </c>
      <c r="E130" s="72" t="s">
        <v>12</v>
      </c>
      <c r="F130" s="73" t="s">
        <v>65</v>
      </c>
      <c r="G130" s="73" t="s">
        <v>66</v>
      </c>
      <c r="H130" s="74" t="s">
        <v>67</v>
      </c>
      <c r="I130" s="73" t="s">
        <v>68</v>
      </c>
      <c r="J130" s="75" t="s">
        <v>17</v>
      </c>
      <c r="K130" s="76"/>
      <c r="L130" s="36"/>
      <c r="M130" s="36"/>
      <c r="N130" s="36"/>
      <c r="O130" s="36" t="s">
        <v>21</v>
      </c>
      <c r="P130" s="36"/>
      <c r="Q130" s="36"/>
      <c r="R130" s="36"/>
      <c r="V130" s="5" t="s">
        <v>5</v>
      </c>
      <c r="W130" s="5" t="s">
        <v>6</v>
      </c>
    </row>
    <row r="131" spans="1:23" s="36" customFormat="1" x14ac:dyDescent="0.3">
      <c r="A131" s="6"/>
      <c r="B131" s="14">
        <v>1</v>
      </c>
      <c r="C131" s="93">
        <v>45352</v>
      </c>
      <c r="D131" s="94" t="s">
        <v>18</v>
      </c>
      <c r="E131" s="94" t="s">
        <v>46</v>
      </c>
      <c r="F131" s="60">
        <v>100</v>
      </c>
      <c r="G131" s="60">
        <v>130</v>
      </c>
      <c r="H131" s="60">
        <v>30</v>
      </c>
      <c r="I131" s="15">
        <v>300</v>
      </c>
      <c r="J131" s="16">
        <f t="shared" ref="J131:J178" si="9">I131*H131</f>
        <v>9000</v>
      </c>
      <c r="K131" s="7"/>
      <c r="V131" s="5">
        <f t="shared" ref="V131:V178" si="10">IF($J131&gt;0,1,0)</f>
        <v>1</v>
      </c>
      <c r="W131" s="5">
        <f t="shared" ref="W131:W178" si="11">IF($J131&lt;0,1,0)</f>
        <v>0</v>
      </c>
    </row>
    <row r="132" spans="1:23" s="36" customFormat="1" x14ac:dyDescent="0.3">
      <c r="A132" s="6"/>
      <c r="B132" s="17">
        <f>B131+1</f>
        <v>2</v>
      </c>
      <c r="C132" s="18">
        <v>45352</v>
      </c>
      <c r="D132" s="19" t="s">
        <v>18</v>
      </c>
      <c r="E132" s="19" t="s">
        <v>48</v>
      </c>
      <c r="F132" s="35">
        <v>90</v>
      </c>
      <c r="G132" s="35">
        <v>99</v>
      </c>
      <c r="H132" s="35">
        <v>9</v>
      </c>
      <c r="I132" s="20">
        <v>300</v>
      </c>
      <c r="J132" s="21">
        <f t="shared" si="9"/>
        <v>2700</v>
      </c>
      <c r="K132" s="7"/>
      <c r="L132" s="36" t="s">
        <v>21</v>
      </c>
      <c r="V132" s="5">
        <f t="shared" si="10"/>
        <v>1</v>
      </c>
      <c r="W132" s="5">
        <f t="shared" si="11"/>
        <v>0</v>
      </c>
    </row>
    <row r="133" spans="1:23" s="36" customFormat="1" x14ac:dyDescent="0.3">
      <c r="A133" s="6"/>
      <c r="B133" s="17">
        <f t="shared" ref="B133:B153" si="12">B132+1</f>
        <v>3</v>
      </c>
      <c r="C133" s="18">
        <v>45355</v>
      </c>
      <c r="D133" s="19" t="s">
        <v>18</v>
      </c>
      <c r="E133" s="19" t="s">
        <v>48</v>
      </c>
      <c r="F133" s="35">
        <v>100</v>
      </c>
      <c r="G133" s="35">
        <v>85</v>
      </c>
      <c r="H133" s="35">
        <v>-15</v>
      </c>
      <c r="I133" s="20">
        <v>300</v>
      </c>
      <c r="J133" s="21">
        <f t="shared" si="9"/>
        <v>-4500</v>
      </c>
      <c r="K133" s="7"/>
      <c r="V133" s="5">
        <f t="shared" si="10"/>
        <v>0</v>
      </c>
      <c r="W133" s="5">
        <f t="shared" si="11"/>
        <v>1</v>
      </c>
    </row>
    <row r="134" spans="1:23" s="36" customFormat="1" x14ac:dyDescent="0.3">
      <c r="A134" s="6"/>
      <c r="B134" s="17">
        <f t="shared" si="12"/>
        <v>4</v>
      </c>
      <c r="C134" s="18">
        <v>45355</v>
      </c>
      <c r="D134" s="19" t="s">
        <v>18</v>
      </c>
      <c r="E134" s="19" t="s">
        <v>1007</v>
      </c>
      <c r="F134" s="35">
        <v>100</v>
      </c>
      <c r="G134" s="35">
        <v>110</v>
      </c>
      <c r="H134" s="35">
        <v>10</v>
      </c>
      <c r="I134" s="20">
        <v>300</v>
      </c>
      <c r="J134" s="21">
        <f t="shared" si="9"/>
        <v>3000</v>
      </c>
      <c r="K134" s="7"/>
      <c r="V134" s="5">
        <f t="shared" si="10"/>
        <v>1</v>
      </c>
      <c r="W134" s="5">
        <f t="shared" si="11"/>
        <v>0</v>
      </c>
    </row>
    <row r="135" spans="1:23" s="36" customFormat="1" x14ac:dyDescent="0.3">
      <c r="A135" s="6"/>
      <c r="B135" s="17">
        <f t="shared" si="12"/>
        <v>5</v>
      </c>
      <c r="C135" s="18">
        <v>45356</v>
      </c>
      <c r="D135" s="19" t="s">
        <v>18</v>
      </c>
      <c r="E135" s="19" t="s">
        <v>82</v>
      </c>
      <c r="F135" s="20">
        <v>120</v>
      </c>
      <c r="G135" s="35">
        <v>135</v>
      </c>
      <c r="H135" s="35">
        <v>15</v>
      </c>
      <c r="I135" s="20">
        <v>300</v>
      </c>
      <c r="J135" s="21">
        <f t="shared" ref="J135" si="13">I134*H134</f>
        <v>3000</v>
      </c>
      <c r="K135" s="7"/>
      <c r="V135" s="5">
        <f t="shared" si="10"/>
        <v>1</v>
      </c>
      <c r="W135" s="5">
        <f t="shared" si="11"/>
        <v>0</v>
      </c>
    </row>
    <row r="136" spans="1:23" s="36" customFormat="1" x14ac:dyDescent="0.3">
      <c r="A136" s="6"/>
      <c r="B136" s="17">
        <f t="shared" si="12"/>
        <v>6</v>
      </c>
      <c r="C136" s="18">
        <v>45356</v>
      </c>
      <c r="D136" s="19" t="s">
        <v>18</v>
      </c>
      <c r="E136" s="19" t="s">
        <v>1008</v>
      </c>
      <c r="F136" s="35">
        <v>110</v>
      </c>
      <c r="G136" s="35">
        <v>140</v>
      </c>
      <c r="H136" s="35">
        <v>30</v>
      </c>
      <c r="I136" s="20">
        <v>300</v>
      </c>
      <c r="J136" s="21">
        <f t="shared" si="9"/>
        <v>9000</v>
      </c>
      <c r="K136" s="7"/>
      <c r="V136" s="5">
        <f t="shared" si="10"/>
        <v>1</v>
      </c>
      <c r="W136" s="5">
        <f t="shared" si="11"/>
        <v>0</v>
      </c>
    </row>
    <row r="137" spans="1:23" s="36" customFormat="1" x14ac:dyDescent="0.3">
      <c r="A137" s="6"/>
      <c r="B137" s="17">
        <f t="shared" si="12"/>
        <v>7</v>
      </c>
      <c r="C137" s="18">
        <v>45357</v>
      </c>
      <c r="D137" s="19" t="s">
        <v>18</v>
      </c>
      <c r="E137" s="19" t="s">
        <v>46</v>
      </c>
      <c r="F137" s="35">
        <v>100</v>
      </c>
      <c r="G137" s="35">
        <v>85</v>
      </c>
      <c r="H137" s="35">
        <v>-15</v>
      </c>
      <c r="I137" s="20">
        <v>300</v>
      </c>
      <c r="J137" s="21">
        <f t="shared" si="9"/>
        <v>-4500</v>
      </c>
      <c r="K137" s="7"/>
      <c r="V137" s="5">
        <f t="shared" si="10"/>
        <v>0</v>
      </c>
      <c r="W137" s="5">
        <f t="shared" si="11"/>
        <v>1</v>
      </c>
    </row>
    <row r="138" spans="1:23" s="36" customFormat="1" x14ac:dyDescent="0.3">
      <c r="A138" s="6"/>
      <c r="B138" s="17">
        <f t="shared" si="12"/>
        <v>8</v>
      </c>
      <c r="C138" s="18">
        <v>45357</v>
      </c>
      <c r="D138" s="19" t="s">
        <v>18</v>
      </c>
      <c r="E138" s="19" t="s">
        <v>82</v>
      </c>
      <c r="F138" s="35">
        <v>115</v>
      </c>
      <c r="G138" s="35">
        <v>123</v>
      </c>
      <c r="H138" s="35">
        <f>123-115</f>
        <v>8</v>
      </c>
      <c r="I138" s="20">
        <v>300</v>
      </c>
      <c r="J138" s="21">
        <f t="shared" si="9"/>
        <v>2400</v>
      </c>
      <c r="K138" s="7"/>
      <c r="V138" s="5">
        <f t="shared" si="10"/>
        <v>1</v>
      </c>
      <c r="W138" s="5">
        <f t="shared" si="11"/>
        <v>0</v>
      </c>
    </row>
    <row r="139" spans="1:23" s="36" customFormat="1" x14ac:dyDescent="0.3">
      <c r="A139" s="6"/>
      <c r="B139" s="17">
        <f t="shared" si="12"/>
        <v>9</v>
      </c>
      <c r="C139" s="18">
        <v>45358</v>
      </c>
      <c r="D139" s="19" t="s">
        <v>18</v>
      </c>
      <c r="E139" s="19" t="s">
        <v>34</v>
      </c>
      <c r="F139" s="35">
        <v>115</v>
      </c>
      <c r="G139" s="35">
        <v>121</v>
      </c>
      <c r="H139" s="35">
        <v>6</v>
      </c>
      <c r="I139" s="100">
        <v>300</v>
      </c>
      <c r="J139" s="21">
        <f t="shared" si="9"/>
        <v>1800</v>
      </c>
      <c r="K139" s="7"/>
      <c r="V139" s="5">
        <f t="shared" si="10"/>
        <v>1</v>
      </c>
      <c r="W139" s="5">
        <f t="shared" si="11"/>
        <v>0</v>
      </c>
    </row>
    <row r="140" spans="1:23" s="36" customFormat="1" x14ac:dyDescent="0.3">
      <c r="A140" s="6"/>
      <c r="B140" s="17">
        <f t="shared" si="12"/>
        <v>10</v>
      </c>
      <c r="C140" s="18">
        <v>45358</v>
      </c>
      <c r="D140" s="19" t="s">
        <v>18</v>
      </c>
      <c r="E140" s="19" t="s">
        <v>34</v>
      </c>
      <c r="F140" s="35">
        <v>110</v>
      </c>
      <c r="G140" s="35">
        <v>95</v>
      </c>
      <c r="H140" s="35">
        <v>-15</v>
      </c>
      <c r="I140" s="20">
        <v>300</v>
      </c>
      <c r="J140" s="21">
        <f t="shared" si="9"/>
        <v>-4500</v>
      </c>
      <c r="K140" s="7"/>
      <c r="V140" s="5">
        <f t="shared" si="10"/>
        <v>0</v>
      </c>
      <c r="W140" s="5">
        <f t="shared" si="11"/>
        <v>1</v>
      </c>
    </row>
    <row r="141" spans="1:23" s="36" customFormat="1" x14ac:dyDescent="0.3">
      <c r="A141" s="6"/>
      <c r="B141" s="17">
        <f t="shared" si="12"/>
        <v>11</v>
      </c>
      <c r="C141" s="18">
        <v>45362</v>
      </c>
      <c r="D141" s="19" t="s">
        <v>18</v>
      </c>
      <c r="E141" s="19" t="s">
        <v>48</v>
      </c>
      <c r="F141" s="19">
        <v>110</v>
      </c>
      <c r="G141" s="35">
        <v>116</v>
      </c>
      <c r="H141" s="35">
        <v>6</v>
      </c>
      <c r="I141" s="20">
        <v>300</v>
      </c>
      <c r="J141" s="21">
        <f t="shared" si="9"/>
        <v>1800</v>
      </c>
      <c r="K141" s="7"/>
      <c r="V141" s="5">
        <f t="shared" si="10"/>
        <v>1</v>
      </c>
      <c r="W141" s="5">
        <f t="shared" si="11"/>
        <v>0</v>
      </c>
    </row>
    <row r="142" spans="1:23" s="36" customFormat="1" x14ac:dyDescent="0.3">
      <c r="A142" s="6"/>
      <c r="B142" s="17">
        <f t="shared" si="12"/>
        <v>12</v>
      </c>
      <c r="C142" s="18">
        <v>45362</v>
      </c>
      <c r="D142" s="19" t="s">
        <v>18</v>
      </c>
      <c r="E142" s="19" t="s">
        <v>47</v>
      </c>
      <c r="F142" s="35">
        <v>100</v>
      </c>
      <c r="G142" s="35">
        <v>130</v>
      </c>
      <c r="H142" s="35">
        <v>30</v>
      </c>
      <c r="I142" s="20">
        <v>300</v>
      </c>
      <c r="J142" s="21">
        <f t="shared" si="9"/>
        <v>9000</v>
      </c>
      <c r="K142" s="7"/>
      <c r="V142" s="5">
        <f t="shared" si="10"/>
        <v>1</v>
      </c>
      <c r="W142" s="5">
        <f t="shared" si="11"/>
        <v>0</v>
      </c>
    </row>
    <row r="143" spans="1:23" s="36" customFormat="1" x14ac:dyDescent="0.3">
      <c r="A143" s="6"/>
      <c r="B143" s="17">
        <f t="shared" si="12"/>
        <v>13</v>
      </c>
      <c r="C143" s="18">
        <v>45363</v>
      </c>
      <c r="D143" s="19" t="s">
        <v>18</v>
      </c>
      <c r="E143" s="19" t="s">
        <v>34</v>
      </c>
      <c r="F143" s="35">
        <v>100</v>
      </c>
      <c r="G143" s="35">
        <v>130</v>
      </c>
      <c r="H143" s="35">
        <v>30</v>
      </c>
      <c r="I143" s="20">
        <v>300</v>
      </c>
      <c r="J143" s="21">
        <f t="shared" si="9"/>
        <v>9000</v>
      </c>
      <c r="K143" s="7"/>
      <c r="V143" s="5">
        <f t="shared" si="10"/>
        <v>1</v>
      </c>
      <c r="W143" s="5">
        <f t="shared" si="11"/>
        <v>0</v>
      </c>
    </row>
    <row r="144" spans="1:23" s="36" customFormat="1" x14ac:dyDescent="0.3">
      <c r="A144" s="6"/>
      <c r="B144" s="17">
        <f t="shared" si="12"/>
        <v>14</v>
      </c>
      <c r="C144" s="18">
        <v>45364</v>
      </c>
      <c r="D144" s="19" t="s">
        <v>18</v>
      </c>
      <c r="E144" s="19" t="s">
        <v>47</v>
      </c>
      <c r="F144" s="77">
        <v>100</v>
      </c>
      <c r="G144" s="35">
        <v>130</v>
      </c>
      <c r="H144" s="78">
        <v>30</v>
      </c>
      <c r="I144" s="20">
        <v>300</v>
      </c>
      <c r="J144" s="21">
        <f t="shared" si="9"/>
        <v>9000</v>
      </c>
      <c r="K144" s="7"/>
      <c r="V144" s="5">
        <f t="shared" si="10"/>
        <v>1</v>
      </c>
      <c r="W144" s="5">
        <f t="shared" si="11"/>
        <v>0</v>
      </c>
    </row>
    <row r="145" spans="1:23" s="36" customFormat="1" x14ac:dyDescent="0.3">
      <c r="A145" s="6"/>
      <c r="B145" s="17">
        <f t="shared" si="12"/>
        <v>15</v>
      </c>
      <c r="C145" s="18">
        <v>45364</v>
      </c>
      <c r="D145" s="19" t="s">
        <v>18</v>
      </c>
      <c r="E145" s="19" t="s">
        <v>1008</v>
      </c>
      <c r="F145" s="35">
        <v>100</v>
      </c>
      <c r="G145" s="35">
        <v>130</v>
      </c>
      <c r="H145" s="78">
        <v>30</v>
      </c>
      <c r="I145" s="20">
        <v>300</v>
      </c>
      <c r="J145" s="21">
        <f t="shared" si="9"/>
        <v>9000</v>
      </c>
      <c r="K145" s="7"/>
      <c r="V145" s="5">
        <f t="shared" si="10"/>
        <v>1</v>
      </c>
      <c r="W145" s="5">
        <f t="shared" si="11"/>
        <v>0</v>
      </c>
    </row>
    <row r="146" spans="1:23" s="36" customFormat="1" x14ac:dyDescent="0.3">
      <c r="A146" s="6"/>
      <c r="B146" s="17">
        <f t="shared" si="12"/>
        <v>16</v>
      </c>
      <c r="C146" s="18">
        <v>45365</v>
      </c>
      <c r="D146" s="19" t="s">
        <v>18</v>
      </c>
      <c r="E146" s="19" t="s">
        <v>39</v>
      </c>
      <c r="F146" s="35">
        <v>100</v>
      </c>
      <c r="G146" s="35">
        <v>130</v>
      </c>
      <c r="H146" s="78">
        <v>30</v>
      </c>
      <c r="I146" s="20">
        <v>300</v>
      </c>
      <c r="J146" s="21">
        <f t="shared" si="9"/>
        <v>9000</v>
      </c>
      <c r="K146" s="7"/>
      <c r="V146" s="5">
        <f t="shared" si="10"/>
        <v>1</v>
      </c>
      <c r="W146" s="5">
        <f t="shared" si="11"/>
        <v>0</v>
      </c>
    </row>
    <row r="147" spans="1:23" s="36" customFormat="1" x14ac:dyDescent="0.3">
      <c r="A147" s="6"/>
      <c r="B147" s="17">
        <f t="shared" si="12"/>
        <v>17</v>
      </c>
      <c r="C147" s="18">
        <v>45365</v>
      </c>
      <c r="D147" s="19" t="s">
        <v>18</v>
      </c>
      <c r="E147" s="19" t="s">
        <v>49</v>
      </c>
      <c r="F147" s="35">
        <v>100</v>
      </c>
      <c r="G147" s="35">
        <v>130</v>
      </c>
      <c r="H147" s="78">
        <v>30</v>
      </c>
      <c r="I147" s="20">
        <v>300</v>
      </c>
      <c r="J147" s="21">
        <f t="shared" si="9"/>
        <v>9000</v>
      </c>
      <c r="K147" s="7"/>
      <c r="V147" s="5">
        <f t="shared" si="10"/>
        <v>1</v>
      </c>
      <c r="W147" s="5">
        <f t="shared" si="11"/>
        <v>0</v>
      </c>
    </row>
    <row r="148" spans="1:23" s="36" customFormat="1" x14ac:dyDescent="0.3">
      <c r="A148" s="6"/>
      <c r="B148" s="17">
        <f t="shared" si="12"/>
        <v>18</v>
      </c>
      <c r="C148" s="18">
        <v>45366</v>
      </c>
      <c r="D148" s="19" t="s">
        <v>18</v>
      </c>
      <c r="E148" s="19" t="s">
        <v>1000</v>
      </c>
      <c r="F148" s="35">
        <v>100</v>
      </c>
      <c r="G148" s="35">
        <v>85</v>
      </c>
      <c r="H148" s="78">
        <v>-15</v>
      </c>
      <c r="I148" s="20">
        <v>300</v>
      </c>
      <c r="J148" s="21">
        <f t="shared" si="9"/>
        <v>-4500</v>
      </c>
      <c r="K148" s="7"/>
      <c r="V148" s="5">
        <f t="shared" si="10"/>
        <v>0</v>
      </c>
      <c r="W148" s="5">
        <f t="shared" si="11"/>
        <v>1</v>
      </c>
    </row>
    <row r="149" spans="1:23" s="36" customFormat="1" x14ac:dyDescent="0.3">
      <c r="A149" s="6"/>
      <c r="B149" s="17">
        <f t="shared" si="12"/>
        <v>19</v>
      </c>
      <c r="C149" s="18">
        <v>45366</v>
      </c>
      <c r="D149" s="19" t="s">
        <v>18</v>
      </c>
      <c r="E149" s="19" t="s">
        <v>983</v>
      </c>
      <c r="F149" s="35">
        <v>110</v>
      </c>
      <c r="G149" s="35">
        <v>116</v>
      </c>
      <c r="H149" s="78">
        <v>6</v>
      </c>
      <c r="I149" s="20">
        <v>300</v>
      </c>
      <c r="J149" s="21">
        <f t="shared" si="9"/>
        <v>1800</v>
      </c>
      <c r="K149" s="7"/>
      <c r="V149" s="5">
        <f t="shared" si="10"/>
        <v>1</v>
      </c>
      <c r="W149" s="5">
        <f t="shared" si="11"/>
        <v>0</v>
      </c>
    </row>
    <row r="150" spans="1:23" s="36" customFormat="1" x14ac:dyDescent="0.3">
      <c r="A150" s="6"/>
      <c r="B150" s="17">
        <f t="shared" si="12"/>
        <v>20</v>
      </c>
      <c r="C150" s="18">
        <v>45369</v>
      </c>
      <c r="D150" s="19" t="s">
        <v>18</v>
      </c>
      <c r="E150" s="19" t="s">
        <v>35</v>
      </c>
      <c r="F150" s="35">
        <v>100</v>
      </c>
      <c r="G150" s="35">
        <v>115</v>
      </c>
      <c r="H150" s="35">
        <v>15</v>
      </c>
      <c r="I150" s="20">
        <v>300</v>
      </c>
      <c r="J150" s="21">
        <f t="shared" si="9"/>
        <v>4500</v>
      </c>
      <c r="K150" s="7"/>
      <c r="V150" s="5">
        <f t="shared" si="10"/>
        <v>1</v>
      </c>
      <c r="W150" s="5">
        <f t="shared" si="11"/>
        <v>0</v>
      </c>
    </row>
    <row r="151" spans="1:23" s="36" customFormat="1" x14ac:dyDescent="0.3">
      <c r="A151" s="6"/>
      <c r="B151" s="17">
        <f t="shared" si="12"/>
        <v>21</v>
      </c>
      <c r="C151" s="18">
        <v>45369</v>
      </c>
      <c r="D151" s="19" t="s">
        <v>18</v>
      </c>
      <c r="E151" s="19" t="s">
        <v>38</v>
      </c>
      <c r="F151" s="35">
        <v>95</v>
      </c>
      <c r="G151" s="35">
        <v>101</v>
      </c>
      <c r="H151" s="35">
        <f>101-95</f>
        <v>6</v>
      </c>
      <c r="I151" s="20">
        <v>300</v>
      </c>
      <c r="J151" s="21">
        <f t="shared" si="9"/>
        <v>1800</v>
      </c>
      <c r="K151" s="7"/>
      <c r="V151" s="5">
        <f t="shared" si="10"/>
        <v>1</v>
      </c>
      <c r="W151" s="5">
        <f t="shared" si="11"/>
        <v>0</v>
      </c>
    </row>
    <row r="152" spans="1:23" s="36" customFormat="1" x14ac:dyDescent="0.3">
      <c r="A152" s="6"/>
      <c r="B152" s="17">
        <f t="shared" si="12"/>
        <v>22</v>
      </c>
      <c r="C152" s="18">
        <v>45370</v>
      </c>
      <c r="D152" s="19" t="s">
        <v>18</v>
      </c>
      <c r="E152" s="19" t="s">
        <v>1001</v>
      </c>
      <c r="F152" s="35">
        <v>100</v>
      </c>
      <c r="G152" s="35">
        <v>130</v>
      </c>
      <c r="H152" s="35">
        <v>30</v>
      </c>
      <c r="I152" s="20">
        <v>300</v>
      </c>
      <c r="J152" s="21">
        <f t="shared" si="9"/>
        <v>9000</v>
      </c>
      <c r="K152" s="7"/>
      <c r="V152" s="5">
        <f t="shared" si="10"/>
        <v>1</v>
      </c>
      <c r="W152" s="5">
        <f t="shared" si="11"/>
        <v>0</v>
      </c>
    </row>
    <row r="153" spans="1:23" s="36" customFormat="1" x14ac:dyDescent="0.3">
      <c r="A153" s="6"/>
      <c r="B153" s="17">
        <f t="shared" si="12"/>
        <v>23</v>
      </c>
      <c r="C153" s="18">
        <v>45370</v>
      </c>
      <c r="D153" s="19" t="s">
        <v>18</v>
      </c>
      <c r="E153" s="19" t="s">
        <v>983</v>
      </c>
      <c r="F153" s="35">
        <v>105</v>
      </c>
      <c r="G153" s="35">
        <v>125</v>
      </c>
      <c r="H153" s="35">
        <f>125-105</f>
        <v>20</v>
      </c>
      <c r="I153" s="20">
        <v>300</v>
      </c>
      <c r="J153" s="21">
        <f t="shared" si="9"/>
        <v>6000</v>
      </c>
      <c r="K153" s="7"/>
      <c r="V153" s="5">
        <f t="shared" si="10"/>
        <v>1</v>
      </c>
      <c r="W153" s="5">
        <f t="shared" si="11"/>
        <v>0</v>
      </c>
    </row>
    <row r="154" spans="1:23" s="36" customFormat="1" x14ac:dyDescent="0.3">
      <c r="A154" s="6"/>
      <c r="B154" s="17">
        <f>B153+1</f>
        <v>24</v>
      </c>
      <c r="C154" s="18">
        <v>45371</v>
      </c>
      <c r="D154" s="19" t="s">
        <v>18</v>
      </c>
      <c r="E154" s="19" t="s">
        <v>990</v>
      </c>
      <c r="F154" s="35">
        <v>110</v>
      </c>
      <c r="G154" s="35">
        <v>120</v>
      </c>
      <c r="H154" s="35">
        <v>10</v>
      </c>
      <c r="I154" s="20">
        <v>300</v>
      </c>
      <c r="J154" s="21">
        <f t="shared" si="9"/>
        <v>3000</v>
      </c>
      <c r="K154" s="7"/>
      <c r="V154" s="5">
        <f t="shared" si="10"/>
        <v>1</v>
      </c>
      <c r="W154" s="5">
        <f t="shared" si="11"/>
        <v>0</v>
      </c>
    </row>
    <row r="155" spans="1:23" s="36" customFormat="1" x14ac:dyDescent="0.3">
      <c r="A155" s="6"/>
      <c r="B155" s="17">
        <f t="shared" ref="B155:B178" si="14">B154+1</f>
        <v>25</v>
      </c>
      <c r="C155" s="18">
        <v>45371</v>
      </c>
      <c r="D155" s="19" t="s">
        <v>18</v>
      </c>
      <c r="E155" s="19" t="s">
        <v>112</v>
      </c>
      <c r="F155" s="35">
        <v>120</v>
      </c>
      <c r="G155" s="35">
        <v>105</v>
      </c>
      <c r="H155" s="35">
        <v>-15</v>
      </c>
      <c r="I155" s="20">
        <v>300</v>
      </c>
      <c r="J155" s="21">
        <f t="shared" si="9"/>
        <v>-4500</v>
      </c>
      <c r="K155" s="7"/>
      <c r="V155" s="5">
        <f t="shared" si="10"/>
        <v>0</v>
      </c>
      <c r="W155" s="5">
        <f t="shared" si="11"/>
        <v>1</v>
      </c>
    </row>
    <row r="156" spans="1:23" s="36" customFormat="1" x14ac:dyDescent="0.3">
      <c r="A156" s="6"/>
      <c r="B156" s="17">
        <f t="shared" si="14"/>
        <v>26</v>
      </c>
      <c r="C156" s="18">
        <v>45372</v>
      </c>
      <c r="D156" s="19" t="s">
        <v>18</v>
      </c>
      <c r="E156" s="19" t="s">
        <v>39</v>
      </c>
      <c r="F156" s="35">
        <v>105</v>
      </c>
      <c r="G156" s="35">
        <v>135</v>
      </c>
      <c r="H156" s="35">
        <f>135-105</f>
        <v>30</v>
      </c>
      <c r="I156" s="20">
        <v>300</v>
      </c>
      <c r="J156" s="21">
        <f t="shared" si="9"/>
        <v>9000</v>
      </c>
      <c r="K156" s="7"/>
      <c r="V156" s="5">
        <f t="shared" si="10"/>
        <v>1</v>
      </c>
      <c r="W156" s="5">
        <f t="shared" si="11"/>
        <v>0</v>
      </c>
    </row>
    <row r="157" spans="1:23" s="36" customFormat="1" x14ac:dyDescent="0.3">
      <c r="A157" s="6"/>
      <c r="B157" s="17">
        <f t="shared" si="14"/>
        <v>27</v>
      </c>
      <c r="C157" s="18">
        <v>45372</v>
      </c>
      <c r="D157" s="19" t="s">
        <v>18</v>
      </c>
      <c r="E157" s="19" t="s">
        <v>1011</v>
      </c>
      <c r="F157" s="35">
        <v>120</v>
      </c>
      <c r="G157" s="35">
        <v>105</v>
      </c>
      <c r="H157" s="35">
        <v>-15</v>
      </c>
      <c r="I157" s="20">
        <v>300</v>
      </c>
      <c r="J157" s="21">
        <f t="shared" si="9"/>
        <v>-4500</v>
      </c>
      <c r="K157" s="7"/>
      <c r="V157" s="5">
        <f t="shared" si="10"/>
        <v>0</v>
      </c>
      <c r="W157" s="5">
        <f t="shared" si="11"/>
        <v>1</v>
      </c>
    </row>
    <row r="158" spans="1:23" s="36" customFormat="1" x14ac:dyDescent="0.3">
      <c r="A158" s="6"/>
      <c r="B158" s="17">
        <f t="shared" si="14"/>
        <v>28</v>
      </c>
      <c r="C158" s="18">
        <v>45373</v>
      </c>
      <c r="D158" s="19" t="s">
        <v>18</v>
      </c>
      <c r="E158" s="19" t="s">
        <v>37</v>
      </c>
      <c r="F158" s="35">
        <v>120</v>
      </c>
      <c r="G158" s="35">
        <v>150</v>
      </c>
      <c r="H158" s="35">
        <v>30</v>
      </c>
      <c r="I158" s="20">
        <v>300</v>
      </c>
      <c r="J158" s="21">
        <f t="shared" si="9"/>
        <v>9000</v>
      </c>
      <c r="K158" s="7"/>
      <c r="V158" s="5">
        <f t="shared" si="10"/>
        <v>1</v>
      </c>
      <c r="W158" s="5">
        <f t="shared" si="11"/>
        <v>0</v>
      </c>
    </row>
    <row r="159" spans="1:23" s="36" customFormat="1" x14ac:dyDescent="0.3">
      <c r="A159" s="6"/>
      <c r="B159" s="17">
        <f t="shared" si="14"/>
        <v>29</v>
      </c>
      <c r="C159" s="18">
        <v>45373</v>
      </c>
      <c r="D159" s="19" t="s">
        <v>18</v>
      </c>
      <c r="E159" s="19" t="s">
        <v>995</v>
      </c>
      <c r="F159" s="35">
        <v>120</v>
      </c>
      <c r="G159" s="35">
        <v>150</v>
      </c>
      <c r="H159" s="19">
        <v>30</v>
      </c>
      <c r="I159" s="20">
        <v>300</v>
      </c>
      <c r="J159" s="21">
        <f t="shared" si="9"/>
        <v>9000</v>
      </c>
      <c r="K159" s="7"/>
      <c r="V159" s="5">
        <f t="shared" si="10"/>
        <v>1</v>
      </c>
      <c r="W159" s="5">
        <f t="shared" si="11"/>
        <v>0</v>
      </c>
    </row>
    <row r="160" spans="1:23" s="36" customFormat="1" x14ac:dyDescent="0.3">
      <c r="A160" s="6"/>
      <c r="B160" s="17">
        <f t="shared" si="14"/>
        <v>30</v>
      </c>
      <c r="C160" s="18">
        <v>45377</v>
      </c>
      <c r="D160" s="19" t="s">
        <v>18</v>
      </c>
      <c r="E160" s="19" t="s">
        <v>35</v>
      </c>
      <c r="F160" s="35">
        <v>110</v>
      </c>
      <c r="G160" s="35">
        <v>125</v>
      </c>
      <c r="H160" s="35">
        <f>125-110</f>
        <v>15</v>
      </c>
      <c r="I160" s="20">
        <v>300</v>
      </c>
      <c r="J160" s="21">
        <f t="shared" si="9"/>
        <v>4500</v>
      </c>
      <c r="K160" s="7"/>
      <c r="V160" s="5">
        <f t="shared" si="10"/>
        <v>1</v>
      </c>
      <c r="W160" s="5">
        <f t="shared" si="11"/>
        <v>0</v>
      </c>
    </row>
    <row r="161" spans="1:23" s="36" customFormat="1" x14ac:dyDescent="0.3">
      <c r="A161" s="6"/>
      <c r="B161" s="17">
        <f t="shared" si="14"/>
        <v>31</v>
      </c>
      <c r="C161" s="18">
        <v>45377</v>
      </c>
      <c r="D161" s="19" t="s">
        <v>18</v>
      </c>
      <c r="E161" s="19" t="s">
        <v>35</v>
      </c>
      <c r="F161" s="35">
        <v>110</v>
      </c>
      <c r="G161" s="35">
        <v>95</v>
      </c>
      <c r="H161" s="35">
        <v>-50</v>
      </c>
      <c r="I161" s="20">
        <v>300</v>
      </c>
      <c r="J161" s="21">
        <f t="shared" si="9"/>
        <v>-15000</v>
      </c>
      <c r="K161" s="7"/>
      <c r="V161" s="5">
        <f t="shared" si="10"/>
        <v>0</v>
      </c>
      <c r="W161" s="5">
        <f t="shared" si="11"/>
        <v>1</v>
      </c>
    </row>
    <row r="162" spans="1:23" s="36" customFormat="1" x14ac:dyDescent="0.3">
      <c r="A162" s="6"/>
      <c r="B162" s="17">
        <f t="shared" si="14"/>
        <v>32</v>
      </c>
      <c r="C162" s="18">
        <v>45378</v>
      </c>
      <c r="D162" s="19" t="s">
        <v>18</v>
      </c>
      <c r="E162" s="19" t="s">
        <v>1012</v>
      </c>
      <c r="F162" s="35">
        <v>120</v>
      </c>
      <c r="G162" s="35">
        <v>105</v>
      </c>
      <c r="H162" s="35">
        <v>-50</v>
      </c>
      <c r="I162" s="20">
        <v>300</v>
      </c>
      <c r="J162" s="21">
        <f t="shared" si="9"/>
        <v>-15000</v>
      </c>
      <c r="K162" s="7"/>
      <c r="V162" s="5">
        <f t="shared" si="10"/>
        <v>0</v>
      </c>
      <c r="W162" s="5">
        <f t="shared" si="11"/>
        <v>1</v>
      </c>
    </row>
    <row r="163" spans="1:23" s="36" customFormat="1" x14ac:dyDescent="0.3">
      <c r="A163" s="6"/>
      <c r="B163" s="17">
        <f t="shared" si="14"/>
        <v>33</v>
      </c>
      <c r="C163" s="18">
        <v>45378</v>
      </c>
      <c r="D163" s="19" t="s">
        <v>18</v>
      </c>
      <c r="E163" s="19" t="s">
        <v>35</v>
      </c>
      <c r="F163" s="35">
        <v>115</v>
      </c>
      <c r="G163" s="35">
        <v>130</v>
      </c>
      <c r="H163" s="35">
        <v>15</v>
      </c>
      <c r="I163" s="20">
        <v>300</v>
      </c>
      <c r="J163" s="21">
        <f t="shared" si="9"/>
        <v>4500</v>
      </c>
      <c r="K163" s="7"/>
      <c r="V163" s="5">
        <f t="shared" si="10"/>
        <v>1</v>
      </c>
      <c r="W163" s="5">
        <f t="shared" si="11"/>
        <v>0</v>
      </c>
    </row>
    <row r="164" spans="1:23" s="36" customFormat="1" x14ac:dyDescent="0.3">
      <c r="A164" s="6"/>
      <c r="B164" s="17">
        <f t="shared" si="14"/>
        <v>34</v>
      </c>
      <c r="C164" s="18">
        <v>45379</v>
      </c>
      <c r="D164" s="19" t="s">
        <v>18</v>
      </c>
      <c r="E164" s="19" t="s">
        <v>995</v>
      </c>
      <c r="F164" s="35">
        <v>100</v>
      </c>
      <c r="G164" s="35">
        <v>110</v>
      </c>
      <c r="H164" s="35">
        <v>10</v>
      </c>
      <c r="I164" s="20">
        <v>300</v>
      </c>
      <c r="J164" s="21">
        <f t="shared" si="9"/>
        <v>3000</v>
      </c>
      <c r="K164" s="7"/>
      <c r="V164" s="5">
        <f t="shared" si="10"/>
        <v>1</v>
      </c>
      <c r="W164" s="5">
        <f t="shared" si="11"/>
        <v>0</v>
      </c>
    </row>
    <row r="165" spans="1:23" s="36" customFormat="1" x14ac:dyDescent="0.3">
      <c r="A165" s="6"/>
      <c r="B165" s="17">
        <f t="shared" si="14"/>
        <v>35</v>
      </c>
      <c r="C165" s="18">
        <v>45379</v>
      </c>
      <c r="D165" s="19" t="s">
        <v>18</v>
      </c>
      <c r="E165" s="19" t="s">
        <v>46</v>
      </c>
      <c r="F165" s="35">
        <v>100</v>
      </c>
      <c r="G165" s="35">
        <v>108</v>
      </c>
      <c r="H165" s="35">
        <v>8</v>
      </c>
      <c r="I165" s="20">
        <v>300</v>
      </c>
      <c r="J165" s="21">
        <f t="shared" si="9"/>
        <v>2400</v>
      </c>
      <c r="K165" s="7"/>
      <c r="V165" s="5">
        <f t="shared" si="10"/>
        <v>1</v>
      </c>
      <c r="W165" s="5">
        <f t="shared" si="11"/>
        <v>0</v>
      </c>
    </row>
    <row r="166" spans="1:23" s="36" customFormat="1" hidden="1" x14ac:dyDescent="0.3">
      <c r="A166" s="6"/>
      <c r="B166" s="17">
        <f t="shared" si="14"/>
        <v>36</v>
      </c>
      <c r="C166" s="18"/>
      <c r="D166" s="19"/>
      <c r="E166" s="19"/>
      <c r="F166" s="35"/>
      <c r="G166" s="35"/>
      <c r="H166" s="35"/>
      <c r="I166" s="20"/>
      <c r="J166" s="21">
        <f t="shared" si="9"/>
        <v>0</v>
      </c>
      <c r="K166" s="7"/>
      <c r="V166" s="5">
        <f t="shared" si="10"/>
        <v>0</v>
      </c>
      <c r="W166" s="5">
        <f t="shared" si="11"/>
        <v>0</v>
      </c>
    </row>
    <row r="167" spans="1:23" s="36" customFormat="1" hidden="1" x14ac:dyDescent="0.3">
      <c r="A167" s="6"/>
      <c r="B167" s="17">
        <f t="shared" si="14"/>
        <v>37</v>
      </c>
      <c r="C167" s="18"/>
      <c r="D167" s="19"/>
      <c r="E167" s="19"/>
      <c r="F167" s="35"/>
      <c r="G167" s="35"/>
      <c r="H167" s="35"/>
      <c r="I167" s="20"/>
      <c r="J167" s="21">
        <f t="shared" si="9"/>
        <v>0</v>
      </c>
      <c r="K167" s="7"/>
      <c r="V167" s="5">
        <f t="shared" si="10"/>
        <v>0</v>
      </c>
      <c r="W167" s="5">
        <f t="shared" si="11"/>
        <v>0</v>
      </c>
    </row>
    <row r="168" spans="1:23" s="36" customFormat="1" hidden="1" x14ac:dyDescent="0.3">
      <c r="A168" s="6"/>
      <c r="B168" s="17">
        <f t="shared" si="14"/>
        <v>38</v>
      </c>
      <c r="C168" s="18"/>
      <c r="D168" s="19"/>
      <c r="E168" s="19"/>
      <c r="F168" s="35"/>
      <c r="G168" s="35"/>
      <c r="H168" s="35"/>
      <c r="I168" s="20"/>
      <c r="J168" s="21">
        <f t="shared" si="9"/>
        <v>0</v>
      </c>
      <c r="K168" s="7"/>
      <c r="V168" s="5">
        <f t="shared" si="10"/>
        <v>0</v>
      </c>
      <c r="W168" s="5">
        <f t="shared" si="11"/>
        <v>0</v>
      </c>
    </row>
    <row r="169" spans="1:23" s="36" customFormat="1" hidden="1" x14ac:dyDescent="0.3">
      <c r="A169" s="6"/>
      <c r="B169" s="17">
        <f t="shared" si="14"/>
        <v>39</v>
      </c>
      <c r="C169" s="18"/>
      <c r="D169" s="19"/>
      <c r="E169" s="19"/>
      <c r="F169" s="35"/>
      <c r="G169" s="35"/>
      <c r="H169" s="35"/>
      <c r="I169" s="20"/>
      <c r="J169" s="21">
        <f t="shared" si="9"/>
        <v>0</v>
      </c>
      <c r="K169" s="7"/>
      <c r="V169" s="5">
        <f t="shared" si="10"/>
        <v>0</v>
      </c>
      <c r="W169" s="5">
        <f t="shared" si="11"/>
        <v>0</v>
      </c>
    </row>
    <row r="170" spans="1:23" s="36" customFormat="1" hidden="1" x14ac:dyDescent="0.3">
      <c r="A170" s="6"/>
      <c r="B170" s="17">
        <f t="shared" si="14"/>
        <v>40</v>
      </c>
      <c r="C170" s="18"/>
      <c r="D170" s="19"/>
      <c r="E170" s="19"/>
      <c r="F170" s="35"/>
      <c r="G170" s="35"/>
      <c r="H170" s="35"/>
      <c r="I170" s="20"/>
      <c r="J170" s="21">
        <f t="shared" si="9"/>
        <v>0</v>
      </c>
      <c r="K170" s="7"/>
      <c r="V170" s="5">
        <f t="shared" si="10"/>
        <v>0</v>
      </c>
      <c r="W170" s="5">
        <f t="shared" si="11"/>
        <v>0</v>
      </c>
    </row>
    <row r="171" spans="1:23" s="36" customFormat="1" hidden="1" x14ac:dyDescent="0.3">
      <c r="A171" s="6"/>
      <c r="B171" s="17">
        <f t="shared" si="14"/>
        <v>41</v>
      </c>
      <c r="C171" s="18"/>
      <c r="D171" s="19"/>
      <c r="E171" s="19"/>
      <c r="F171" s="35"/>
      <c r="G171" s="35"/>
      <c r="H171" s="35"/>
      <c r="I171" s="20"/>
      <c r="J171" s="21">
        <f t="shared" si="9"/>
        <v>0</v>
      </c>
      <c r="K171" s="7"/>
      <c r="V171" s="5">
        <f t="shared" si="10"/>
        <v>0</v>
      </c>
      <c r="W171" s="5">
        <f t="shared" si="11"/>
        <v>0</v>
      </c>
    </row>
    <row r="172" spans="1:23" s="36" customFormat="1" hidden="1" x14ac:dyDescent="0.3">
      <c r="A172" s="6"/>
      <c r="B172" s="17">
        <f t="shared" si="14"/>
        <v>42</v>
      </c>
      <c r="C172" s="18"/>
      <c r="D172" s="19"/>
      <c r="E172" s="19"/>
      <c r="F172" s="35"/>
      <c r="G172" s="35"/>
      <c r="H172" s="35"/>
      <c r="I172" s="20"/>
      <c r="J172" s="21">
        <f t="shared" si="9"/>
        <v>0</v>
      </c>
      <c r="K172" s="7"/>
      <c r="V172" s="5">
        <f t="shared" si="10"/>
        <v>0</v>
      </c>
      <c r="W172" s="5">
        <f t="shared" si="11"/>
        <v>0</v>
      </c>
    </row>
    <row r="173" spans="1:23" s="36" customFormat="1" hidden="1" x14ac:dyDescent="0.3">
      <c r="A173" s="6"/>
      <c r="B173" s="17">
        <f t="shared" si="14"/>
        <v>43</v>
      </c>
      <c r="C173" s="18"/>
      <c r="D173" s="19"/>
      <c r="E173" s="19"/>
      <c r="F173" s="35"/>
      <c r="G173" s="35"/>
      <c r="H173" s="35"/>
      <c r="I173" s="20"/>
      <c r="J173" s="21">
        <f t="shared" si="9"/>
        <v>0</v>
      </c>
      <c r="K173" s="7"/>
      <c r="V173" s="5">
        <f t="shared" si="10"/>
        <v>0</v>
      </c>
      <c r="W173" s="5">
        <f t="shared" si="11"/>
        <v>0</v>
      </c>
    </row>
    <row r="174" spans="1:23" s="36" customFormat="1" hidden="1" x14ac:dyDescent="0.3">
      <c r="A174" s="6"/>
      <c r="B174" s="17">
        <f t="shared" si="14"/>
        <v>44</v>
      </c>
      <c r="C174" s="18"/>
      <c r="D174" s="19"/>
      <c r="E174" s="19"/>
      <c r="F174" s="35"/>
      <c r="G174" s="35"/>
      <c r="H174" s="35"/>
      <c r="I174" s="20"/>
      <c r="J174" s="21">
        <f t="shared" si="9"/>
        <v>0</v>
      </c>
      <c r="K174" s="7"/>
      <c r="V174" s="5">
        <f t="shared" si="10"/>
        <v>0</v>
      </c>
      <c r="W174" s="5">
        <f t="shared" si="11"/>
        <v>0</v>
      </c>
    </row>
    <row r="175" spans="1:23" s="36" customFormat="1" hidden="1" x14ac:dyDescent="0.3">
      <c r="A175" s="6"/>
      <c r="B175" s="17">
        <f t="shared" si="14"/>
        <v>45</v>
      </c>
      <c r="C175" s="18"/>
      <c r="D175" s="19"/>
      <c r="E175" s="19"/>
      <c r="F175" s="35"/>
      <c r="G175" s="35"/>
      <c r="H175" s="35"/>
      <c r="I175" s="20"/>
      <c r="J175" s="21">
        <f t="shared" si="9"/>
        <v>0</v>
      </c>
      <c r="K175" s="7"/>
      <c r="V175" s="5">
        <f t="shared" si="10"/>
        <v>0</v>
      </c>
      <c r="W175" s="5">
        <f t="shared" si="11"/>
        <v>0</v>
      </c>
    </row>
    <row r="176" spans="1:23" s="36" customFormat="1" hidden="1" x14ac:dyDescent="0.3">
      <c r="A176" s="6"/>
      <c r="B176" s="17">
        <f t="shared" si="14"/>
        <v>46</v>
      </c>
      <c r="C176" s="18"/>
      <c r="D176" s="19"/>
      <c r="E176" s="19"/>
      <c r="F176" s="35"/>
      <c r="G176" s="35"/>
      <c r="H176" s="35"/>
      <c r="I176" s="20"/>
      <c r="J176" s="21">
        <f t="shared" si="9"/>
        <v>0</v>
      </c>
      <c r="K176" s="7"/>
      <c r="V176" s="5">
        <f t="shared" si="10"/>
        <v>0</v>
      </c>
      <c r="W176" s="5">
        <f t="shared" si="11"/>
        <v>0</v>
      </c>
    </row>
    <row r="177" spans="1:23" s="36" customFormat="1" hidden="1" x14ac:dyDescent="0.3">
      <c r="A177" s="6"/>
      <c r="B177" s="17">
        <f t="shared" si="14"/>
        <v>47</v>
      </c>
      <c r="C177" s="18"/>
      <c r="D177" s="19"/>
      <c r="E177" s="19"/>
      <c r="F177" s="35"/>
      <c r="G177" s="35"/>
      <c r="H177" s="35"/>
      <c r="I177" s="20"/>
      <c r="J177" s="21">
        <f t="shared" si="9"/>
        <v>0</v>
      </c>
      <c r="K177" s="7"/>
      <c r="V177" s="5">
        <f t="shared" si="10"/>
        <v>0</v>
      </c>
      <c r="W177" s="5">
        <f t="shared" si="11"/>
        <v>0</v>
      </c>
    </row>
    <row r="178" spans="1:23" s="36" customFormat="1" ht="15" hidden="1" thickBot="1" x14ac:dyDescent="0.35">
      <c r="A178" s="6"/>
      <c r="B178" s="95">
        <f t="shared" si="14"/>
        <v>48</v>
      </c>
      <c r="C178" s="79"/>
      <c r="D178" s="80"/>
      <c r="E178" s="80"/>
      <c r="F178" s="96"/>
      <c r="G178" s="96"/>
      <c r="H178" s="96"/>
      <c r="I178" s="81"/>
      <c r="J178" s="82">
        <f t="shared" si="9"/>
        <v>0</v>
      </c>
      <c r="K178" s="7"/>
      <c r="V178" s="5">
        <f t="shared" si="10"/>
        <v>0</v>
      </c>
      <c r="W178" s="5">
        <f t="shared" si="11"/>
        <v>0</v>
      </c>
    </row>
    <row r="179" spans="1:23" s="36" customFormat="1" ht="24" thickBot="1" x14ac:dyDescent="0.5">
      <c r="A179" s="6"/>
      <c r="B179" s="165" t="s">
        <v>22</v>
      </c>
      <c r="C179" s="166"/>
      <c r="D179" s="166"/>
      <c r="E179" s="166"/>
      <c r="F179" s="166"/>
      <c r="G179" s="166"/>
      <c r="H179" s="167"/>
      <c r="I179" s="83" t="s">
        <v>23</v>
      </c>
      <c r="J179" s="84">
        <f>SUM(J131:J178)</f>
        <v>97200</v>
      </c>
      <c r="K179" s="7"/>
      <c r="L179" s="5"/>
      <c r="M179" s="5"/>
      <c r="N179" s="5"/>
      <c r="O179" s="5"/>
      <c r="P179" s="5"/>
      <c r="Q179" s="5"/>
      <c r="R179" s="5"/>
      <c r="V179" s="36">
        <f>SUM(V131:V178)</f>
        <v>27</v>
      </c>
      <c r="W179" s="36">
        <f>SUM(W131:W178)</f>
        <v>8</v>
      </c>
    </row>
    <row r="180" spans="1:23" s="36" customFormat="1" ht="30" customHeight="1" thickBot="1" x14ac:dyDescent="0.35">
      <c r="A180" s="30"/>
      <c r="B180" s="31"/>
      <c r="C180" s="31"/>
      <c r="D180" s="31"/>
      <c r="E180" s="31"/>
      <c r="F180" s="31"/>
      <c r="G180" s="31"/>
      <c r="H180" s="32"/>
      <c r="I180" s="31"/>
      <c r="J180" s="32"/>
      <c r="K180" s="33"/>
      <c r="L180" s="5"/>
      <c r="M180" s="5"/>
      <c r="N180" s="5"/>
      <c r="O180" s="5"/>
      <c r="P180" s="5"/>
      <c r="Q180" s="5"/>
      <c r="R180" s="5"/>
    </row>
  </sheetData>
  <mergeCells count="44">
    <mergeCell ref="B123:H123"/>
    <mergeCell ref="B127:J127"/>
    <mergeCell ref="B128:J128"/>
    <mergeCell ref="B129:J129"/>
    <mergeCell ref="B179:H179"/>
    <mergeCell ref="B67:J67"/>
    <mergeCell ref="M10:M11"/>
    <mergeCell ref="N10:N11"/>
    <mergeCell ref="O10:O11"/>
    <mergeCell ref="P10:P11"/>
    <mergeCell ref="M12:O14"/>
    <mergeCell ref="P12:R14"/>
    <mergeCell ref="B61:H61"/>
    <mergeCell ref="B65:J65"/>
    <mergeCell ref="B66:J66"/>
    <mergeCell ref="Q10:Q11"/>
    <mergeCell ref="R10:R11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61" r:id="rId1" xr:uid="{4A5A62AD-AD01-4B70-B8B5-057ACAD73FE8}"/>
    <hyperlink ref="B123" r:id="rId2" xr:uid="{543D1DFA-E6D0-4216-BD68-193CD3380000}"/>
    <hyperlink ref="B179" r:id="rId3" xr:uid="{2FB565E6-917F-49CB-9C18-D4C576ED252A}"/>
    <hyperlink ref="M1" location="MASTER!A1" display="Back" xr:uid="{E6E6568B-C62A-4FCB-969B-7FB6A9C8A656}"/>
    <hyperlink ref="M6:M7" location="'MARCH 2024'!A70" display="EXTRA STOCK FUTURE" xr:uid="{90A45E07-B2AD-4177-BBD4-66D8618758FF}"/>
    <hyperlink ref="M8:M9" location="'MARCH 2024'!A140" display="EXTRA NIFTY OPTION" xr:uid="{F05AE7F3-5D4F-4CAF-AE65-B85B4F75C2D5}"/>
    <hyperlink ref="M4:M5" location="'MARCH 2024'!A1" display="EXTRA BANKNIFTY OPTION" xr:uid="{37411AD8-2F0B-4AC3-A7A3-E0469099CDFE}"/>
  </hyperlinks>
  <pageMargins left="0" right="0" top="0" bottom="0" header="0" footer="0"/>
  <pageSetup paperSize="9" orientation="portrait" r:id="rId4"/>
  <ignoredErrors>
    <ignoredError sqref="J135" formula="1"/>
    <ignoredError sqref="R6 R8 R10 O8:P8 O10:P10" evalError="1"/>
  </ignoredErrors>
  <drawing r:id="rId5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R30"/>
  <sheetViews>
    <sheetView topLeftCell="D13" zoomScale="90" zoomScaleNormal="90" zoomScaleSheetLayoutView="90" workbookViewId="0">
      <selection activeCell="O19" sqref="O19"/>
    </sheetView>
  </sheetViews>
  <sheetFormatPr defaultColWidth="9.109375" defaultRowHeight="14.4" x14ac:dyDescent="0.3"/>
  <cols>
    <col min="1" max="1" width="16.109375" style="36" customWidth="1"/>
    <col min="2" max="2" width="8.88671875" style="37" customWidth="1"/>
    <col min="3" max="3" width="19.44140625" style="37" customWidth="1"/>
    <col min="4" max="4" width="1.44140625" style="37" customWidth="1"/>
    <col min="5" max="5" width="8.88671875" style="36" customWidth="1"/>
    <col min="6" max="6" width="19.44140625" style="36" customWidth="1"/>
    <col min="7" max="7" width="1.44140625" style="36" customWidth="1"/>
    <col min="8" max="8" width="8.88671875" style="36" customWidth="1"/>
    <col min="9" max="9" width="19.44140625" style="36" customWidth="1"/>
    <col min="10" max="10" width="1.44140625" style="36" customWidth="1"/>
    <col min="11" max="11" width="8.88671875" style="36" customWidth="1"/>
    <col min="12" max="12" width="19.44140625" style="36" customWidth="1"/>
    <col min="13" max="13" width="1.44140625" style="36" customWidth="1"/>
    <col min="14" max="14" width="8.88671875" style="36" customWidth="1"/>
    <col min="15" max="15" width="19.44140625" style="36" customWidth="1"/>
    <col min="16" max="16" width="1.88671875" style="36" customWidth="1"/>
    <col min="17" max="17" width="8.88671875" style="36" customWidth="1"/>
    <col min="18" max="18" width="19.44140625" style="36" customWidth="1"/>
    <col min="19" max="19" width="16.109375" style="36" customWidth="1"/>
    <col min="20" max="16384" width="9.109375" style="36"/>
  </cols>
  <sheetData>
    <row r="1" spans="2:18" ht="15" thickBot="1" x14ac:dyDescent="0.35">
      <c r="B1" s="36"/>
      <c r="C1" s="36"/>
      <c r="D1" s="36"/>
    </row>
    <row r="2" spans="2:18" ht="14.25" customHeight="1" x14ac:dyDescent="0.3">
      <c r="B2" s="228"/>
      <c r="C2" s="229"/>
      <c r="D2" s="229"/>
      <c r="E2" s="230"/>
      <c r="F2" s="237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</row>
    <row r="3" spans="2:18" ht="14.25" customHeight="1" x14ac:dyDescent="0.3">
      <c r="B3" s="231"/>
      <c r="C3" s="232"/>
      <c r="D3" s="232"/>
      <c r="E3" s="233"/>
      <c r="F3" s="240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2"/>
    </row>
    <row r="4" spans="2:18" ht="14.25" customHeight="1" x14ac:dyDescent="0.3">
      <c r="B4" s="231"/>
      <c r="C4" s="232"/>
      <c r="D4" s="232"/>
      <c r="E4" s="233"/>
      <c r="F4" s="240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2"/>
    </row>
    <row r="5" spans="2:18" ht="14.25" customHeight="1" x14ac:dyDescent="0.3">
      <c r="B5" s="231"/>
      <c r="C5" s="232"/>
      <c r="D5" s="232"/>
      <c r="E5" s="233"/>
      <c r="F5" s="240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2"/>
    </row>
    <row r="6" spans="2:18" ht="14.25" customHeight="1" x14ac:dyDescent="0.3">
      <c r="B6" s="231"/>
      <c r="C6" s="232"/>
      <c r="D6" s="232"/>
      <c r="E6" s="233"/>
      <c r="F6" s="240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2"/>
    </row>
    <row r="7" spans="2:18" ht="14.25" customHeight="1" x14ac:dyDescent="0.3">
      <c r="B7" s="231"/>
      <c r="C7" s="232"/>
      <c r="D7" s="232"/>
      <c r="E7" s="233"/>
      <c r="F7" s="240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2"/>
    </row>
    <row r="8" spans="2:18" ht="14.25" customHeight="1" x14ac:dyDescent="0.3">
      <c r="B8" s="231"/>
      <c r="C8" s="232"/>
      <c r="D8" s="232"/>
      <c r="E8" s="233"/>
      <c r="F8" s="240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2"/>
    </row>
    <row r="9" spans="2:18" ht="14.25" customHeight="1" x14ac:dyDescent="0.3">
      <c r="B9" s="231"/>
      <c r="C9" s="232"/>
      <c r="D9" s="232"/>
      <c r="E9" s="233"/>
      <c r="F9" s="240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2"/>
    </row>
    <row r="10" spans="2:18" ht="14.25" customHeight="1" x14ac:dyDescent="0.3">
      <c r="B10" s="231"/>
      <c r="C10" s="232"/>
      <c r="D10" s="232"/>
      <c r="E10" s="233"/>
      <c r="F10" s="240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2"/>
    </row>
    <row r="11" spans="2:18" ht="15.75" customHeight="1" thickBot="1" x14ac:dyDescent="0.35">
      <c r="B11" s="234"/>
      <c r="C11" s="235"/>
      <c r="D11" s="235"/>
      <c r="E11" s="236"/>
      <c r="F11" s="243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5"/>
    </row>
    <row r="12" spans="2:18" ht="15" thickBot="1" x14ac:dyDescent="0.35">
      <c r="B12" s="36"/>
      <c r="C12" s="36"/>
      <c r="D12" s="36"/>
    </row>
    <row r="13" spans="2:18" ht="15" customHeight="1" x14ac:dyDescent="0.3">
      <c r="B13" s="246" t="s">
        <v>24</v>
      </c>
      <c r="C13" s="247"/>
      <c r="D13" s="250" t="s">
        <v>25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47" t="s">
        <v>24</v>
      </c>
      <c r="R13" s="252"/>
    </row>
    <row r="14" spans="2:18" ht="15.75" customHeight="1" thickBot="1" x14ac:dyDescent="0.35">
      <c r="B14" s="248"/>
      <c r="C14" s="249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49"/>
      <c r="R14" s="253"/>
    </row>
    <row r="15" spans="2:18" ht="15" thickBot="1" x14ac:dyDescent="0.35"/>
    <row r="16" spans="2:18" ht="15" thickBot="1" x14ac:dyDescent="0.35">
      <c r="B16" s="38" t="s">
        <v>26</v>
      </c>
      <c r="C16" s="39" t="s">
        <v>27</v>
      </c>
      <c r="E16" s="38" t="s">
        <v>26</v>
      </c>
      <c r="F16" s="39" t="s">
        <v>27</v>
      </c>
      <c r="G16" s="37"/>
      <c r="H16" s="38" t="s">
        <v>26</v>
      </c>
      <c r="I16" s="39" t="s">
        <v>27</v>
      </c>
      <c r="K16" s="38" t="s">
        <v>26</v>
      </c>
      <c r="L16" s="39" t="s">
        <v>27</v>
      </c>
      <c r="N16" s="38" t="s">
        <v>26</v>
      </c>
      <c r="O16" s="39" t="s">
        <v>27</v>
      </c>
      <c r="Q16" s="38" t="s">
        <v>26</v>
      </c>
      <c r="R16" s="39" t="s">
        <v>27</v>
      </c>
    </row>
    <row r="17" spans="2:18" x14ac:dyDescent="0.3">
      <c r="B17" s="40">
        <v>2020</v>
      </c>
      <c r="C17" s="41"/>
      <c r="E17" s="62">
        <v>2021</v>
      </c>
      <c r="F17" s="63" t="s">
        <v>223</v>
      </c>
      <c r="G17" s="37"/>
      <c r="H17" s="62">
        <v>2022</v>
      </c>
      <c r="I17" s="98" t="s">
        <v>223</v>
      </c>
      <c r="K17" s="44">
        <v>2023</v>
      </c>
      <c r="L17" s="45" t="s">
        <v>223</v>
      </c>
      <c r="N17" s="52">
        <v>2024</v>
      </c>
      <c r="O17" s="53" t="s">
        <v>223</v>
      </c>
      <c r="Q17" s="42"/>
      <c r="R17" s="43"/>
    </row>
    <row r="18" spans="2:18" x14ac:dyDescent="0.3">
      <c r="B18" s="46">
        <v>2020</v>
      </c>
      <c r="C18" s="47"/>
      <c r="E18" s="62">
        <v>2021</v>
      </c>
      <c r="F18" s="63" t="s">
        <v>224</v>
      </c>
      <c r="G18" s="37"/>
      <c r="H18" s="62">
        <v>2022</v>
      </c>
      <c r="I18" s="98" t="s">
        <v>224</v>
      </c>
      <c r="K18" s="50">
        <v>2023</v>
      </c>
      <c r="L18" s="51" t="s">
        <v>224</v>
      </c>
      <c r="N18" s="52">
        <v>2024</v>
      </c>
      <c r="O18" s="53" t="s">
        <v>224</v>
      </c>
      <c r="Q18" s="48"/>
      <c r="R18" s="49"/>
    </row>
    <row r="19" spans="2:18" x14ac:dyDescent="0.3">
      <c r="B19" s="46">
        <v>2020</v>
      </c>
      <c r="C19" s="47"/>
      <c r="E19" s="62">
        <v>2021</v>
      </c>
      <c r="F19" s="63" t="s">
        <v>225</v>
      </c>
      <c r="G19" s="37"/>
      <c r="H19" s="62">
        <v>2022</v>
      </c>
      <c r="I19" s="98" t="s">
        <v>225</v>
      </c>
      <c r="K19" s="50">
        <v>2023</v>
      </c>
      <c r="L19" s="51" t="s">
        <v>225</v>
      </c>
      <c r="N19" s="52">
        <v>2024</v>
      </c>
      <c r="O19" s="53" t="s">
        <v>225</v>
      </c>
      <c r="Q19" s="48"/>
      <c r="R19" s="49"/>
    </row>
    <row r="20" spans="2:18" x14ac:dyDescent="0.3">
      <c r="B20" s="46">
        <v>2020</v>
      </c>
      <c r="C20" s="47"/>
      <c r="E20" s="62">
        <v>2021</v>
      </c>
      <c r="F20" s="63" t="s">
        <v>226</v>
      </c>
      <c r="G20" s="37"/>
      <c r="H20" s="62">
        <v>2022</v>
      </c>
      <c r="I20" s="98" t="s">
        <v>226</v>
      </c>
      <c r="K20" s="50">
        <v>2023</v>
      </c>
      <c r="L20" s="51" t="s">
        <v>226</v>
      </c>
      <c r="N20" s="52">
        <v>2024</v>
      </c>
      <c r="O20" s="53" t="s">
        <v>226</v>
      </c>
      <c r="Q20" s="48"/>
      <c r="R20" s="49"/>
    </row>
    <row r="21" spans="2:18" x14ac:dyDescent="0.3">
      <c r="B21" s="46">
        <v>2020</v>
      </c>
      <c r="C21" s="47"/>
      <c r="E21" s="62">
        <v>2021</v>
      </c>
      <c r="F21" s="63" t="s">
        <v>227</v>
      </c>
      <c r="G21" s="37"/>
      <c r="H21" s="62">
        <v>2022</v>
      </c>
      <c r="I21" s="98" t="s">
        <v>227</v>
      </c>
      <c r="K21" s="50">
        <v>2023</v>
      </c>
      <c r="L21" s="51" t="s">
        <v>227</v>
      </c>
      <c r="N21" s="52">
        <v>2024</v>
      </c>
      <c r="O21" s="53" t="s">
        <v>227</v>
      </c>
      <c r="Q21" s="48"/>
      <c r="R21" s="49"/>
    </row>
    <row r="22" spans="2:18" x14ac:dyDescent="0.3">
      <c r="B22" s="46">
        <v>2020</v>
      </c>
      <c r="C22" s="47"/>
      <c r="E22" s="62">
        <v>2021</v>
      </c>
      <c r="F22" s="63" t="s">
        <v>228</v>
      </c>
      <c r="G22" s="37"/>
      <c r="H22" s="62">
        <v>2022</v>
      </c>
      <c r="I22" s="98" t="s">
        <v>228</v>
      </c>
      <c r="K22" s="50">
        <v>2023</v>
      </c>
      <c r="L22" s="51" t="s">
        <v>228</v>
      </c>
      <c r="N22" s="52">
        <v>2024</v>
      </c>
      <c r="O22" s="53" t="s">
        <v>228</v>
      </c>
      <c r="Q22" s="48"/>
      <c r="R22" s="49"/>
    </row>
    <row r="23" spans="2:18" x14ac:dyDescent="0.3">
      <c r="B23" s="46">
        <v>2020</v>
      </c>
      <c r="C23" s="65" t="s">
        <v>30</v>
      </c>
      <c r="E23" s="62">
        <v>2021</v>
      </c>
      <c r="F23" s="63" t="s">
        <v>229</v>
      </c>
      <c r="G23" s="37"/>
      <c r="H23" s="62">
        <v>2022</v>
      </c>
      <c r="I23" s="98" t="s">
        <v>229</v>
      </c>
      <c r="K23" s="50">
        <v>2023</v>
      </c>
      <c r="L23" s="51" t="s">
        <v>229</v>
      </c>
      <c r="N23" s="52">
        <v>2024</v>
      </c>
      <c r="O23" s="53" t="s">
        <v>229</v>
      </c>
      <c r="Q23" s="48"/>
      <c r="R23" s="49"/>
    </row>
    <row r="24" spans="2:18" x14ac:dyDescent="0.3">
      <c r="B24" s="46">
        <v>2020</v>
      </c>
      <c r="C24" s="65" t="s">
        <v>31</v>
      </c>
      <c r="E24" s="62">
        <v>2021</v>
      </c>
      <c r="F24" s="63" t="s">
        <v>230</v>
      </c>
      <c r="G24" s="37"/>
      <c r="H24" s="62">
        <v>2022</v>
      </c>
      <c r="I24" s="98" t="s">
        <v>230</v>
      </c>
      <c r="K24" s="50">
        <v>2023</v>
      </c>
      <c r="L24" s="51" t="s">
        <v>230</v>
      </c>
      <c r="N24" s="52">
        <v>2024</v>
      </c>
      <c r="O24" s="53" t="s">
        <v>230</v>
      </c>
      <c r="Q24" s="48"/>
      <c r="R24" s="49"/>
    </row>
    <row r="25" spans="2:18" x14ac:dyDescent="0.3">
      <c r="B25" s="46">
        <v>2020</v>
      </c>
      <c r="C25" s="65" t="s">
        <v>32</v>
      </c>
      <c r="E25" s="62">
        <v>2021</v>
      </c>
      <c r="F25" s="63" t="s">
        <v>231</v>
      </c>
      <c r="G25" s="37"/>
      <c r="H25" s="62">
        <v>2022</v>
      </c>
      <c r="I25" s="98" t="s">
        <v>231</v>
      </c>
      <c r="K25" s="50">
        <v>2023</v>
      </c>
      <c r="L25" s="51" t="s">
        <v>231</v>
      </c>
      <c r="N25" s="52">
        <v>2024</v>
      </c>
      <c r="O25" s="53" t="s">
        <v>231</v>
      </c>
      <c r="Q25" s="48"/>
      <c r="R25" s="49"/>
    </row>
    <row r="26" spans="2:18" x14ac:dyDescent="0.3">
      <c r="B26" s="46">
        <v>2020</v>
      </c>
      <c r="C26" s="65" t="s">
        <v>33</v>
      </c>
      <c r="E26" s="62">
        <v>2021</v>
      </c>
      <c r="F26" s="63" t="s">
        <v>232</v>
      </c>
      <c r="G26" s="37"/>
      <c r="H26" s="62">
        <v>2022</v>
      </c>
      <c r="I26" s="98" t="s">
        <v>232</v>
      </c>
      <c r="K26" s="50">
        <v>2023</v>
      </c>
      <c r="L26" s="51" t="s">
        <v>232</v>
      </c>
      <c r="N26" s="52">
        <v>2024</v>
      </c>
      <c r="O26" s="53" t="s">
        <v>232</v>
      </c>
      <c r="Q26" s="48"/>
      <c r="R26" s="49"/>
    </row>
    <row r="27" spans="2:18" x14ac:dyDescent="0.3">
      <c r="B27" s="46">
        <v>2020</v>
      </c>
      <c r="C27" s="65" t="s">
        <v>28</v>
      </c>
      <c r="E27" s="62">
        <v>2021</v>
      </c>
      <c r="F27" s="63" t="s">
        <v>233</v>
      </c>
      <c r="G27" s="37"/>
      <c r="H27" s="62">
        <v>2022</v>
      </c>
      <c r="I27" s="98" t="s">
        <v>233</v>
      </c>
      <c r="K27" s="50">
        <v>2023</v>
      </c>
      <c r="L27" s="51" t="s">
        <v>233</v>
      </c>
      <c r="N27" s="52">
        <v>2024</v>
      </c>
      <c r="O27" s="53" t="s">
        <v>233</v>
      </c>
      <c r="Q27" s="48"/>
      <c r="R27" s="54"/>
    </row>
    <row r="28" spans="2:18" ht="15" thickBot="1" x14ac:dyDescent="0.35">
      <c r="B28" s="46">
        <v>2020</v>
      </c>
      <c r="C28" s="64" t="s">
        <v>29</v>
      </c>
      <c r="E28" s="62">
        <v>2021</v>
      </c>
      <c r="F28" s="63" t="s">
        <v>234</v>
      </c>
      <c r="G28" s="37"/>
      <c r="H28" s="62">
        <v>2022</v>
      </c>
      <c r="I28" s="98" t="s">
        <v>234</v>
      </c>
      <c r="K28" s="50">
        <v>2023</v>
      </c>
      <c r="L28" s="51" t="s">
        <v>234</v>
      </c>
      <c r="N28" s="56">
        <v>2024</v>
      </c>
      <c r="O28" s="57" t="s">
        <v>234</v>
      </c>
      <c r="Q28" s="55"/>
      <c r="R28" s="58"/>
    </row>
    <row r="29" spans="2:18" x14ac:dyDescent="0.3">
      <c r="G29" s="37"/>
    </row>
    <row r="30" spans="2:18" x14ac:dyDescent="0.3">
      <c r="G30" s="37"/>
    </row>
  </sheetData>
  <mergeCells count="5">
    <mergeCell ref="B2:E11"/>
    <mergeCell ref="F2:R11"/>
    <mergeCell ref="B13:C14"/>
    <mergeCell ref="D13:P14"/>
    <mergeCell ref="Q13:R14"/>
  </mergeCells>
  <hyperlinks>
    <hyperlink ref="C23" location="'JULY 2020'!A1" display="July" xr:uid="{00000000-0004-0000-2C00-000000000000}"/>
    <hyperlink ref="C24" location="'AUGUST 2020'!A1" display="August" xr:uid="{00000000-0004-0000-2C00-000001000000}"/>
    <hyperlink ref="C25" location="'SEP 2020'!A1" display="September" xr:uid="{00000000-0004-0000-2C00-000002000000}"/>
    <hyperlink ref="C26" location="'OCT 2020'!A1" display="October" xr:uid="{00000000-0004-0000-2C00-000003000000}"/>
    <hyperlink ref="C27" location="'NOV 2020'!A1" display="November" xr:uid="{00000000-0004-0000-2C00-000004000000}"/>
    <hyperlink ref="C28" location="'DEC 2020'!A1" display="December" xr:uid="{00000000-0004-0000-2C00-000005000000}"/>
    <hyperlink ref="F17" location="'JAN 2021'!A1" display="JANUARY" xr:uid="{00000000-0004-0000-2C00-000006000000}"/>
    <hyperlink ref="F18" location="'FEB 2021'!A1" display="FEBRUARY" xr:uid="{00000000-0004-0000-2C00-000007000000}"/>
    <hyperlink ref="F20" location="'APRIL 2021'!A1" display="APRIL" xr:uid="{00000000-0004-0000-2C00-000008000000}"/>
    <hyperlink ref="F21" location="'MAY 2021'!A1" display="MAY" xr:uid="{00000000-0004-0000-2C00-000009000000}"/>
    <hyperlink ref="F22" location="'JUNE 2021'!A1" display="JUNE" xr:uid="{00000000-0004-0000-2C00-00000A000000}"/>
    <hyperlink ref="F23" location="'JULY 2021'!A1" display="JULY" xr:uid="{00000000-0004-0000-2C00-00000B000000}"/>
    <hyperlink ref="F24" location="'AUGUST 2021'!A1" display="AUGUST" xr:uid="{00000000-0004-0000-2C00-00000C000000}"/>
    <hyperlink ref="F25" location="'SEP 2021'!A1" display="SEPTEMBER" xr:uid="{00000000-0004-0000-2C00-00000D000000}"/>
    <hyperlink ref="F26" location="'OCT 2021'!A1" display="OCTOBER" xr:uid="{00000000-0004-0000-2C00-00000E000000}"/>
    <hyperlink ref="F27" location="'NOV 2021'!A1" display="NOVEMBER" xr:uid="{00000000-0004-0000-2C00-00000F000000}"/>
    <hyperlink ref="F28" location="'DEC 2021'!A1" display="DECEMBER" xr:uid="{00000000-0004-0000-2C00-000010000000}"/>
    <hyperlink ref="I17" location="'JAN 2022'!A1" display="JANUARY" xr:uid="{00000000-0004-0000-2C00-000011000000}"/>
    <hyperlink ref="I18" location="'FEB 2022'!A1" display="FEBRUARY" xr:uid="{00000000-0004-0000-2C00-000012000000}"/>
    <hyperlink ref="I19" location="'MAR 2022'!A1" display="MARCH" xr:uid="{00000000-0004-0000-2C00-000013000000}"/>
    <hyperlink ref="I20" location="'APRIL 2022'!A1" display="APRIL" xr:uid="{00000000-0004-0000-2C00-000014000000}"/>
    <hyperlink ref="I21" location="'MAY 2022'!A1" display="MAY" xr:uid="{00000000-0004-0000-2C00-000015000000}"/>
    <hyperlink ref="I22" location="'JUNE 2022'!A1" display="JUNE" xr:uid="{00000000-0004-0000-2C00-000016000000}"/>
    <hyperlink ref="I23" location="'JULY 2022'!A1" display="JULY" xr:uid="{00000000-0004-0000-2C00-000017000000}"/>
    <hyperlink ref="I24" location="'AUGUST 2022'!A1" display="AUGUST" xr:uid="{00000000-0004-0000-2C00-000018000000}"/>
    <hyperlink ref="I25" location="'SEP 2022'!A1" display="SEPTEMBER" xr:uid="{00000000-0004-0000-2C00-000019000000}"/>
    <hyperlink ref="I26" location="'OCTOBER 2022'!A1" display="OCTOBER" xr:uid="{00000000-0004-0000-2C00-00001A000000}"/>
    <hyperlink ref="I27" location="'NOV 2022'!A1" display="NOVEMBER" xr:uid="{00000000-0004-0000-2C00-00001B000000}"/>
    <hyperlink ref="I28" location="'DEC 2022'!A1" display="DECEMBER" xr:uid="{00000000-0004-0000-2C00-00001C000000}"/>
    <hyperlink ref="L17" location="'JAN 2023'!A1" display="JANUARY" xr:uid="{00000000-0004-0000-2C00-00001D000000}"/>
    <hyperlink ref="L18" location="'FEB 2023'!A1" display="FEBRUARY" xr:uid="{00000000-0004-0000-2C00-00001E000000}"/>
    <hyperlink ref="L19" location="'MARCH 2023'!A1" display="MARCH" xr:uid="{00000000-0004-0000-2C00-00001F000000}"/>
    <hyperlink ref="L20" location="'APRIL 2023'!A1" display="APRIL" xr:uid="{00000000-0004-0000-2C00-000020000000}"/>
    <hyperlink ref="L21" location="'MAY 2023'!A1" display="MAY" xr:uid="{00000000-0004-0000-2C00-000021000000}"/>
    <hyperlink ref="L22" location="'JUN 2023'!A1" display="JUNE" xr:uid="{00000000-0004-0000-2C00-000022000000}"/>
    <hyperlink ref="L23" location="'JULY 2023'!A1" display="JULY" xr:uid="{00000000-0004-0000-2C00-000023000000}"/>
    <hyperlink ref="L24" location="'AUGUST 2023'!A1" display="AUGUST" xr:uid="{00000000-0004-0000-2C00-000024000000}"/>
    <hyperlink ref="L25" location="'SEP 2023'!A1" display="SEPTEMBER" xr:uid="{00000000-0004-0000-2C00-000025000000}"/>
    <hyperlink ref="L26" location="'OCT 2023'!A1" display="OCTOBER" xr:uid="{00000000-0004-0000-2C00-000026000000}"/>
    <hyperlink ref="L27" location="'NOV-2023'!A1" display="NOVEMBER" xr:uid="{00000000-0004-0000-2C00-000027000000}"/>
    <hyperlink ref="L28" location="'DEC 2023'!A1" display="DECEMBER" xr:uid="{00000000-0004-0000-2C00-000028000000}"/>
    <hyperlink ref="O17" location="'JAN 2024'!A1" display="JANUARY" xr:uid="{00000000-0004-0000-2C00-000029000000}"/>
    <hyperlink ref="O18" location="'FEB 2024'!A1" display="FEBRUARY" xr:uid="{00000000-0004-0000-2C00-00002A000000}"/>
    <hyperlink ref="O19" location="'MARCH 2024'!A1" display="MARCH" xr:uid="{1AE700CD-9DCD-4A3F-867A-53F28D7BE5BA}"/>
  </hyperlinks>
  <pageMargins left="0" right="0" top="0" bottom="0" header="0" footer="0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34"/>
  <sheetViews>
    <sheetView topLeftCell="A141" workbookViewId="0">
      <selection activeCell="N4" sqref="N4:N5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5.2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44136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161"/>
      <c r="O3" s="125"/>
      <c r="P3" s="125"/>
      <c r="Q3" s="125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55" t="s">
        <v>107</v>
      </c>
      <c r="N4" s="157">
        <v>32</v>
      </c>
      <c r="O4" s="113">
        <v>25</v>
      </c>
      <c r="P4" s="113">
        <v>7</v>
      </c>
      <c r="Q4" s="115">
        <v>0</v>
      </c>
      <c r="R4" s="117">
        <f>O4/N4</f>
        <v>0.78125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56"/>
      <c r="N5" s="158"/>
      <c r="O5" s="114"/>
      <c r="P5" s="114"/>
      <c r="Q5" s="116"/>
      <c r="R5" s="118"/>
      <c r="V5" s="5" t="s">
        <v>5</v>
      </c>
      <c r="W5" s="5" t="s">
        <v>6</v>
      </c>
    </row>
    <row r="6" spans="1:23" x14ac:dyDescent="0.3">
      <c r="A6" s="6"/>
      <c r="B6" s="14">
        <v>1</v>
      </c>
      <c r="C6" s="66">
        <v>44137</v>
      </c>
      <c r="D6" s="67" t="s">
        <v>18</v>
      </c>
      <c r="E6" s="67" t="s">
        <v>131</v>
      </c>
      <c r="F6" s="68">
        <v>220</v>
      </c>
      <c r="G6" s="68">
        <v>320</v>
      </c>
      <c r="H6" s="60">
        <v>100</v>
      </c>
      <c r="I6" s="15">
        <v>100</v>
      </c>
      <c r="J6" s="16">
        <f>H6*I6</f>
        <v>10000</v>
      </c>
      <c r="K6" s="7"/>
      <c r="M6" s="171" t="s">
        <v>108</v>
      </c>
      <c r="N6" s="158">
        <v>23</v>
      </c>
      <c r="O6" s="114">
        <v>17</v>
      </c>
      <c r="P6" s="114">
        <v>6</v>
      </c>
      <c r="Q6" s="163">
        <v>0</v>
      </c>
      <c r="R6" s="118">
        <f t="shared" ref="R6" si="0">O6/N6</f>
        <v>0.73913043478260865</v>
      </c>
      <c r="V6" s="5">
        <f ca="1">SUM(V6:V82)</f>
        <v>0</v>
      </c>
      <c r="W6" s="5">
        <f>IF($J6&lt;0,1,0)</f>
        <v>0</v>
      </c>
    </row>
    <row r="7" spans="1:23" ht="15" thickBot="1" x14ac:dyDescent="0.35">
      <c r="A7" s="6"/>
      <c r="B7" s="17">
        <v>2</v>
      </c>
      <c r="C7" s="66">
        <v>44137</v>
      </c>
      <c r="D7" s="67" t="s">
        <v>18</v>
      </c>
      <c r="E7" s="67" t="s">
        <v>144</v>
      </c>
      <c r="F7" s="68">
        <v>170</v>
      </c>
      <c r="G7" s="68">
        <v>270</v>
      </c>
      <c r="H7" s="67">
        <v>100</v>
      </c>
      <c r="I7" s="20">
        <v>100</v>
      </c>
      <c r="J7" s="21">
        <f t="shared" ref="J7:J81" si="1">H7*I7</f>
        <v>10000</v>
      </c>
      <c r="K7" s="7"/>
      <c r="M7" s="171"/>
      <c r="N7" s="158"/>
      <c r="O7" s="114"/>
      <c r="P7" s="114"/>
      <c r="Q7" s="164"/>
      <c r="R7" s="118"/>
      <c r="V7" s="5">
        <f t="shared" ref="V7:V14" si="2">IF($J7&gt;0,1,0)</f>
        <v>1</v>
      </c>
      <c r="W7" s="5">
        <f t="shared" ref="W7:W14" si="3">IF($J7&lt;0,1,0)</f>
        <v>0</v>
      </c>
    </row>
    <row r="8" spans="1:23" ht="15" customHeight="1" x14ac:dyDescent="0.3">
      <c r="A8" s="6"/>
      <c r="B8" s="17">
        <v>3</v>
      </c>
      <c r="C8" s="18">
        <v>44137</v>
      </c>
      <c r="D8" s="19" t="s">
        <v>18</v>
      </c>
      <c r="E8" s="19" t="s">
        <v>145</v>
      </c>
      <c r="F8" s="35">
        <v>200</v>
      </c>
      <c r="G8" s="35">
        <v>225</v>
      </c>
      <c r="H8" s="35">
        <v>25</v>
      </c>
      <c r="I8" s="20">
        <v>100</v>
      </c>
      <c r="J8" s="21">
        <f t="shared" si="1"/>
        <v>2500</v>
      </c>
      <c r="K8" s="7"/>
      <c r="M8" s="154" t="s">
        <v>19</v>
      </c>
      <c r="N8" s="149">
        <f>SUM(N4:N7)</f>
        <v>55</v>
      </c>
      <c r="O8" s="149">
        <f>SUM(O4:O7)</f>
        <v>42</v>
      </c>
      <c r="P8" s="149">
        <f>SUM(P4:P7)</f>
        <v>13</v>
      </c>
      <c r="Q8" s="151">
        <f>SUM(Q4:Q7)</f>
        <v>0</v>
      </c>
      <c r="R8" s="117">
        <f t="shared" ref="R8" si="4">O8/N8</f>
        <v>0.76363636363636367</v>
      </c>
      <c r="V8" s="5">
        <f t="shared" si="2"/>
        <v>1</v>
      </c>
      <c r="W8" s="5">
        <f t="shared" si="3"/>
        <v>0</v>
      </c>
    </row>
    <row r="9" spans="1:23" ht="13.5" customHeight="1" thickBot="1" x14ac:dyDescent="0.35">
      <c r="A9" s="6"/>
      <c r="B9" s="17">
        <v>4</v>
      </c>
      <c r="C9" s="18">
        <v>44138</v>
      </c>
      <c r="D9" s="19" t="s">
        <v>18</v>
      </c>
      <c r="E9" s="19" t="s">
        <v>146</v>
      </c>
      <c r="F9" s="35">
        <v>190</v>
      </c>
      <c r="G9" s="35">
        <v>240</v>
      </c>
      <c r="H9" s="35">
        <v>50</v>
      </c>
      <c r="I9" s="20">
        <v>100</v>
      </c>
      <c r="J9" s="21">
        <f t="shared" si="1"/>
        <v>5000</v>
      </c>
      <c r="K9" s="7"/>
      <c r="M9" s="148"/>
      <c r="N9" s="150"/>
      <c r="O9" s="150"/>
      <c r="P9" s="150"/>
      <c r="Q9" s="152"/>
      <c r="R9" s="153"/>
      <c r="V9" s="5">
        <f t="shared" si="2"/>
        <v>1</v>
      </c>
      <c r="W9" s="5">
        <f t="shared" si="3"/>
        <v>0</v>
      </c>
    </row>
    <row r="10" spans="1:23" ht="15" customHeight="1" x14ac:dyDescent="0.3">
      <c r="A10" s="6"/>
      <c r="B10" s="17">
        <v>5</v>
      </c>
      <c r="C10" s="18">
        <v>44138</v>
      </c>
      <c r="D10" s="19" t="s">
        <v>18</v>
      </c>
      <c r="E10" s="19" t="s">
        <v>147</v>
      </c>
      <c r="F10" s="35">
        <v>180</v>
      </c>
      <c r="G10" s="35">
        <v>270</v>
      </c>
      <c r="H10" s="35">
        <v>90</v>
      </c>
      <c r="I10" s="20">
        <v>100</v>
      </c>
      <c r="J10" s="21">
        <f t="shared" si="1"/>
        <v>9000</v>
      </c>
      <c r="K10" s="7"/>
      <c r="M10" s="126" t="s">
        <v>20</v>
      </c>
      <c r="N10" s="127"/>
      <c r="O10" s="128"/>
      <c r="P10" s="135">
        <f>R8</f>
        <v>0.76363636363636367</v>
      </c>
      <c r="Q10" s="136"/>
      <c r="R10" s="137"/>
      <c r="V10" s="5">
        <f t="shared" si="2"/>
        <v>1</v>
      </c>
      <c r="W10" s="5">
        <f t="shared" si="3"/>
        <v>0</v>
      </c>
    </row>
    <row r="11" spans="1:23" x14ac:dyDescent="0.3">
      <c r="A11" s="6"/>
      <c r="B11" s="17">
        <v>6</v>
      </c>
      <c r="C11" s="18">
        <v>44139</v>
      </c>
      <c r="D11" s="19" t="s">
        <v>18</v>
      </c>
      <c r="E11" s="19" t="s">
        <v>148</v>
      </c>
      <c r="F11" s="35">
        <v>200</v>
      </c>
      <c r="G11" s="35">
        <v>150</v>
      </c>
      <c r="H11" s="35">
        <v>-50</v>
      </c>
      <c r="I11" s="20">
        <v>100</v>
      </c>
      <c r="J11" s="21">
        <f t="shared" si="1"/>
        <v>-5000</v>
      </c>
      <c r="K11" s="7"/>
      <c r="M11" s="129"/>
      <c r="N11" s="130"/>
      <c r="O11" s="131"/>
      <c r="P11" s="138"/>
      <c r="Q11" s="139"/>
      <c r="R11" s="140"/>
      <c r="V11" s="5">
        <f t="shared" si="2"/>
        <v>0</v>
      </c>
      <c r="W11" s="5">
        <f t="shared" si="3"/>
        <v>1</v>
      </c>
    </row>
    <row r="12" spans="1:23" ht="15" thickBot="1" x14ac:dyDescent="0.35">
      <c r="A12" s="6"/>
      <c r="B12" s="17">
        <v>7</v>
      </c>
      <c r="C12" s="18">
        <v>44139</v>
      </c>
      <c r="D12" s="19" t="s">
        <v>18</v>
      </c>
      <c r="E12" s="19" t="s">
        <v>149</v>
      </c>
      <c r="F12" s="35">
        <v>180</v>
      </c>
      <c r="G12" s="35">
        <v>230</v>
      </c>
      <c r="H12" s="35">
        <v>50</v>
      </c>
      <c r="I12" s="20">
        <v>100</v>
      </c>
      <c r="J12" s="21">
        <f t="shared" si="1"/>
        <v>5000</v>
      </c>
      <c r="K12" s="7"/>
      <c r="M12" s="132"/>
      <c r="N12" s="133"/>
      <c r="O12" s="134"/>
      <c r="P12" s="141"/>
      <c r="Q12" s="142"/>
      <c r="R12" s="143"/>
      <c r="V12" s="5">
        <f t="shared" si="2"/>
        <v>1</v>
      </c>
      <c r="W12" s="5">
        <f t="shared" si="3"/>
        <v>0</v>
      </c>
    </row>
    <row r="13" spans="1:23" x14ac:dyDescent="0.3">
      <c r="A13" s="6"/>
      <c r="B13" s="17">
        <v>8</v>
      </c>
      <c r="C13" s="18">
        <v>44140</v>
      </c>
      <c r="D13" s="19" t="s">
        <v>18</v>
      </c>
      <c r="E13" s="19" t="s">
        <v>150</v>
      </c>
      <c r="F13" s="35">
        <v>100</v>
      </c>
      <c r="G13" s="35">
        <v>184</v>
      </c>
      <c r="H13" s="35">
        <v>84</v>
      </c>
      <c r="I13" s="20">
        <v>100</v>
      </c>
      <c r="J13" s="21">
        <f t="shared" si="1"/>
        <v>8400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7">
        <v>9</v>
      </c>
      <c r="C14" s="18">
        <v>44140</v>
      </c>
      <c r="D14" s="19" t="s">
        <v>18</v>
      </c>
      <c r="E14" s="19" t="s">
        <v>151</v>
      </c>
      <c r="F14" s="35">
        <v>70</v>
      </c>
      <c r="G14" s="35">
        <v>107</v>
      </c>
      <c r="H14" s="35">
        <v>37</v>
      </c>
      <c r="I14" s="20">
        <v>100</v>
      </c>
      <c r="J14" s="21">
        <f t="shared" si="1"/>
        <v>3700</v>
      </c>
      <c r="K14" s="7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18">
        <v>44141</v>
      </c>
      <c r="D15" s="19" t="s">
        <v>18</v>
      </c>
      <c r="E15" s="19" t="s">
        <v>152</v>
      </c>
      <c r="F15" s="35">
        <v>210</v>
      </c>
      <c r="G15" s="35">
        <v>310</v>
      </c>
      <c r="H15" s="35">
        <v>100</v>
      </c>
      <c r="I15" s="20">
        <v>100</v>
      </c>
      <c r="J15" s="21">
        <f t="shared" si="1"/>
        <v>10000</v>
      </c>
      <c r="K15" s="7"/>
      <c r="V15" s="5">
        <f>IF($J15&gt;0,1,0)</f>
        <v>1</v>
      </c>
      <c r="W15" s="5">
        <f>IF($J15&lt;0,1,0)</f>
        <v>0</v>
      </c>
    </row>
    <row r="16" spans="1:23" hidden="1" x14ac:dyDescent="0.3">
      <c r="A16" s="6"/>
      <c r="B16" s="17">
        <v>11</v>
      </c>
      <c r="C16" s="18"/>
      <c r="D16" s="19"/>
      <c r="E16" s="19"/>
      <c r="F16" s="35"/>
      <c r="G16" s="35"/>
      <c r="H16" s="35"/>
      <c r="I16" s="20"/>
      <c r="J16" s="21">
        <f t="shared" si="1"/>
        <v>0</v>
      </c>
      <c r="K16" s="7"/>
      <c r="V16" s="5">
        <f t="shared" ref="V16:V81" si="5">IF($J16&gt;0,1,0)</f>
        <v>0</v>
      </c>
      <c r="W16" s="5">
        <f t="shared" ref="W16:W82" si="6">IF($J16&lt;0,1,0)</f>
        <v>0</v>
      </c>
    </row>
    <row r="17" spans="1:23" hidden="1" x14ac:dyDescent="0.3">
      <c r="A17" s="6"/>
      <c r="B17" s="17">
        <v>12</v>
      </c>
      <c r="C17" s="18"/>
      <c r="D17" s="19"/>
      <c r="E17" s="19"/>
      <c r="F17" s="35"/>
      <c r="G17" s="35"/>
      <c r="H17" s="35"/>
      <c r="I17" s="20"/>
      <c r="J17" s="21">
        <f t="shared" si="1"/>
        <v>0</v>
      </c>
      <c r="K17" s="7"/>
      <c r="V17" s="5">
        <f t="shared" si="5"/>
        <v>0</v>
      </c>
      <c r="W17" s="5">
        <f t="shared" si="6"/>
        <v>0</v>
      </c>
    </row>
    <row r="18" spans="1:23" hidden="1" x14ac:dyDescent="0.3">
      <c r="A18" s="6"/>
      <c r="B18" s="17">
        <v>13</v>
      </c>
      <c r="C18" s="18"/>
      <c r="D18" s="19"/>
      <c r="E18" s="19"/>
      <c r="F18" s="35"/>
      <c r="G18" s="35"/>
      <c r="H18" s="35"/>
      <c r="I18" s="20"/>
      <c r="J18" s="21">
        <f t="shared" si="1"/>
        <v>0</v>
      </c>
      <c r="K18" s="7"/>
      <c r="V18" s="5">
        <f t="shared" si="5"/>
        <v>0</v>
      </c>
      <c r="W18" s="5">
        <f t="shared" si="6"/>
        <v>0</v>
      </c>
    </row>
    <row r="19" spans="1:23" hidden="1" x14ac:dyDescent="0.3">
      <c r="A19" s="6"/>
      <c r="B19" s="17">
        <v>14</v>
      </c>
      <c r="C19" s="18"/>
      <c r="D19" s="19"/>
      <c r="E19" s="19"/>
      <c r="F19" s="35"/>
      <c r="G19" s="35"/>
      <c r="H19" s="35"/>
      <c r="I19" s="20"/>
      <c r="J19" s="21">
        <f t="shared" si="1"/>
        <v>0</v>
      </c>
      <c r="K19" s="7"/>
      <c r="O19" s="22"/>
      <c r="P19" s="22"/>
      <c r="Q19" s="22"/>
      <c r="R19" s="22"/>
      <c r="V19" s="5">
        <f t="shared" si="5"/>
        <v>0</v>
      </c>
      <c r="W19" s="5">
        <f t="shared" si="6"/>
        <v>0</v>
      </c>
    </row>
    <row r="20" spans="1:23" hidden="1" x14ac:dyDescent="0.3">
      <c r="A20" s="6"/>
      <c r="B20" s="17">
        <v>15</v>
      </c>
      <c r="C20" s="18"/>
      <c r="D20" s="19"/>
      <c r="E20" s="19"/>
      <c r="F20" s="35"/>
      <c r="G20" s="35"/>
      <c r="H20" s="35"/>
      <c r="I20" s="20"/>
      <c r="J20" s="21">
        <f t="shared" si="1"/>
        <v>0</v>
      </c>
      <c r="K20" s="7"/>
      <c r="V20" s="5">
        <f t="shared" si="5"/>
        <v>0</v>
      </c>
      <c r="W20" s="5">
        <f t="shared" si="6"/>
        <v>0</v>
      </c>
    </row>
    <row r="21" spans="1:23" hidden="1" x14ac:dyDescent="0.3">
      <c r="A21" s="6"/>
      <c r="B21" s="17">
        <v>16</v>
      </c>
      <c r="C21" s="18"/>
      <c r="D21" s="19"/>
      <c r="E21" s="19"/>
      <c r="F21" s="35"/>
      <c r="G21" s="35"/>
      <c r="H21" s="35"/>
      <c r="I21" s="20"/>
      <c r="J21" s="21">
        <f t="shared" si="1"/>
        <v>0</v>
      </c>
      <c r="K21" s="7"/>
      <c r="V21" s="5">
        <f t="shared" si="5"/>
        <v>0</v>
      </c>
      <c r="W21" s="5">
        <f t="shared" si="6"/>
        <v>0</v>
      </c>
    </row>
    <row r="22" spans="1:23" hidden="1" x14ac:dyDescent="0.3">
      <c r="A22" s="6"/>
      <c r="B22" s="17">
        <v>17</v>
      </c>
      <c r="C22" s="18"/>
      <c r="D22" s="19"/>
      <c r="E22" s="19"/>
      <c r="F22" s="35"/>
      <c r="G22" s="35"/>
      <c r="H22" s="35"/>
      <c r="I22" s="20"/>
      <c r="J22" s="21">
        <f t="shared" si="1"/>
        <v>0</v>
      </c>
      <c r="K22" s="7"/>
      <c r="V22" s="5">
        <f t="shared" si="5"/>
        <v>0</v>
      </c>
      <c r="W22" s="5">
        <f t="shared" si="6"/>
        <v>0</v>
      </c>
    </row>
    <row r="23" spans="1:23" hidden="1" x14ac:dyDescent="0.3">
      <c r="A23" s="6"/>
      <c r="B23" s="17">
        <v>18</v>
      </c>
      <c r="C23" s="18"/>
      <c r="D23" s="19"/>
      <c r="E23" s="19"/>
      <c r="F23" s="35"/>
      <c r="G23" s="35"/>
      <c r="H23" s="35"/>
      <c r="I23" s="20"/>
      <c r="J23" s="21">
        <f t="shared" si="1"/>
        <v>0</v>
      </c>
      <c r="K23" s="7"/>
      <c r="V23" s="5">
        <f t="shared" si="5"/>
        <v>0</v>
      </c>
      <c r="W23" s="5">
        <f t="shared" si="6"/>
        <v>0</v>
      </c>
    </row>
    <row r="24" spans="1:23" hidden="1" x14ac:dyDescent="0.3">
      <c r="A24" s="6"/>
      <c r="B24" s="17">
        <v>19</v>
      </c>
      <c r="C24" s="18"/>
      <c r="D24" s="19"/>
      <c r="E24" s="19"/>
      <c r="F24" s="35"/>
      <c r="G24" s="35"/>
      <c r="H24" s="35"/>
      <c r="I24" s="20"/>
      <c r="J24" s="21">
        <f t="shared" si="1"/>
        <v>0</v>
      </c>
      <c r="K24" s="7"/>
      <c r="V24" s="5">
        <f t="shared" si="5"/>
        <v>0</v>
      </c>
      <c r="W24" s="5">
        <f t="shared" si="6"/>
        <v>0</v>
      </c>
    </row>
    <row r="25" spans="1:23" hidden="1" x14ac:dyDescent="0.3">
      <c r="A25" s="6"/>
      <c r="B25" s="17">
        <v>20</v>
      </c>
      <c r="C25" s="18"/>
      <c r="D25" s="19"/>
      <c r="E25" s="19"/>
      <c r="F25" s="35"/>
      <c r="G25" s="35"/>
      <c r="H25" s="19"/>
      <c r="I25" s="20"/>
      <c r="J25" s="21">
        <f t="shared" si="1"/>
        <v>0</v>
      </c>
      <c r="K25" s="7"/>
      <c r="V25" s="5">
        <f t="shared" si="5"/>
        <v>0</v>
      </c>
      <c r="W25" s="5">
        <f t="shared" si="6"/>
        <v>0</v>
      </c>
    </row>
    <row r="26" spans="1:23" hidden="1" x14ac:dyDescent="0.3">
      <c r="A26" s="6"/>
      <c r="B26" s="17">
        <v>21</v>
      </c>
      <c r="C26" s="18"/>
      <c r="D26" s="19"/>
      <c r="E26" s="19"/>
      <c r="F26" s="35"/>
      <c r="G26" s="35"/>
      <c r="H26" s="19"/>
      <c r="I26" s="20"/>
      <c r="J26" s="21">
        <f t="shared" si="1"/>
        <v>0</v>
      </c>
      <c r="K26" s="7"/>
      <c r="V26" s="5">
        <f t="shared" si="5"/>
        <v>0</v>
      </c>
      <c r="W26" s="5">
        <f t="shared" si="6"/>
        <v>0</v>
      </c>
    </row>
    <row r="27" spans="1:23" hidden="1" x14ac:dyDescent="0.3">
      <c r="A27" s="6"/>
      <c r="B27" s="17">
        <v>22</v>
      </c>
      <c r="C27" s="18"/>
      <c r="D27" s="19"/>
      <c r="E27" s="19"/>
      <c r="F27" s="20"/>
      <c r="G27" s="20"/>
      <c r="H27" s="19"/>
      <c r="I27" s="20"/>
      <c r="J27" s="21">
        <f t="shared" si="1"/>
        <v>0</v>
      </c>
      <c r="K27" s="7"/>
      <c r="V27" s="5">
        <f t="shared" si="5"/>
        <v>0</v>
      </c>
      <c r="W27" s="5">
        <f t="shared" si="6"/>
        <v>0</v>
      </c>
    </row>
    <row r="28" spans="1:23" x14ac:dyDescent="0.3">
      <c r="A28" s="6"/>
      <c r="B28" s="23">
        <v>11</v>
      </c>
      <c r="C28" s="24">
        <v>44141</v>
      </c>
      <c r="D28" s="25" t="s">
        <v>18</v>
      </c>
      <c r="E28" s="25" t="s">
        <v>153</v>
      </c>
      <c r="F28" s="26">
        <v>190</v>
      </c>
      <c r="G28" s="61">
        <v>140</v>
      </c>
      <c r="H28" s="61">
        <v>-50</v>
      </c>
      <c r="I28" s="26">
        <v>100</v>
      </c>
      <c r="J28" s="21">
        <f t="shared" si="1"/>
        <v>-5000</v>
      </c>
      <c r="K28" s="7"/>
      <c r="V28" s="5">
        <f t="shared" si="5"/>
        <v>0</v>
      </c>
      <c r="W28" s="5">
        <f t="shared" si="6"/>
        <v>1</v>
      </c>
    </row>
    <row r="29" spans="1:23" x14ac:dyDescent="0.3">
      <c r="A29" s="6"/>
      <c r="B29" s="23">
        <v>12</v>
      </c>
      <c r="C29" s="24">
        <v>44144</v>
      </c>
      <c r="D29" s="25" t="s">
        <v>18</v>
      </c>
      <c r="E29" s="25" t="s">
        <v>154</v>
      </c>
      <c r="F29" s="26">
        <v>200</v>
      </c>
      <c r="G29" s="61">
        <v>250</v>
      </c>
      <c r="H29" s="61">
        <v>50</v>
      </c>
      <c r="I29" s="26">
        <v>100</v>
      </c>
      <c r="J29" s="21">
        <f t="shared" si="1"/>
        <v>5000</v>
      </c>
      <c r="K29" s="7"/>
      <c r="V29" s="5">
        <f t="shared" si="5"/>
        <v>1</v>
      </c>
      <c r="W29" s="5">
        <f t="shared" si="6"/>
        <v>0</v>
      </c>
    </row>
    <row r="30" spans="1:23" x14ac:dyDescent="0.3">
      <c r="A30" s="6"/>
      <c r="B30" s="23">
        <v>13</v>
      </c>
      <c r="C30" s="24">
        <v>44145</v>
      </c>
      <c r="D30" s="25" t="s">
        <v>18</v>
      </c>
      <c r="E30" s="25" t="s">
        <v>155</v>
      </c>
      <c r="F30" s="26">
        <v>200</v>
      </c>
      <c r="G30" s="61">
        <v>270</v>
      </c>
      <c r="H30" s="61">
        <v>70</v>
      </c>
      <c r="I30" s="26">
        <v>100</v>
      </c>
      <c r="J30" s="21">
        <f t="shared" si="1"/>
        <v>7000</v>
      </c>
      <c r="K30" s="7"/>
      <c r="V30" s="5">
        <f t="shared" si="5"/>
        <v>1</v>
      </c>
      <c r="W30" s="5">
        <f t="shared" si="6"/>
        <v>0</v>
      </c>
    </row>
    <row r="31" spans="1:23" x14ac:dyDescent="0.3">
      <c r="A31" s="6"/>
      <c r="B31" s="23">
        <v>14</v>
      </c>
      <c r="C31" s="24">
        <v>44145</v>
      </c>
      <c r="D31" s="25" t="s">
        <v>18</v>
      </c>
      <c r="E31" s="25" t="s">
        <v>156</v>
      </c>
      <c r="F31" s="26">
        <v>380</v>
      </c>
      <c r="G31" s="61">
        <v>573</v>
      </c>
      <c r="H31" s="61">
        <v>193</v>
      </c>
      <c r="I31" s="26">
        <v>100</v>
      </c>
      <c r="J31" s="21">
        <f t="shared" si="1"/>
        <v>19300</v>
      </c>
      <c r="K31" s="7"/>
      <c r="V31" s="5">
        <f t="shared" si="5"/>
        <v>1</v>
      </c>
      <c r="W31" s="5">
        <f t="shared" si="6"/>
        <v>0</v>
      </c>
    </row>
    <row r="32" spans="1:23" x14ac:dyDescent="0.3">
      <c r="A32" s="6"/>
      <c r="B32" s="23">
        <v>15</v>
      </c>
      <c r="C32" s="24">
        <v>44145</v>
      </c>
      <c r="D32" s="25" t="s">
        <v>18</v>
      </c>
      <c r="E32" s="25" t="s">
        <v>157</v>
      </c>
      <c r="F32" s="26">
        <v>180</v>
      </c>
      <c r="G32" s="61">
        <v>230</v>
      </c>
      <c r="H32" s="61">
        <v>50</v>
      </c>
      <c r="I32" s="26">
        <v>100</v>
      </c>
      <c r="J32" s="21">
        <f t="shared" si="1"/>
        <v>5000</v>
      </c>
      <c r="K32" s="7"/>
      <c r="V32" s="5">
        <f t="shared" si="5"/>
        <v>1</v>
      </c>
      <c r="W32" s="5">
        <f t="shared" si="6"/>
        <v>0</v>
      </c>
    </row>
    <row r="33" spans="1:23" x14ac:dyDescent="0.3">
      <c r="A33" s="6"/>
      <c r="B33" s="23">
        <v>16</v>
      </c>
      <c r="C33" s="24">
        <v>44146</v>
      </c>
      <c r="D33" s="25" t="s">
        <v>18</v>
      </c>
      <c r="E33" s="25" t="s">
        <v>157</v>
      </c>
      <c r="F33" s="26">
        <v>170</v>
      </c>
      <c r="G33" s="61">
        <v>120</v>
      </c>
      <c r="H33" s="61">
        <v>50</v>
      </c>
      <c r="I33" s="26">
        <v>100</v>
      </c>
      <c r="J33" s="21">
        <f t="shared" si="1"/>
        <v>5000</v>
      </c>
      <c r="K33" s="7"/>
      <c r="V33" s="5">
        <f t="shared" si="5"/>
        <v>1</v>
      </c>
      <c r="W33" s="5">
        <f t="shared" si="6"/>
        <v>0</v>
      </c>
    </row>
    <row r="34" spans="1:23" x14ac:dyDescent="0.3">
      <c r="A34" s="6"/>
      <c r="B34" s="23">
        <v>17</v>
      </c>
      <c r="C34" s="24">
        <v>44147</v>
      </c>
      <c r="D34" s="25" t="s">
        <v>18</v>
      </c>
      <c r="E34" s="25" t="s">
        <v>158</v>
      </c>
      <c r="F34" s="26">
        <v>70</v>
      </c>
      <c r="G34" s="61">
        <v>119</v>
      </c>
      <c r="H34" s="61">
        <v>49</v>
      </c>
      <c r="I34" s="26">
        <v>100</v>
      </c>
      <c r="J34" s="21">
        <f t="shared" si="1"/>
        <v>4900</v>
      </c>
      <c r="K34" s="7"/>
      <c r="V34" s="5">
        <f t="shared" si="5"/>
        <v>1</v>
      </c>
      <c r="W34" s="5">
        <f t="shared" si="6"/>
        <v>0</v>
      </c>
    </row>
    <row r="35" spans="1:23" x14ac:dyDescent="0.3">
      <c r="A35" s="6"/>
      <c r="B35" s="23">
        <v>18</v>
      </c>
      <c r="C35" s="24">
        <v>44147</v>
      </c>
      <c r="D35" s="25" t="s">
        <v>18</v>
      </c>
      <c r="E35" s="25" t="s">
        <v>159</v>
      </c>
      <c r="F35" s="26">
        <v>50</v>
      </c>
      <c r="G35" s="61">
        <v>68</v>
      </c>
      <c r="H35" s="61">
        <v>18</v>
      </c>
      <c r="I35" s="26">
        <v>100</v>
      </c>
      <c r="J35" s="21">
        <f t="shared" si="1"/>
        <v>1800</v>
      </c>
      <c r="K35" s="7"/>
      <c r="V35" s="5">
        <f t="shared" si="5"/>
        <v>1</v>
      </c>
      <c r="W35" s="5">
        <f t="shared" si="6"/>
        <v>0</v>
      </c>
    </row>
    <row r="36" spans="1:23" x14ac:dyDescent="0.3">
      <c r="A36" s="6"/>
      <c r="B36" s="23">
        <v>19</v>
      </c>
      <c r="C36" s="24">
        <v>44154</v>
      </c>
      <c r="D36" s="25" t="s">
        <v>18</v>
      </c>
      <c r="E36" s="25" t="s">
        <v>160</v>
      </c>
      <c r="F36" s="26">
        <v>90</v>
      </c>
      <c r="G36" s="61">
        <v>148</v>
      </c>
      <c r="H36" s="61">
        <v>58</v>
      </c>
      <c r="I36" s="26">
        <v>100</v>
      </c>
      <c r="J36" s="21">
        <f t="shared" si="1"/>
        <v>5800</v>
      </c>
      <c r="K36" s="7"/>
      <c r="V36" s="5">
        <f t="shared" si="5"/>
        <v>1</v>
      </c>
      <c r="W36" s="5">
        <f t="shared" si="6"/>
        <v>0</v>
      </c>
    </row>
    <row r="37" spans="1:23" x14ac:dyDescent="0.3">
      <c r="A37" s="6"/>
      <c r="B37" s="23">
        <v>20</v>
      </c>
      <c r="C37" s="24">
        <v>44154</v>
      </c>
      <c r="D37" s="25" t="s">
        <v>18</v>
      </c>
      <c r="E37" s="25" t="s">
        <v>160</v>
      </c>
      <c r="F37" s="26">
        <v>110</v>
      </c>
      <c r="G37" s="61">
        <v>138</v>
      </c>
      <c r="H37" s="61">
        <v>28</v>
      </c>
      <c r="I37" s="26">
        <v>100</v>
      </c>
      <c r="J37" s="21">
        <f t="shared" si="1"/>
        <v>2800</v>
      </c>
      <c r="K37" s="7"/>
      <c r="V37" s="5">
        <f t="shared" si="5"/>
        <v>1</v>
      </c>
      <c r="W37" s="5">
        <f t="shared" si="6"/>
        <v>0</v>
      </c>
    </row>
    <row r="38" spans="1:23" x14ac:dyDescent="0.3">
      <c r="A38" s="6"/>
      <c r="B38" s="23">
        <v>21</v>
      </c>
      <c r="C38" s="24">
        <v>44155</v>
      </c>
      <c r="D38" s="25" t="s">
        <v>18</v>
      </c>
      <c r="E38" s="25" t="s">
        <v>159</v>
      </c>
      <c r="F38" s="26">
        <v>250</v>
      </c>
      <c r="G38" s="61">
        <v>200</v>
      </c>
      <c r="H38" s="61">
        <v>-50</v>
      </c>
      <c r="I38" s="26">
        <v>100</v>
      </c>
      <c r="J38" s="21">
        <f t="shared" si="1"/>
        <v>-5000</v>
      </c>
      <c r="K38" s="7"/>
      <c r="V38" s="5">
        <f t="shared" si="5"/>
        <v>0</v>
      </c>
      <c r="W38" s="5">
        <f t="shared" si="6"/>
        <v>1</v>
      </c>
    </row>
    <row r="39" spans="1:23" x14ac:dyDescent="0.3">
      <c r="A39" s="6"/>
      <c r="B39" s="23">
        <v>22</v>
      </c>
      <c r="C39" s="24">
        <v>44155</v>
      </c>
      <c r="D39" s="25" t="s">
        <v>18</v>
      </c>
      <c r="E39" s="25" t="s">
        <v>159</v>
      </c>
      <c r="F39" s="26">
        <v>210</v>
      </c>
      <c r="G39" s="61">
        <v>231</v>
      </c>
      <c r="H39" s="61">
        <v>21</v>
      </c>
      <c r="I39" s="26">
        <v>100</v>
      </c>
      <c r="J39" s="21">
        <f t="shared" si="1"/>
        <v>2100</v>
      </c>
      <c r="K39" s="7"/>
      <c r="V39" s="5">
        <f t="shared" si="5"/>
        <v>1</v>
      </c>
      <c r="W39" s="5">
        <f t="shared" si="6"/>
        <v>0</v>
      </c>
    </row>
    <row r="40" spans="1:23" x14ac:dyDescent="0.3">
      <c r="A40" s="6"/>
      <c r="B40" s="23">
        <v>23</v>
      </c>
      <c r="C40" s="24">
        <v>44158</v>
      </c>
      <c r="D40" s="25" t="s">
        <v>18</v>
      </c>
      <c r="E40" s="25" t="s">
        <v>161</v>
      </c>
      <c r="F40" s="26">
        <v>200</v>
      </c>
      <c r="G40" s="61">
        <v>235</v>
      </c>
      <c r="H40" s="61">
        <v>35</v>
      </c>
      <c r="I40" s="26">
        <v>100</v>
      </c>
      <c r="J40" s="21">
        <f t="shared" si="1"/>
        <v>3500</v>
      </c>
      <c r="K40" s="7"/>
      <c r="V40" s="5">
        <f t="shared" si="5"/>
        <v>1</v>
      </c>
      <c r="W40" s="5">
        <f t="shared" si="6"/>
        <v>0</v>
      </c>
    </row>
    <row r="41" spans="1:23" x14ac:dyDescent="0.3">
      <c r="A41" s="6"/>
      <c r="B41" s="23">
        <v>24</v>
      </c>
      <c r="C41" s="24">
        <v>44158</v>
      </c>
      <c r="D41" s="25" t="s">
        <v>18</v>
      </c>
      <c r="E41" s="25" t="s">
        <v>162</v>
      </c>
      <c r="F41" s="26">
        <v>180</v>
      </c>
      <c r="G41" s="61">
        <v>130</v>
      </c>
      <c r="H41" s="61">
        <v>-50</v>
      </c>
      <c r="I41" s="26">
        <v>100</v>
      </c>
      <c r="J41" s="21">
        <f t="shared" si="1"/>
        <v>-5000</v>
      </c>
      <c r="K41" s="7"/>
      <c r="V41" s="5">
        <f t="shared" si="5"/>
        <v>0</v>
      </c>
      <c r="W41" s="5">
        <f t="shared" si="6"/>
        <v>1</v>
      </c>
    </row>
    <row r="42" spans="1:23" x14ac:dyDescent="0.3">
      <c r="A42" s="6"/>
      <c r="B42" s="23">
        <v>25</v>
      </c>
      <c r="C42" s="24">
        <v>44159</v>
      </c>
      <c r="D42" s="25" t="s">
        <v>18</v>
      </c>
      <c r="E42" s="25" t="s">
        <v>162</v>
      </c>
      <c r="F42" s="26">
        <v>180</v>
      </c>
      <c r="G42" s="61">
        <v>249</v>
      </c>
      <c r="H42" s="61">
        <v>69</v>
      </c>
      <c r="I42" s="26">
        <v>100</v>
      </c>
      <c r="J42" s="21">
        <f t="shared" si="1"/>
        <v>6900</v>
      </c>
      <c r="K42" s="7"/>
      <c r="V42" s="5">
        <f t="shared" si="5"/>
        <v>1</v>
      </c>
      <c r="W42" s="5">
        <f t="shared" si="6"/>
        <v>0</v>
      </c>
    </row>
    <row r="43" spans="1:23" x14ac:dyDescent="0.3">
      <c r="A43" s="6"/>
      <c r="B43" s="23">
        <v>26</v>
      </c>
      <c r="C43" s="24">
        <v>44159</v>
      </c>
      <c r="D43" s="25" t="s">
        <v>18</v>
      </c>
      <c r="E43" s="25" t="s">
        <v>163</v>
      </c>
      <c r="F43" s="26">
        <v>180</v>
      </c>
      <c r="G43" s="61">
        <v>130</v>
      </c>
      <c r="H43" s="61">
        <v>-50</v>
      </c>
      <c r="I43" s="26">
        <v>100</v>
      </c>
      <c r="J43" s="21">
        <f t="shared" si="1"/>
        <v>-5000</v>
      </c>
      <c r="K43" s="7"/>
      <c r="V43" s="5">
        <f t="shared" si="5"/>
        <v>0</v>
      </c>
      <c r="W43" s="5">
        <f t="shared" si="6"/>
        <v>1</v>
      </c>
    </row>
    <row r="44" spans="1:23" x14ac:dyDescent="0.3">
      <c r="A44" s="6"/>
      <c r="B44" s="23">
        <v>27</v>
      </c>
      <c r="C44" s="24">
        <v>44160</v>
      </c>
      <c r="D44" s="25" t="s">
        <v>18</v>
      </c>
      <c r="E44" s="25" t="s">
        <v>164</v>
      </c>
      <c r="F44" s="26">
        <v>200</v>
      </c>
      <c r="G44" s="61">
        <v>250</v>
      </c>
      <c r="H44" s="61">
        <v>50</v>
      </c>
      <c r="I44" s="26">
        <v>100</v>
      </c>
      <c r="J44" s="21">
        <f t="shared" si="1"/>
        <v>5000</v>
      </c>
      <c r="K44" s="7"/>
      <c r="V44" s="5">
        <f t="shared" si="5"/>
        <v>1</v>
      </c>
      <c r="W44" s="5">
        <f t="shared" si="6"/>
        <v>0</v>
      </c>
    </row>
    <row r="45" spans="1:23" x14ac:dyDescent="0.3">
      <c r="A45" s="6"/>
      <c r="B45" s="23">
        <v>28</v>
      </c>
      <c r="C45" s="24">
        <v>44160</v>
      </c>
      <c r="D45" s="25" t="s">
        <v>18</v>
      </c>
      <c r="E45" s="25" t="s">
        <v>165</v>
      </c>
      <c r="F45" s="26">
        <v>170</v>
      </c>
      <c r="G45" s="61">
        <v>211</v>
      </c>
      <c r="H45" s="61">
        <v>41</v>
      </c>
      <c r="I45" s="26">
        <v>100</v>
      </c>
      <c r="J45" s="21">
        <f t="shared" si="1"/>
        <v>4100</v>
      </c>
      <c r="K45" s="7"/>
      <c r="V45" s="5">
        <f t="shared" si="5"/>
        <v>1</v>
      </c>
      <c r="W45" s="5">
        <f t="shared" si="6"/>
        <v>0</v>
      </c>
    </row>
    <row r="46" spans="1:23" x14ac:dyDescent="0.3">
      <c r="A46" s="6"/>
      <c r="B46" s="23">
        <v>29</v>
      </c>
      <c r="C46" s="24">
        <v>44161</v>
      </c>
      <c r="D46" s="25" t="s">
        <v>18</v>
      </c>
      <c r="E46" s="25" t="s">
        <v>168</v>
      </c>
      <c r="F46" s="26">
        <v>90</v>
      </c>
      <c r="G46" s="61">
        <v>40</v>
      </c>
      <c r="H46" s="61">
        <v>-50</v>
      </c>
      <c r="I46" s="26">
        <v>100</v>
      </c>
      <c r="J46" s="21">
        <f t="shared" si="1"/>
        <v>-5000</v>
      </c>
      <c r="K46" s="7"/>
      <c r="V46" s="5">
        <f t="shared" si="5"/>
        <v>0</v>
      </c>
      <c r="W46" s="5">
        <f t="shared" si="6"/>
        <v>1</v>
      </c>
    </row>
    <row r="47" spans="1:23" x14ac:dyDescent="0.3">
      <c r="A47" s="6"/>
      <c r="B47" s="23">
        <v>30</v>
      </c>
      <c r="C47" s="24">
        <v>44161</v>
      </c>
      <c r="D47" s="25" t="s">
        <v>18</v>
      </c>
      <c r="E47" s="25" t="s">
        <v>169</v>
      </c>
      <c r="F47" s="26">
        <v>90</v>
      </c>
      <c r="G47" s="61">
        <v>99</v>
      </c>
      <c r="H47" s="61">
        <v>9</v>
      </c>
      <c r="I47" s="26">
        <v>100</v>
      </c>
      <c r="J47" s="21">
        <f t="shared" si="1"/>
        <v>900</v>
      </c>
      <c r="K47" s="7"/>
      <c r="V47" s="5">
        <f t="shared" si="5"/>
        <v>1</v>
      </c>
      <c r="W47" s="5">
        <f t="shared" si="6"/>
        <v>0</v>
      </c>
    </row>
    <row r="48" spans="1:23" x14ac:dyDescent="0.3">
      <c r="A48" s="6"/>
      <c r="B48" s="23">
        <v>31</v>
      </c>
      <c r="C48" s="24">
        <v>44162</v>
      </c>
      <c r="D48" s="25" t="s">
        <v>18</v>
      </c>
      <c r="E48" s="25" t="s">
        <v>170</v>
      </c>
      <c r="F48" s="26">
        <v>220</v>
      </c>
      <c r="G48" s="61">
        <v>249</v>
      </c>
      <c r="H48" s="61">
        <v>29</v>
      </c>
      <c r="I48" s="26">
        <v>100</v>
      </c>
      <c r="J48" s="21">
        <f t="shared" si="1"/>
        <v>2900</v>
      </c>
      <c r="K48" s="7"/>
      <c r="V48" s="5">
        <f t="shared" si="5"/>
        <v>1</v>
      </c>
      <c r="W48" s="5">
        <f t="shared" si="6"/>
        <v>0</v>
      </c>
    </row>
    <row r="49" spans="1:23" x14ac:dyDescent="0.3">
      <c r="A49" s="6"/>
      <c r="B49" s="23">
        <v>32</v>
      </c>
      <c r="C49" s="24">
        <v>44162</v>
      </c>
      <c r="D49" s="25" t="s">
        <v>18</v>
      </c>
      <c r="E49" s="25" t="s">
        <v>171</v>
      </c>
      <c r="F49" s="26">
        <v>230</v>
      </c>
      <c r="G49" s="61">
        <v>180</v>
      </c>
      <c r="H49" s="61">
        <v>-50</v>
      </c>
      <c r="I49" s="26">
        <v>100</v>
      </c>
      <c r="J49" s="21">
        <f t="shared" si="1"/>
        <v>-5000</v>
      </c>
      <c r="K49" s="7"/>
      <c r="V49" s="5">
        <f t="shared" si="5"/>
        <v>0</v>
      </c>
      <c r="W49" s="5">
        <f t="shared" si="6"/>
        <v>1</v>
      </c>
    </row>
    <row r="50" spans="1:23" ht="15" thickBot="1" x14ac:dyDescent="0.35">
      <c r="A50" s="6"/>
      <c r="B50" s="23">
        <v>33</v>
      </c>
      <c r="C50" s="24"/>
      <c r="D50" s="25"/>
      <c r="E50" s="25"/>
      <c r="F50" s="26"/>
      <c r="G50" s="61"/>
      <c r="H50" s="61"/>
      <c r="I50" s="26"/>
      <c r="J50" s="21">
        <f t="shared" si="1"/>
        <v>0</v>
      </c>
      <c r="K50" s="7"/>
      <c r="V50" s="5">
        <f t="shared" si="5"/>
        <v>0</v>
      </c>
      <c r="W50" s="5">
        <f t="shared" si="6"/>
        <v>0</v>
      </c>
    </row>
    <row r="51" spans="1:23" hidden="1" x14ac:dyDescent="0.3">
      <c r="A51" s="6"/>
      <c r="B51" s="23">
        <v>34</v>
      </c>
      <c r="C51" s="24"/>
      <c r="D51" s="25"/>
      <c r="E51" s="25"/>
      <c r="F51" s="26"/>
      <c r="G51" s="61"/>
      <c r="H51" s="61"/>
      <c r="I51" s="26"/>
      <c r="J51" s="21">
        <f t="shared" si="1"/>
        <v>0</v>
      </c>
      <c r="K51" s="7"/>
      <c r="V51" s="5">
        <f t="shared" si="5"/>
        <v>0</v>
      </c>
      <c r="W51" s="5">
        <f t="shared" si="6"/>
        <v>0</v>
      </c>
    </row>
    <row r="52" spans="1:23" hidden="1" x14ac:dyDescent="0.3">
      <c r="A52" s="6"/>
      <c r="B52" s="23">
        <v>35</v>
      </c>
      <c r="C52" s="24"/>
      <c r="D52" s="25"/>
      <c r="E52" s="25"/>
      <c r="F52" s="26"/>
      <c r="G52" s="61"/>
      <c r="H52" s="61"/>
      <c r="I52" s="26"/>
      <c r="J52" s="21">
        <f t="shared" si="1"/>
        <v>0</v>
      </c>
      <c r="K52" s="7"/>
      <c r="V52" s="5">
        <f t="shared" si="5"/>
        <v>0</v>
      </c>
      <c r="W52" s="5">
        <f t="shared" si="6"/>
        <v>0</v>
      </c>
    </row>
    <row r="53" spans="1:23" hidden="1" x14ac:dyDescent="0.3">
      <c r="A53" s="6"/>
      <c r="B53" s="23">
        <v>36</v>
      </c>
      <c r="C53" s="24"/>
      <c r="D53" s="25"/>
      <c r="E53" s="25"/>
      <c r="F53" s="26"/>
      <c r="G53" s="61"/>
      <c r="H53" s="61"/>
      <c r="I53" s="26"/>
      <c r="J53" s="21">
        <f t="shared" si="1"/>
        <v>0</v>
      </c>
      <c r="K53" s="7"/>
      <c r="V53" s="5">
        <f t="shared" si="5"/>
        <v>0</v>
      </c>
      <c r="W53" s="5">
        <f t="shared" si="6"/>
        <v>0</v>
      </c>
    </row>
    <row r="54" spans="1:23" hidden="1" x14ac:dyDescent="0.3">
      <c r="A54" s="6"/>
      <c r="B54" s="23">
        <v>37</v>
      </c>
      <c r="C54" s="24"/>
      <c r="D54" s="25"/>
      <c r="E54" s="25"/>
      <c r="F54" s="26"/>
      <c r="G54" s="61"/>
      <c r="H54" s="61"/>
      <c r="I54" s="26"/>
      <c r="J54" s="21">
        <f t="shared" si="1"/>
        <v>0</v>
      </c>
      <c r="K54" s="7"/>
      <c r="V54" s="5">
        <f t="shared" si="5"/>
        <v>0</v>
      </c>
      <c r="W54" s="5">
        <f t="shared" si="6"/>
        <v>0</v>
      </c>
    </row>
    <row r="55" spans="1:23" hidden="1" x14ac:dyDescent="0.3">
      <c r="A55" s="6"/>
      <c r="B55" s="23">
        <v>38</v>
      </c>
      <c r="C55" s="24"/>
      <c r="D55" s="25"/>
      <c r="E55" s="25"/>
      <c r="F55" s="26"/>
      <c r="G55" s="61"/>
      <c r="H55" s="61"/>
      <c r="I55" s="26"/>
      <c r="J55" s="21">
        <f t="shared" si="1"/>
        <v>0</v>
      </c>
      <c r="K55" s="7"/>
      <c r="V55" s="5">
        <f t="shared" si="5"/>
        <v>0</v>
      </c>
      <c r="W55" s="5">
        <f t="shared" si="6"/>
        <v>0</v>
      </c>
    </row>
    <row r="56" spans="1:23" hidden="1" x14ac:dyDescent="0.3">
      <c r="A56" s="6"/>
      <c r="B56" s="23">
        <v>39</v>
      </c>
      <c r="C56" s="24"/>
      <c r="D56" s="25"/>
      <c r="E56" s="25"/>
      <c r="F56" s="26"/>
      <c r="G56" s="61"/>
      <c r="H56" s="61"/>
      <c r="I56" s="26"/>
      <c r="J56" s="21">
        <f t="shared" si="1"/>
        <v>0</v>
      </c>
      <c r="K56" s="7"/>
      <c r="V56" s="5">
        <f t="shared" si="5"/>
        <v>0</v>
      </c>
      <c r="W56" s="5">
        <f t="shared" si="6"/>
        <v>0</v>
      </c>
    </row>
    <row r="57" spans="1:23" hidden="1" x14ac:dyDescent="0.3">
      <c r="A57" s="6"/>
      <c r="B57" s="23">
        <v>40</v>
      </c>
      <c r="C57" s="24"/>
      <c r="D57" s="25"/>
      <c r="E57" s="25"/>
      <c r="F57" s="26"/>
      <c r="G57" s="61"/>
      <c r="H57" s="61"/>
      <c r="I57" s="26"/>
      <c r="J57" s="21">
        <f t="shared" si="1"/>
        <v>0</v>
      </c>
      <c r="K57" s="7"/>
      <c r="V57" s="5">
        <f t="shared" si="5"/>
        <v>0</v>
      </c>
      <c r="W57" s="5">
        <f t="shared" si="6"/>
        <v>0</v>
      </c>
    </row>
    <row r="58" spans="1:23" hidden="1" x14ac:dyDescent="0.3">
      <c r="A58" s="6"/>
      <c r="B58" s="23">
        <v>41</v>
      </c>
      <c r="C58" s="24"/>
      <c r="D58" s="25"/>
      <c r="E58" s="25"/>
      <c r="F58" s="26"/>
      <c r="G58" s="61"/>
      <c r="H58" s="61"/>
      <c r="I58" s="26"/>
      <c r="J58" s="21">
        <f t="shared" si="1"/>
        <v>0</v>
      </c>
      <c r="K58" s="7"/>
      <c r="V58" s="5">
        <f t="shared" si="5"/>
        <v>0</v>
      </c>
      <c r="W58" s="5">
        <f t="shared" si="6"/>
        <v>0</v>
      </c>
    </row>
    <row r="59" spans="1:23" hidden="1" x14ac:dyDescent="0.3">
      <c r="A59" s="6"/>
      <c r="B59" s="23">
        <v>42</v>
      </c>
      <c r="C59" s="24"/>
      <c r="D59" s="25"/>
      <c r="E59" s="25"/>
      <c r="F59" s="26"/>
      <c r="G59" s="61"/>
      <c r="H59" s="61"/>
      <c r="I59" s="26"/>
      <c r="J59" s="21">
        <f t="shared" si="1"/>
        <v>0</v>
      </c>
      <c r="K59" s="7"/>
      <c r="V59" s="5">
        <f t="shared" si="5"/>
        <v>0</v>
      </c>
      <c r="W59" s="5">
        <f t="shared" si="6"/>
        <v>0</v>
      </c>
    </row>
    <row r="60" spans="1:23" hidden="1" x14ac:dyDescent="0.3">
      <c r="A60" s="6"/>
      <c r="B60" s="23">
        <v>43</v>
      </c>
      <c r="C60" s="24"/>
      <c r="D60" s="25"/>
      <c r="E60" s="25"/>
      <c r="F60" s="26"/>
      <c r="G60" s="61"/>
      <c r="H60" s="61"/>
      <c r="I60" s="26"/>
      <c r="J60" s="21">
        <f t="shared" si="1"/>
        <v>0</v>
      </c>
      <c r="K60" s="7"/>
      <c r="V60" s="5">
        <f t="shared" si="5"/>
        <v>0</v>
      </c>
      <c r="W60" s="5">
        <f t="shared" si="6"/>
        <v>0</v>
      </c>
    </row>
    <row r="61" spans="1:23" hidden="1" x14ac:dyDescent="0.3">
      <c r="A61" s="6"/>
      <c r="B61" s="23">
        <v>44</v>
      </c>
      <c r="C61" s="24"/>
      <c r="D61" s="25"/>
      <c r="E61" s="25"/>
      <c r="F61" s="26"/>
      <c r="G61" s="61"/>
      <c r="H61" s="61"/>
      <c r="I61" s="26"/>
      <c r="J61" s="21">
        <f t="shared" si="1"/>
        <v>0</v>
      </c>
      <c r="K61" s="7"/>
      <c r="V61" s="5">
        <f t="shared" si="5"/>
        <v>0</v>
      </c>
      <c r="W61" s="5">
        <f t="shared" si="6"/>
        <v>0</v>
      </c>
    </row>
    <row r="62" spans="1:23" hidden="1" x14ac:dyDescent="0.3">
      <c r="A62" s="6"/>
      <c r="B62" s="23">
        <v>45</v>
      </c>
      <c r="C62" s="24"/>
      <c r="D62" s="25"/>
      <c r="E62" s="25"/>
      <c r="F62" s="26"/>
      <c r="G62" s="61"/>
      <c r="H62" s="61"/>
      <c r="I62" s="26"/>
      <c r="J62" s="21">
        <f t="shared" si="1"/>
        <v>0</v>
      </c>
      <c r="K62" s="7"/>
      <c r="V62" s="5">
        <f t="shared" si="5"/>
        <v>0</v>
      </c>
      <c r="W62" s="5">
        <f t="shared" si="6"/>
        <v>0</v>
      </c>
    </row>
    <row r="63" spans="1:23" hidden="1" x14ac:dyDescent="0.3">
      <c r="A63" s="6"/>
      <c r="B63" s="23">
        <v>46</v>
      </c>
      <c r="C63" s="24"/>
      <c r="D63" s="25"/>
      <c r="E63" s="25"/>
      <c r="F63" s="26"/>
      <c r="G63" s="61"/>
      <c r="H63" s="61"/>
      <c r="I63" s="26"/>
      <c r="J63" s="21">
        <f t="shared" si="1"/>
        <v>0</v>
      </c>
      <c r="K63" s="7"/>
      <c r="V63" s="5">
        <f t="shared" si="5"/>
        <v>0</v>
      </c>
      <c r="W63" s="5">
        <f t="shared" si="6"/>
        <v>0</v>
      </c>
    </row>
    <row r="64" spans="1:23" hidden="1" x14ac:dyDescent="0.3">
      <c r="A64" s="6"/>
      <c r="B64" s="23">
        <v>47</v>
      </c>
      <c r="C64" s="24"/>
      <c r="D64" s="25"/>
      <c r="E64" s="25"/>
      <c r="F64" s="26"/>
      <c r="G64" s="61"/>
      <c r="H64" s="61"/>
      <c r="I64" s="26"/>
      <c r="J64" s="21">
        <f t="shared" si="1"/>
        <v>0</v>
      </c>
      <c r="K64" s="7"/>
      <c r="V64" s="5">
        <f t="shared" si="5"/>
        <v>0</v>
      </c>
      <c r="W64" s="5">
        <f t="shared" si="6"/>
        <v>0</v>
      </c>
    </row>
    <row r="65" spans="1:23" hidden="1" x14ac:dyDescent="0.3">
      <c r="A65" s="6"/>
      <c r="B65" s="23">
        <v>48</v>
      </c>
      <c r="C65" s="24"/>
      <c r="D65" s="25"/>
      <c r="E65" s="25"/>
      <c r="F65" s="26"/>
      <c r="G65" s="61"/>
      <c r="H65" s="61"/>
      <c r="I65" s="26"/>
      <c r="J65" s="21">
        <f t="shared" si="1"/>
        <v>0</v>
      </c>
      <c r="K65" s="7"/>
    </row>
    <row r="66" spans="1:23" hidden="1" x14ac:dyDescent="0.3">
      <c r="A66" s="6"/>
      <c r="B66" s="23">
        <v>49</v>
      </c>
      <c r="C66" s="24"/>
      <c r="D66" s="25"/>
      <c r="E66" s="25"/>
      <c r="F66" s="26"/>
      <c r="G66" s="61"/>
      <c r="H66" s="61"/>
      <c r="I66" s="26"/>
      <c r="J66" s="21">
        <f t="shared" si="1"/>
        <v>0</v>
      </c>
      <c r="K66" s="7"/>
    </row>
    <row r="67" spans="1:23" hidden="1" x14ac:dyDescent="0.3">
      <c r="A67" s="6"/>
      <c r="B67" s="23">
        <v>50</v>
      </c>
      <c r="C67" s="24"/>
      <c r="D67" s="25"/>
      <c r="E67" s="25"/>
      <c r="F67" s="26"/>
      <c r="G67" s="61"/>
      <c r="H67" s="61"/>
      <c r="I67" s="26"/>
      <c r="J67" s="21">
        <f t="shared" si="1"/>
        <v>0</v>
      </c>
      <c r="K67" s="7"/>
    </row>
    <row r="68" spans="1:23" hidden="1" x14ac:dyDescent="0.3">
      <c r="A68" s="6"/>
      <c r="B68" s="23">
        <v>51</v>
      </c>
      <c r="C68" s="24"/>
      <c r="D68" s="25"/>
      <c r="E68" s="25"/>
      <c r="F68" s="26"/>
      <c r="G68" s="61"/>
      <c r="H68" s="61"/>
      <c r="I68" s="26"/>
      <c r="J68" s="21">
        <f t="shared" si="1"/>
        <v>0</v>
      </c>
      <c r="K68" s="7"/>
    </row>
    <row r="69" spans="1:23" hidden="1" x14ac:dyDescent="0.3">
      <c r="A69" s="6"/>
      <c r="B69" s="23">
        <v>52</v>
      </c>
      <c r="C69" s="24"/>
      <c r="D69" s="25"/>
      <c r="E69" s="25"/>
      <c r="F69" s="26"/>
      <c r="G69" s="61"/>
      <c r="H69" s="61"/>
      <c r="I69" s="26"/>
      <c r="J69" s="21">
        <f t="shared" si="1"/>
        <v>0</v>
      </c>
      <c r="K69" s="7"/>
    </row>
    <row r="70" spans="1:23" hidden="1" x14ac:dyDescent="0.3">
      <c r="A70" s="6"/>
      <c r="B70" s="23">
        <v>53</v>
      </c>
      <c r="C70" s="24"/>
      <c r="D70" s="25"/>
      <c r="E70" s="25"/>
      <c r="F70" s="26"/>
      <c r="G70" s="61"/>
      <c r="H70" s="61"/>
      <c r="I70" s="26"/>
      <c r="J70" s="21">
        <f t="shared" si="1"/>
        <v>0</v>
      </c>
      <c r="K70" s="7"/>
    </row>
    <row r="71" spans="1:23" hidden="1" x14ac:dyDescent="0.3">
      <c r="A71" s="6"/>
      <c r="B71" s="23">
        <v>54</v>
      </c>
      <c r="C71" s="24"/>
      <c r="D71" s="25"/>
      <c r="E71" s="25"/>
      <c r="F71" s="26"/>
      <c r="G71" s="61"/>
      <c r="H71" s="61"/>
      <c r="I71" s="26"/>
      <c r="J71" s="21">
        <f t="shared" si="1"/>
        <v>0</v>
      </c>
      <c r="K71" s="7"/>
    </row>
    <row r="72" spans="1:23" hidden="1" x14ac:dyDescent="0.3">
      <c r="A72" s="6"/>
      <c r="B72" s="23">
        <v>55</v>
      </c>
      <c r="C72" s="24"/>
      <c r="D72" s="25"/>
      <c r="E72" s="25"/>
      <c r="F72" s="26"/>
      <c r="G72" s="61"/>
      <c r="H72" s="61"/>
      <c r="I72" s="26"/>
      <c r="J72" s="21">
        <f t="shared" si="1"/>
        <v>0</v>
      </c>
      <c r="K72" s="7"/>
    </row>
    <row r="73" spans="1:23" hidden="1" x14ac:dyDescent="0.3">
      <c r="A73" s="6"/>
      <c r="B73" s="23">
        <v>56</v>
      </c>
      <c r="C73" s="24"/>
      <c r="D73" s="25"/>
      <c r="E73" s="25"/>
      <c r="F73" s="26"/>
      <c r="G73" s="61"/>
      <c r="H73" s="61"/>
      <c r="I73" s="26"/>
      <c r="J73" s="21">
        <f t="shared" si="1"/>
        <v>0</v>
      </c>
      <c r="K73" s="7"/>
    </row>
    <row r="74" spans="1:23" hidden="1" x14ac:dyDescent="0.3">
      <c r="A74" s="6"/>
      <c r="B74" s="23">
        <v>57</v>
      </c>
      <c r="C74" s="24"/>
      <c r="D74" s="25"/>
      <c r="E74" s="25"/>
      <c r="F74" s="26"/>
      <c r="G74" s="61"/>
      <c r="H74" s="61"/>
      <c r="I74" s="26"/>
      <c r="J74" s="21">
        <f t="shared" si="1"/>
        <v>0</v>
      </c>
      <c r="K74" s="7"/>
    </row>
    <row r="75" spans="1:23" hidden="1" x14ac:dyDescent="0.3">
      <c r="A75" s="6"/>
      <c r="B75" s="23">
        <v>58</v>
      </c>
      <c r="C75" s="24"/>
      <c r="D75" s="25"/>
      <c r="E75" s="25"/>
      <c r="F75" s="26"/>
      <c r="G75" s="61"/>
      <c r="H75" s="61"/>
      <c r="I75" s="26"/>
      <c r="J75" s="21">
        <f t="shared" si="1"/>
        <v>0</v>
      </c>
      <c r="K75" s="7"/>
      <c r="V75" s="5">
        <f t="shared" si="5"/>
        <v>0</v>
      </c>
      <c r="W75" s="5">
        <f t="shared" si="6"/>
        <v>0</v>
      </c>
    </row>
    <row r="76" spans="1:23" hidden="1" x14ac:dyDescent="0.3">
      <c r="A76" s="6"/>
      <c r="B76" s="23">
        <v>59</v>
      </c>
      <c r="C76" s="24"/>
      <c r="D76" s="25"/>
      <c r="E76" s="25"/>
      <c r="F76" s="26"/>
      <c r="G76" s="61"/>
      <c r="H76" s="61"/>
      <c r="I76" s="26"/>
      <c r="J76" s="21">
        <f t="shared" si="1"/>
        <v>0</v>
      </c>
      <c r="K76" s="7"/>
      <c r="V76" s="5">
        <f t="shared" si="5"/>
        <v>0</v>
      </c>
      <c r="W76" s="5">
        <f t="shared" si="6"/>
        <v>0</v>
      </c>
    </row>
    <row r="77" spans="1:23" hidden="1" x14ac:dyDescent="0.3">
      <c r="A77" s="6"/>
      <c r="B77" s="23">
        <v>60</v>
      </c>
      <c r="C77" s="24"/>
      <c r="D77" s="25"/>
      <c r="E77" s="25"/>
      <c r="F77" s="61"/>
      <c r="G77" s="61"/>
      <c r="H77" s="61"/>
      <c r="I77" s="26"/>
      <c r="J77" s="21">
        <f t="shared" si="1"/>
        <v>0</v>
      </c>
      <c r="K77" s="7"/>
      <c r="V77" s="5">
        <f t="shared" si="5"/>
        <v>0</v>
      </c>
      <c r="W77" s="5">
        <f t="shared" si="6"/>
        <v>0</v>
      </c>
    </row>
    <row r="78" spans="1:23" hidden="1" x14ac:dyDescent="0.3">
      <c r="A78" s="6"/>
      <c r="B78" s="23">
        <v>61</v>
      </c>
      <c r="C78" s="24"/>
      <c r="D78" s="25"/>
      <c r="E78" s="25"/>
      <c r="F78" s="61"/>
      <c r="G78" s="61"/>
      <c r="H78" s="61"/>
      <c r="I78" s="26"/>
      <c r="J78" s="21">
        <f t="shared" si="1"/>
        <v>0</v>
      </c>
      <c r="K78" s="7"/>
    </row>
    <row r="79" spans="1:23" hidden="1" x14ac:dyDescent="0.3">
      <c r="A79" s="6"/>
      <c r="B79" s="23">
        <v>62</v>
      </c>
      <c r="C79" s="24"/>
      <c r="D79" s="25"/>
      <c r="E79" s="25"/>
      <c r="F79" s="61"/>
      <c r="G79" s="61"/>
      <c r="H79" s="61"/>
      <c r="I79" s="26"/>
      <c r="J79" s="21">
        <f t="shared" si="1"/>
        <v>0</v>
      </c>
      <c r="K79" s="7"/>
    </row>
    <row r="80" spans="1:23" hidden="1" x14ac:dyDescent="0.3">
      <c r="A80" s="6"/>
      <c r="B80" s="23">
        <v>63</v>
      </c>
      <c r="C80" s="24"/>
      <c r="D80" s="25"/>
      <c r="E80" s="25"/>
      <c r="F80" s="61"/>
      <c r="G80" s="61"/>
      <c r="H80" s="61"/>
      <c r="I80" s="26"/>
      <c r="J80" s="21">
        <f t="shared" si="1"/>
        <v>0</v>
      </c>
      <c r="K80" s="7"/>
      <c r="V80" s="5">
        <f t="shared" si="5"/>
        <v>0</v>
      </c>
      <c r="W80" s="5">
        <f t="shared" si="6"/>
        <v>0</v>
      </c>
    </row>
    <row r="81" spans="1:23" ht="15" hidden="1" thickBot="1" x14ac:dyDescent="0.35">
      <c r="A81" s="6"/>
      <c r="B81" s="23">
        <v>64</v>
      </c>
      <c r="C81" s="24"/>
      <c r="D81" s="25"/>
      <c r="E81" s="25"/>
      <c r="F81" s="26"/>
      <c r="G81" s="26"/>
      <c r="H81" s="25"/>
      <c r="I81" s="26"/>
      <c r="J81" s="27">
        <f t="shared" si="1"/>
        <v>0</v>
      </c>
      <c r="K81" s="7"/>
      <c r="V81" s="5">
        <f t="shared" si="5"/>
        <v>0</v>
      </c>
      <c r="W81" s="5">
        <f t="shared" si="6"/>
        <v>0</v>
      </c>
    </row>
    <row r="82" spans="1:23" ht="24" thickBot="1" x14ac:dyDescent="0.5">
      <c r="A82" s="6"/>
      <c r="B82" s="144" t="s">
        <v>22</v>
      </c>
      <c r="C82" s="145"/>
      <c r="D82" s="145"/>
      <c r="E82" s="145"/>
      <c r="F82" s="145"/>
      <c r="G82" s="145"/>
      <c r="H82" s="146"/>
      <c r="I82" s="28" t="s">
        <v>23</v>
      </c>
      <c r="J82" s="29">
        <f>SUM(J6:J81)</f>
        <v>110600</v>
      </c>
      <c r="K82" s="7"/>
      <c r="W82" s="5">
        <f t="shared" si="6"/>
        <v>0</v>
      </c>
    </row>
    <row r="83" spans="1:23" ht="30" customHeight="1" thickBot="1" x14ac:dyDescent="0.35">
      <c r="A83" s="30"/>
      <c r="B83" s="31"/>
      <c r="C83" s="31"/>
      <c r="D83" s="31"/>
      <c r="E83" s="31"/>
      <c r="F83" s="31"/>
      <c r="G83" s="31"/>
      <c r="H83" s="32"/>
      <c r="I83" s="31"/>
      <c r="J83" s="32"/>
      <c r="K83" s="33"/>
      <c r="L83" s="36"/>
      <c r="M83" s="36"/>
      <c r="N83" s="36"/>
      <c r="O83" s="36"/>
      <c r="P83" s="36"/>
      <c r="Q83" s="36"/>
      <c r="R83" s="36"/>
    </row>
    <row r="84" spans="1:23" ht="15" thickBot="1" x14ac:dyDescent="0.35">
      <c r="L84" s="36"/>
      <c r="M84" s="36"/>
      <c r="N84" s="36"/>
      <c r="O84" s="22"/>
      <c r="P84" s="22"/>
      <c r="Q84" s="22"/>
      <c r="R84" s="22"/>
    </row>
    <row r="85" spans="1:23" s="36" customFormat="1" ht="30" customHeight="1" thickBot="1" x14ac:dyDescent="0.35">
      <c r="A85" s="1"/>
      <c r="B85" s="2"/>
      <c r="C85" s="2"/>
      <c r="D85" s="2"/>
      <c r="E85" s="2"/>
      <c r="F85" s="2"/>
      <c r="G85" s="2"/>
      <c r="H85" s="3"/>
      <c r="I85" s="2"/>
      <c r="J85" s="3"/>
      <c r="K85" s="4"/>
    </row>
    <row r="86" spans="1:23" s="36" customFormat="1" ht="25.2" thickBot="1" x14ac:dyDescent="0.35">
      <c r="A86" s="6" t="s">
        <v>1</v>
      </c>
      <c r="B86" s="119" t="s">
        <v>2</v>
      </c>
      <c r="C86" s="120"/>
      <c r="D86" s="120"/>
      <c r="E86" s="120"/>
      <c r="F86" s="120"/>
      <c r="G86" s="120"/>
      <c r="H86" s="120"/>
      <c r="I86" s="120"/>
      <c r="J86" s="121"/>
      <c r="K86" s="7"/>
    </row>
    <row r="87" spans="1:23" s="36" customFormat="1" ht="16.2" thickBot="1" x14ac:dyDescent="0.35">
      <c r="A87" s="6"/>
      <c r="B87" s="168" t="s">
        <v>143</v>
      </c>
      <c r="C87" s="169"/>
      <c r="D87" s="169"/>
      <c r="E87" s="169"/>
      <c r="F87" s="169"/>
      <c r="G87" s="169"/>
      <c r="H87" s="169"/>
      <c r="I87" s="169"/>
      <c r="J87" s="170"/>
      <c r="K87" s="7"/>
      <c r="L87" s="22"/>
    </row>
    <row r="88" spans="1:23" s="36" customFormat="1" ht="16.2" thickBot="1" x14ac:dyDescent="0.35">
      <c r="A88" s="6"/>
      <c r="B88" s="106" t="s">
        <v>90</v>
      </c>
      <c r="C88" s="107"/>
      <c r="D88" s="107"/>
      <c r="E88" s="107"/>
      <c r="F88" s="107"/>
      <c r="G88" s="107"/>
      <c r="H88" s="107"/>
      <c r="I88" s="107"/>
      <c r="J88" s="108"/>
      <c r="K88" s="7"/>
    </row>
    <row r="89" spans="1:23" s="22" customFormat="1" ht="15" thickBot="1" x14ac:dyDescent="0.35">
      <c r="A89" s="69"/>
      <c r="B89" s="70" t="s">
        <v>9</v>
      </c>
      <c r="C89" s="71" t="s">
        <v>10</v>
      </c>
      <c r="D89" s="72" t="s">
        <v>11</v>
      </c>
      <c r="E89" s="72" t="s">
        <v>12</v>
      </c>
      <c r="F89" s="73" t="s">
        <v>65</v>
      </c>
      <c r="G89" s="73" t="s">
        <v>66</v>
      </c>
      <c r="H89" s="74" t="s">
        <v>67</v>
      </c>
      <c r="I89" s="73" t="s">
        <v>68</v>
      </c>
      <c r="J89" s="75" t="s">
        <v>17</v>
      </c>
      <c r="K89" s="76"/>
      <c r="L89" s="36"/>
      <c r="M89" s="36"/>
      <c r="N89" s="36"/>
      <c r="O89" s="36" t="s">
        <v>21</v>
      </c>
      <c r="P89" s="36"/>
      <c r="Q89" s="36"/>
      <c r="R89" s="36"/>
      <c r="V89" s="5" t="s">
        <v>5</v>
      </c>
      <c r="W89" s="5" t="s">
        <v>6</v>
      </c>
    </row>
    <row r="90" spans="1:23" s="36" customFormat="1" x14ac:dyDescent="0.3">
      <c r="A90" s="6"/>
      <c r="B90" s="14">
        <v>1</v>
      </c>
      <c r="C90" s="18">
        <v>44137</v>
      </c>
      <c r="D90" s="19" t="s">
        <v>18</v>
      </c>
      <c r="E90" s="19" t="s">
        <v>86</v>
      </c>
      <c r="F90" s="35">
        <v>3360</v>
      </c>
      <c r="G90" s="35">
        <v>3420</v>
      </c>
      <c r="H90" s="35">
        <v>60</v>
      </c>
      <c r="I90" s="20">
        <v>250</v>
      </c>
      <c r="J90" s="16">
        <f t="shared" ref="J90:J132" si="7">I90*H90</f>
        <v>15000</v>
      </c>
      <c r="K90" s="7"/>
      <c r="V90" s="36">
        <f>IF($J90&gt;0,1,0)</f>
        <v>1</v>
      </c>
      <c r="W90" s="36">
        <f>IF($J90&lt;0,1,0)</f>
        <v>0</v>
      </c>
    </row>
    <row r="91" spans="1:23" s="36" customFormat="1" x14ac:dyDescent="0.3">
      <c r="A91" s="6"/>
      <c r="B91" s="17">
        <f>B90+1</f>
        <v>2</v>
      </c>
      <c r="C91" s="18">
        <v>44138</v>
      </c>
      <c r="D91" s="19" t="s">
        <v>18</v>
      </c>
      <c r="E91" s="19" t="s">
        <v>86</v>
      </c>
      <c r="F91" s="35">
        <v>3440</v>
      </c>
      <c r="G91" s="35">
        <v>3500</v>
      </c>
      <c r="H91" s="35">
        <v>60</v>
      </c>
      <c r="I91" s="20">
        <v>250</v>
      </c>
      <c r="J91" s="21">
        <f t="shared" si="7"/>
        <v>15000</v>
      </c>
      <c r="K91" s="7"/>
      <c r="L91" s="36" t="s">
        <v>21</v>
      </c>
      <c r="V91" s="36">
        <f t="shared" ref="V91:V132" si="8">IF($J91&gt;0,1,0)</f>
        <v>1</v>
      </c>
      <c r="W91" s="36">
        <f t="shared" ref="W91:W132" si="9">IF($J91&lt;0,1,0)</f>
        <v>0</v>
      </c>
    </row>
    <row r="92" spans="1:23" s="36" customFormat="1" x14ac:dyDescent="0.3">
      <c r="A92" s="6"/>
      <c r="B92" s="17">
        <f t="shared" ref="B92:B132" si="10">B91+1</f>
        <v>3</v>
      </c>
      <c r="C92" s="18">
        <v>44138</v>
      </c>
      <c r="D92" s="19" t="s">
        <v>18</v>
      </c>
      <c r="E92" s="19" t="s">
        <v>93</v>
      </c>
      <c r="F92" s="35">
        <v>1245</v>
      </c>
      <c r="G92" s="35">
        <v>1247</v>
      </c>
      <c r="H92" s="35">
        <v>2</v>
      </c>
      <c r="I92" s="20">
        <v>300</v>
      </c>
      <c r="J92" s="21">
        <f t="shared" si="7"/>
        <v>600</v>
      </c>
      <c r="K92" s="7"/>
      <c r="V92" s="36">
        <f t="shared" si="8"/>
        <v>1</v>
      </c>
      <c r="W92" s="36">
        <f t="shared" si="9"/>
        <v>0</v>
      </c>
    </row>
    <row r="93" spans="1:23" s="36" customFormat="1" x14ac:dyDescent="0.3">
      <c r="A93" s="6"/>
      <c r="B93" s="17">
        <f t="shared" si="10"/>
        <v>4</v>
      </c>
      <c r="C93" s="18">
        <v>44139</v>
      </c>
      <c r="D93" s="19" t="s">
        <v>18</v>
      </c>
      <c r="E93" s="19" t="s">
        <v>70</v>
      </c>
      <c r="F93" s="35">
        <v>521</v>
      </c>
      <c r="G93" s="35">
        <v>516</v>
      </c>
      <c r="H93" s="35">
        <v>-5</v>
      </c>
      <c r="I93" s="20">
        <v>1200</v>
      </c>
      <c r="J93" s="21">
        <f t="shared" si="7"/>
        <v>-6000</v>
      </c>
      <c r="K93" s="7"/>
      <c r="V93" s="36">
        <f t="shared" si="8"/>
        <v>0</v>
      </c>
      <c r="W93" s="36">
        <f t="shared" si="9"/>
        <v>1</v>
      </c>
    </row>
    <row r="94" spans="1:23" s="36" customFormat="1" x14ac:dyDescent="0.3">
      <c r="A94" s="6"/>
      <c r="B94" s="17">
        <f t="shared" si="10"/>
        <v>5</v>
      </c>
      <c r="C94" s="18">
        <v>44139</v>
      </c>
      <c r="D94" s="19" t="s">
        <v>18</v>
      </c>
      <c r="E94" s="19" t="s">
        <v>71</v>
      </c>
      <c r="F94" s="35">
        <v>1885</v>
      </c>
      <c r="G94" s="35">
        <v>1915</v>
      </c>
      <c r="H94" s="35">
        <v>30</v>
      </c>
      <c r="I94" s="20">
        <v>505</v>
      </c>
      <c r="J94" s="21">
        <f t="shared" si="7"/>
        <v>15150</v>
      </c>
      <c r="K94" s="7"/>
      <c r="V94" s="36">
        <f t="shared" si="8"/>
        <v>1</v>
      </c>
      <c r="W94" s="36">
        <f t="shared" si="9"/>
        <v>0</v>
      </c>
    </row>
    <row r="95" spans="1:23" s="36" customFormat="1" x14ac:dyDescent="0.3">
      <c r="A95" s="6"/>
      <c r="B95" s="17">
        <f t="shared" si="10"/>
        <v>6</v>
      </c>
      <c r="C95" s="18">
        <v>44140</v>
      </c>
      <c r="D95" s="19" t="s">
        <v>18</v>
      </c>
      <c r="E95" s="19" t="s">
        <v>86</v>
      </c>
      <c r="F95" s="20">
        <v>3645</v>
      </c>
      <c r="G95" s="35">
        <v>3705</v>
      </c>
      <c r="H95" s="35">
        <v>60</v>
      </c>
      <c r="I95" s="20">
        <v>250</v>
      </c>
      <c r="J95" s="21">
        <f t="shared" si="7"/>
        <v>15000</v>
      </c>
      <c r="K95" s="7"/>
      <c r="V95" s="36">
        <f t="shared" si="8"/>
        <v>1</v>
      </c>
      <c r="W95" s="36">
        <f t="shared" si="9"/>
        <v>0</v>
      </c>
    </row>
    <row r="96" spans="1:23" s="36" customFormat="1" x14ac:dyDescent="0.3">
      <c r="A96" s="6"/>
      <c r="B96" s="17">
        <f t="shared" si="10"/>
        <v>7</v>
      </c>
      <c r="C96" s="18">
        <v>44140</v>
      </c>
      <c r="D96" s="19" t="s">
        <v>69</v>
      </c>
      <c r="E96" s="19" t="s">
        <v>75</v>
      </c>
      <c r="F96" s="35">
        <v>438.5</v>
      </c>
      <c r="G96" s="35">
        <v>442.5</v>
      </c>
      <c r="H96" s="35">
        <v>-4</v>
      </c>
      <c r="I96" s="20">
        <v>1375</v>
      </c>
      <c r="J96" s="21">
        <f t="shared" si="7"/>
        <v>-5500</v>
      </c>
      <c r="K96" s="7"/>
      <c r="V96" s="36">
        <f t="shared" si="8"/>
        <v>0</v>
      </c>
      <c r="W96" s="36">
        <f t="shared" si="9"/>
        <v>1</v>
      </c>
    </row>
    <row r="97" spans="1:23" s="36" customFormat="1" x14ac:dyDescent="0.3">
      <c r="A97" s="6"/>
      <c r="B97" s="17">
        <f t="shared" si="10"/>
        <v>8</v>
      </c>
      <c r="C97" s="18">
        <v>44141</v>
      </c>
      <c r="D97" s="19" t="s">
        <v>18</v>
      </c>
      <c r="E97" s="19" t="s">
        <v>70</v>
      </c>
      <c r="F97" s="35">
        <v>538</v>
      </c>
      <c r="G97" s="35">
        <v>547</v>
      </c>
      <c r="H97" s="35">
        <v>9</v>
      </c>
      <c r="I97" s="20">
        <v>1200</v>
      </c>
      <c r="J97" s="21">
        <f t="shared" si="7"/>
        <v>10800</v>
      </c>
      <c r="K97" s="7"/>
      <c r="V97" s="36">
        <f t="shared" si="8"/>
        <v>1</v>
      </c>
      <c r="W97" s="36">
        <f t="shared" si="9"/>
        <v>0</v>
      </c>
    </row>
    <row r="98" spans="1:23" s="36" customFormat="1" x14ac:dyDescent="0.3">
      <c r="A98" s="6"/>
      <c r="B98" s="17">
        <f t="shared" si="10"/>
        <v>9</v>
      </c>
      <c r="C98" s="18">
        <v>44144</v>
      </c>
      <c r="D98" s="19" t="s">
        <v>69</v>
      </c>
      <c r="E98" s="19" t="s">
        <v>111</v>
      </c>
      <c r="F98" s="35">
        <v>218</v>
      </c>
      <c r="G98" s="35">
        <v>220</v>
      </c>
      <c r="H98" s="35">
        <v>-2</v>
      </c>
      <c r="I98" s="20">
        <v>3000</v>
      </c>
      <c r="J98" s="21">
        <f t="shared" si="7"/>
        <v>-6000</v>
      </c>
      <c r="K98" s="7"/>
      <c r="V98" s="36">
        <f t="shared" si="8"/>
        <v>0</v>
      </c>
      <c r="W98" s="36">
        <f t="shared" si="9"/>
        <v>1</v>
      </c>
    </row>
    <row r="99" spans="1:23" s="36" customFormat="1" x14ac:dyDescent="0.3">
      <c r="A99" s="6"/>
      <c r="B99" s="17">
        <f t="shared" si="10"/>
        <v>10</v>
      </c>
      <c r="C99" s="18">
        <v>44145</v>
      </c>
      <c r="D99" s="19" t="s">
        <v>18</v>
      </c>
      <c r="E99" s="19" t="s">
        <v>70</v>
      </c>
      <c r="F99" s="35">
        <v>583</v>
      </c>
      <c r="G99" s="35">
        <v>590</v>
      </c>
      <c r="H99" s="35">
        <v>7</v>
      </c>
      <c r="I99" s="20">
        <v>1200</v>
      </c>
      <c r="J99" s="21">
        <f t="shared" si="7"/>
        <v>8400</v>
      </c>
      <c r="K99" s="7"/>
      <c r="V99" s="36">
        <f t="shared" si="8"/>
        <v>1</v>
      </c>
      <c r="W99" s="36">
        <f t="shared" si="9"/>
        <v>0</v>
      </c>
    </row>
    <row r="100" spans="1:23" s="36" customFormat="1" x14ac:dyDescent="0.3">
      <c r="A100" s="6"/>
      <c r="B100" s="17">
        <f t="shared" si="10"/>
        <v>11</v>
      </c>
      <c r="C100" s="18">
        <v>44145</v>
      </c>
      <c r="D100" s="19" t="s">
        <v>69</v>
      </c>
      <c r="E100" s="19" t="s">
        <v>166</v>
      </c>
      <c r="F100" s="19">
        <v>820</v>
      </c>
      <c r="G100" s="35">
        <v>809.2</v>
      </c>
      <c r="H100" s="35">
        <v>10.8</v>
      </c>
      <c r="I100" s="20">
        <v>700</v>
      </c>
      <c r="J100" s="21">
        <f t="shared" si="7"/>
        <v>7560.0000000000009</v>
      </c>
      <c r="K100" s="7"/>
      <c r="V100" s="36">
        <f t="shared" si="8"/>
        <v>1</v>
      </c>
      <c r="W100" s="36">
        <f t="shared" si="9"/>
        <v>0</v>
      </c>
    </row>
    <row r="101" spans="1:23" s="36" customFormat="1" x14ac:dyDescent="0.3">
      <c r="A101" s="6"/>
      <c r="B101" s="17">
        <f t="shared" si="10"/>
        <v>12</v>
      </c>
      <c r="C101" s="18">
        <v>44146</v>
      </c>
      <c r="D101" s="19" t="s">
        <v>69</v>
      </c>
      <c r="E101" s="19" t="s">
        <v>167</v>
      </c>
      <c r="F101" s="35">
        <v>558</v>
      </c>
      <c r="G101" s="35">
        <v>555.5</v>
      </c>
      <c r="H101" s="35">
        <v>2.5</v>
      </c>
      <c r="I101" s="20">
        <v>1250</v>
      </c>
      <c r="J101" s="21">
        <f t="shared" si="7"/>
        <v>3125</v>
      </c>
      <c r="K101" s="7"/>
      <c r="V101" s="36">
        <f t="shared" si="8"/>
        <v>1</v>
      </c>
      <c r="W101" s="36">
        <f t="shared" si="9"/>
        <v>0</v>
      </c>
    </row>
    <row r="102" spans="1:23" s="36" customFormat="1" x14ac:dyDescent="0.3">
      <c r="A102" s="6"/>
      <c r="B102" s="17">
        <f t="shared" si="10"/>
        <v>13</v>
      </c>
      <c r="C102" s="18">
        <v>44147</v>
      </c>
      <c r="D102" s="19" t="s">
        <v>18</v>
      </c>
      <c r="E102" s="19" t="s">
        <v>70</v>
      </c>
      <c r="F102" s="35">
        <v>599</v>
      </c>
      <c r="G102" s="35">
        <v>604</v>
      </c>
      <c r="H102" s="35">
        <v>5</v>
      </c>
      <c r="I102" s="20">
        <v>1200</v>
      </c>
      <c r="J102" s="21">
        <f t="shared" si="7"/>
        <v>6000</v>
      </c>
      <c r="K102" s="7"/>
      <c r="V102" s="36">
        <f t="shared" si="8"/>
        <v>1</v>
      </c>
      <c r="W102" s="36">
        <f t="shared" si="9"/>
        <v>0</v>
      </c>
    </row>
    <row r="103" spans="1:23" s="36" customFormat="1" x14ac:dyDescent="0.3">
      <c r="A103" s="6"/>
      <c r="B103" s="17">
        <f t="shared" si="10"/>
        <v>14</v>
      </c>
      <c r="C103" s="18">
        <v>44148</v>
      </c>
      <c r="D103" s="19" t="s">
        <v>18</v>
      </c>
      <c r="E103" s="19" t="s">
        <v>70</v>
      </c>
      <c r="F103" s="77">
        <v>597</v>
      </c>
      <c r="G103" s="35">
        <v>607</v>
      </c>
      <c r="H103" s="78">
        <v>10</v>
      </c>
      <c r="I103" s="20">
        <v>1200</v>
      </c>
      <c r="J103" s="21">
        <f t="shared" si="7"/>
        <v>12000</v>
      </c>
      <c r="K103" s="7"/>
      <c r="V103" s="36">
        <f t="shared" si="8"/>
        <v>1</v>
      </c>
      <c r="W103" s="36">
        <f t="shared" si="9"/>
        <v>0</v>
      </c>
    </row>
    <row r="104" spans="1:23" s="36" customFormat="1" x14ac:dyDescent="0.3">
      <c r="A104" s="6"/>
      <c r="B104" s="17">
        <f t="shared" si="10"/>
        <v>15</v>
      </c>
      <c r="C104" s="18">
        <v>44154</v>
      </c>
      <c r="D104" s="19" t="s">
        <v>69</v>
      </c>
      <c r="E104" s="19" t="s">
        <v>75</v>
      </c>
      <c r="F104" s="35">
        <v>489.5</v>
      </c>
      <c r="G104" s="35">
        <v>481.5</v>
      </c>
      <c r="H104" s="78">
        <v>8</v>
      </c>
      <c r="I104" s="20">
        <v>1375</v>
      </c>
      <c r="J104" s="21">
        <f t="shared" si="7"/>
        <v>11000</v>
      </c>
      <c r="K104" s="7"/>
      <c r="V104" s="36">
        <f t="shared" si="8"/>
        <v>1</v>
      </c>
      <c r="W104" s="36">
        <f t="shared" si="9"/>
        <v>0</v>
      </c>
    </row>
    <row r="105" spans="1:23" s="36" customFormat="1" x14ac:dyDescent="0.3">
      <c r="A105" s="6"/>
      <c r="B105" s="17">
        <f t="shared" si="10"/>
        <v>16</v>
      </c>
      <c r="C105" s="18">
        <v>44155</v>
      </c>
      <c r="D105" s="19" t="s">
        <v>18</v>
      </c>
      <c r="E105" s="19" t="s">
        <v>86</v>
      </c>
      <c r="F105" s="35">
        <v>4520</v>
      </c>
      <c r="G105" s="35">
        <v>4550</v>
      </c>
      <c r="H105" s="78">
        <v>-30</v>
      </c>
      <c r="I105" s="20">
        <v>250</v>
      </c>
      <c r="J105" s="21">
        <f t="shared" si="7"/>
        <v>-7500</v>
      </c>
      <c r="K105" s="7"/>
      <c r="V105" s="36">
        <f t="shared" si="8"/>
        <v>0</v>
      </c>
      <c r="W105" s="36">
        <f t="shared" si="9"/>
        <v>1</v>
      </c>
    </row>
    <row r="106" spans="1:23" s="36" customFormat="1" x14ac:dyDescent="0.3">
      <c r="A106" s="6"/>
      <c r="B106" s="17">
        <f t="shared" si="10"/>
        <v>17</v>
      </c>
      <c r="C106" s="18">
        <v>44155</v>
      </c>
      <c r="D106" s="19" t="s">
        <v>69</v>
      </c>
      <c r="E106" s="19" t="s">
        <v>70</v>
      </c>
      <c r="F106" s="35">
        <v>594</v>
      </c>
      <c r="G106" s="35">
        <v>600</v>
      </c>
      <c r="H106" s="35">
        <v>-6</v>
      </c>
      <c r="I106" s="20">
        <v>1200</v>
      </c>
      <c r="J106" s="21">
        <f t="shared" si="7"/>
        <v>-7200</v>
      </c>
      <c r="K106" s="7"/>
      <c r="V106" s="36">
        <f t="shared" si="8"/>
        <v>0</v>
      </c>
      <c r="W106" s="36">
        <f t="shared" si="9"/>
        <v>1</v>
      </c>
    </row>
    <row r="107" spans="1:23" s="36" customFormat="1" x14ac:dyDescent="0.3">
      <c r="A107" s="6"/>
      <c r="B107" s="17">
        <f t="shared" si="10"/>
        <v>18</v>
      </c>
      <c r="C107" s="18">
        <v>44158</v>
      </c>
      <c r="D107" s="19" t="s">
        <v>69</v>
      </c>
      <c r="E107" s="19" t="s">
        <v>75</v>
      </c>
      <c r="F107" s="35">
        <v>472.5</v>
      </c>
      <c r="G107" s="35">
        <v>468.65</v>
      </c>
      <c r="H107" s="35">
        <v>3.85</v>
      </c>
      <c r="I107" s="20">
        <v>1375</v>
      </c>
      <c r="J107" s="21">
        <f t="shared" si="7"/>
        <v>5293.75</v>
      </c>
      <c r="K107" s="7"/>
      <c r="V107" s="36">
        <f t="shared" si="8"/>
        <v>1</v>
      </c>
      <c r="W107" s="36">
        <f t="shared" si="9"/>
        <v>0</v>
      </c>
    </row>
    <row r="108" spans="1:23" s="36" customFormat="1" x14ac:dyDescent="0.3">
      <c r="A108" s="6"/>
      <c r="B108" s="17">
        <f t="shared" si="10"/>
        <v>19</v>
      </c>
      <c r="C108" s="18">
        <v>44159</v>
      </c>
      <c r="D108" s="19" t="s">
        <v>18</v>
      </c>
      <c r="E108" s="19" t="s">
        <v>70</v>
      </c>
      <c r="F108" s="35">
        <v>609</v>
      </c>
      <c r="G108" s="35">
        <v>621</v>
      </c>
      <c r="H108" s="35">
        <v>12</v>
      </c>
      <c r="I108" s="20">
        <v>1200</v>
      </c>
      <c r="J108" s="21">
        <f t="shared" si="7"/>
        <v>14400</v>
      </c>
      <c r="K108" s="7"/>
      <c r="V108" s="36">
        <f t="shared" si="8"/>
        <v>1</v>
      </c>
      <c r="W108" s="36">
        <f t="shared" si="9"/>
        <v>0</v>
      </c>
    </row>
    <row r="109" spans="1:23" s="36" customFormat="1" x14ac:dyDescent="0.3">
      <c r="A109" s="6"/>
      <c r="B109" s="17">
        <f t="shared" si="10"/>
        <v>20</v>
      </c>
      <c r="C109" s="18">
        <v>44159</v>
      </c>
      <c r="D109" s="19" t="s">
        <v>69</v>
      </c>
      <c r="E109" s="19" t="s">
        <v>86</v>
      </c>
      <c r="F109" s="35">
        <v>4750</v>
      </c>
      <c r="G109" s="35">
        <v>4780</v>
      </c>
      <c r="H109" s="35">
        <v>-30</v>
      </c>
      <c r="I109" s="20">
        <v>250</v>
      </c>
      <c r="J109" s="21">
        <f t="shared" si="7"/>
        <v>-7500</v>
      </c>
      <c r="K109" s="7"/>
      <c r="V109" s="36">
        <f t="shared" si="8"/>
        <v>0</v>
      </c>
      <c r="W109" s="36">
        <f t="shared" si="9"/>
        <v>1</v>
      </c>
    </row>
    <row r="110" spans="1:23" s="36" customFormat="1" x14ac:dyDescent="0.3">
      <c r="A110" s="6"/>
      <c r="B110" s="17">
        <f t="shared" si="10"/>
        <v>21</v>
      </c>
      <c r="C110" s="18">
        <v>44160</v>
      </c>
      <c r="D110" s="19" t="s">
        <v>69</v>
      </c>
      <c r="E110" s="19" t="s">
        <v>70</v>
      </c>
      <c r="F110" s="35">
        <v>610</v>
      </c>
      <c r="G110" s="35">
        <v>601.6</v>
      </c>
      <c r="H110" s="35">
        <v>8.4</v>
      </c>
      <c r="I110" s="20">
        <v>1200</v>
      </c>
      <c r="J110" s="21">
        <f t="shared" si="7"/>
        <v>10080</v>
      </c>
      <c r="K110" s="7"/>
      <c r="V110" s="36">
        <f t="shared" si="8"/>
        <v>1</v>
      </c>
      <c r="W110" s="36">
        <f t="shared" si="9"/>
        <v>0</v>
      </c>
    </row>
    <row r="111" spans="1:23" s="36" customFormat="1" x14ac:dyDescent="0.3">
      <c r="A111" s="6"/>
      <c r="B111" s="17">
        <f t="shared" si="10"/>
        <v>22</v>
      </c>
      <c r="C111" s="18">
        <v>44160</v>
      </c>
      <c r="D111" s="19" t="s">
        <v>18</v>
      </c>
      <c r="E111" s="19" t="s">
        <v>86</v>
      </c>
      <c r="F111" s="35">
        <v>4730</v>
      </c>
      <c r="G111" s="35">
        <v>4772</v>
      </c>
      <c r="H111" s="35">
        <v>42</v>
      </c>
      <c r="I111" s="20">
        <v>250</v>
      </c>
      <c r="J111" s="21">
        <f t="shared" si="7"/>
        <v>10500</v>
      </c>
      <c r="K111" s="7"/>
      <c r="V111" s="36">
        <f t="shared" si="8"/>
        <v>1</v>
      </c>
      <c r="W111" s="36">
        <f t="shared" si="9"/>
        <v>0</v>
      </c>
    </row>
    <row r="112" spans="1:23" s="36" customFormat="1" x14ac:dyDescent="0.3">
      <c r="A112" s="6"/>
      <c r="B112" s="17">
        <f t="shared" si="10"/>
        <v>23</v>
      </c>
      <c r="C112" s="18">
        <v>44161</v>
      </c>
      <c r="D112" s="19" t="s">
        <v>18</v>
      </c>
      <c r="E112" s="19" t="s">
        <v>70</v>
      </c>
      <c r="F112" s="35">
        <v>603</v>
      </c>
      <c r="G112" s="35">
        <v>609</v>
      </c>
      <c r="H112" s="35">
        <v>6</v>
      </c>
      <c r="I112" s="20">
        <v>1200</v>
      </c>
      <c r="J112" s="21">
        <f t="shared" si="7"/>
        <v>7200</v>
      </c>
      <c r="K112" s="7"/>
      <c r="V112" s="36">
        <f t="shared" si="8"/>
        <v>1</v>
      </c>
      <c r="W112" s="36">
        <f t="shared" si="9"/>
        <v>0</v>
      </c>
    </row>
    <row r="113" spans="1:23" s="36" customFormat="1" hidden="1" x14ac:dyDescent="0.3">
      <c r="A113" s="6"/>
      <c r="B113" s="17">
        <f t="shared" si="10"/>
        <v>24</v>
      </c>
      <c r="C113" s="18"/>
      <c r="D113" s="19"/>
      <c r="E113" s="19"/>
      <c r="F113" s="35"/>
      <c r="G113" s="35"/>
      <c r="H113" s="35"/>
      <c r="I113" s="20"/>
      <c r="J113" s="21">
        <f t="shared" si="7"/>
        <v>0</v>
      </c>
      <c r="K113" s="7"/>
      <c r="V113" s="36">
        <f t="shared" si="8"/>
        <v>0</v>
      </c>
      <c r="W113" s="36">
        <f t="shared" si="9"/>
        <v>0</v>
      </c>
    </row>
    <row r="114" spans="1:23" s="36" customFormat="1" hidden="1" x14ac:dyDescent="0.3">
      <c r="A114" s="6"/>
      <c r="B114" s="17">
        <f t="shared" si="10"/>
        <v>25</v>
      </c>
      <c r="C114" s="18"/>
      <c r="D114" s="19"/>
      <c r="E114" s="19"/>
      <c r="F114" s="35"/>
      <c r="G114" s="35"/>
      <c r="H114" s="35"/>
      <c r="I114" s="20"/>
      <c r="J114" s="21">
        <f t="shared" si="7"/>
        <v>0</v>
      </c>
      <c r="K114" s="7"/>
      <c r="V114" s="36">
        <f t="shared" si="8"/>
        <v>0</v>
      </c>
      <c r="W114" s="36">
        <f t="shared" si="9"/>
        <v>0</v>
      </c>
    </row>
    <row r="115" spans="1:23" s="36" customFormat="1" hidden="1" x14ac:dyDescent="0.3">
      <c r="A115" s="6"/>
      <c r="B115" s="17">
        <f t="shared" si="10"/>
        <v>26</v>
      </c>
      <c r="C115" s="18"/>
      <c r="D115" s="19"/>
      <c r="E115" s="19"/>
      <c r="F115" s="35"/>
      <c r="G115" s="35"/>
      <c r="H115" s="35"/>
      <c r="I115" s="20"/>
      <c r="J115" s="21">
        <f t="shared" si="7"/>
        <v>0</v>
      </c>
      <c r="K115" s="7"/>
      <c r="V115" s="36">
        <f t="shared" si="8"/>
        <v>0</v>
      </c>
      <c r="W115" s="36">
        <f t="shared" si="9"/>
        <v>0</v>
      </c>
    </row>
    <row r="116" spans="1:23" s="36" customFormat="1" hidden="1" x14ac:dyDescent="0.3">
      <c r="A116" s="6"/>
      <c r="B116" s="17">
        <f t="shared" si="10"/>
        <v>27</v>
      </c>
      <c r="C116" s="18"/>
      <c r="D116" s="19"/>
      <c r="E116" s="19"/>
      <c r="F116" s="35"/>
      <c r="G116" s="35"/>
      <c r="H116" s="35"/>
      <c r="I116" s="20"/>
      <c r="J116" s="21">
        <f t="shared" si="7"/>
        <v>0</v>
      </c>
      <c r="K116" s="7"/>
      <c r="V116" s="36">
        <f t="shared" si="8"/>
        <v>0</v>
      </c>
      <c r="W116" s="36">
        <f t="shared" si="9"/>
        <v>0</v>
      </c>
    </row>
    <row r="117" spans="1:23" s="36" customFormat="1" hidden="1" x14ac:dyDescent="0.3">
      <c r="A117" s="6"/>
      <c r="B117" s="17">
        <f t="shared" si="10"/>
        <v>28</v>
      </c>
      <c r="C117" s="18"/>
      <c r="D117" s="19"/>
      <c r="E117" s="19"/>
      <c r="F117" s="35"/>
      <c r="G117" s="35"/>
      <c r="H117" s="35"/>
      <c r="I117" s="20"/>
      <c r="J117" s="21">
        <f t="shared" si="7"/>
        <v>0</v>
      </c>
      <c r="K117" s="7"/>
      <c r="V117" s="36">
        <f t="shared" si="8"/>
        <v>0</v>
      </c>
      <c r="W117" s="36">
        <f t="shared" si="9"/>
        <v>0</v>
      </c>
    </row>
    <row r="118" spans="1:23" s="36" customFormat="1" hidden="1" x14ac:dyDescent="0.3">
      <c r="A118" s="6"/>
      <c r="B118" s="17">
        <f t="shared" si="10"/>
        <v>29</v>
      </c>
      <c r="C118" s="18"/>
      <c r="D118" s="19"/>
      <c r="E118" s="19"/>
      <c r="F118" s="35"/>
      <c r="G118" s="35"/>
      <c r="H118" s="35"/>
      <c r="I118" s="20"/>
      <c r="J118" s="21">
        <f t="shared" si="7"/>
        <v>0</v>
      </c>
      <c r="K118" s="7"/>
    </row>
    <row r="119" spans="1:23" s="36" customFormat="1" hidden="1" x14ac:dyDescent="0.3">
      <c r="A119" s="6"/>
      <c r="B119" s="17">
        <f t="shared" si="10"/>
        <v>30</v>
      </c>
      <c r="C119" s="18"/>
      <c r="D119" s="19"/>
      <c r="E119" s="19"/>
      <c r="F119" s="35"/>
      <c r="G119" s="35"/>
      <c r="H119" s="35"/>
      <c r="I119" s="20"/>
      <c r="J119" s="21">
        <f t="shared" si="7"/>
        <v>0</v>
      </c>
      <c r="K119" s="7"/>
    </row>
    <row r="120" spans="1:23" s="36" customFormat="1" hidden="1" x14ac:dyDescent="0.3">
      <c r="A120" s="6"/>
      <c r="B120" s="17">
        <f t="shared" si="10"/>
        <v>31</v>
      </c>
      <c r="C120" s="18"/>
      <c r="D120" s="19"/>
      <c r="E120" s="19"/>
      <c r="F120" s="35"/>
      <c r="G120" s="35"/>
      <c r="H120" s="35"/>
      <c r="I120" s="20"/>
      <c r="J120" s="21">
        <f t="shared" si="7"/>
        <v>0</v>
      </c>
      <c r="K120" s="7"/>
    </row>
    <row r="121" spans="1:23" s="36" customFormat="1" hidden="1" x14ac:dyDescent="0.3">
      <c r="A121" s="6"/>
      <c r="B121" s="17">
        <f t="shared" si="10"/>
        <v>32</v>
      </c>
      <c r="C121" s="18"/>
      <c r="D121" s="19"/>
      <c r="E121" s="19"/>
      <c r="F121" s="35"/>
      <c r="G121" s="35"/>
      <c r="H121" s="35"/>
      <c r="I121" s="20"/>
      <c r="J121" s="21">
        <f t="shared" si="7"/>
        <v>0</v>
      </c>
      <c r="K121" s="7"/>
    </row>
    <row r="122" spans="1:23" s="36" customFormat="1" hidden="1" x14ac:dyDescent="0.3">
      <c r="A122" s="6"/>
      <c r="B122" s="17">
        <f t="shared" si="10"/>
        <v>33</v>
      </c>
      <c r="C122" s="18"/>
      <c r="D122" s="19"/>
      <c r="E122" s="19"/>
      <c r="F122" s="35"/>
      <c r="G122" s="35"/>
      <c r="H122" s="35"/>
      <c r="I122" s="20"/>
      <c r="J122" s="21">
        <f t="shared" si="7"/>
        <v>0</v>
      </c>
      <c r="K122" s="7"/>
    </row>
    <row r="123" spans="1:23" s="36" customFormat="1" hidden="1" x14ac:dyDescent="0.3">
      <c r="A123" s="6"/>
      <c r="B123" s="17">
        <f t="shared" si="10"/>
        <v>34</v>
      </c>
      <c r="C123" s="18"/>
      <c r="D123" s="19"/>
      <c r="E123" s="19"/>
      <c r="F123" s="35"/>
      <c r="G123" s="35"/>
      <c r="H123" s="35"/>
      <c r="I123" s="20"/>
      <c r="J123" s="21">
        <f t="shared" si="7"/>
        <v>0</v>
      </c>
      <c r="K123" s="7"/>
    </row>
    <row r="124" spans="1:23" s="36" customFormat="1" hidden="1" x14ac:dyDescent="0.3">
      <c r="A124" s="6"/>
      <c r="B124" s="17">
        <f t="shared" si="10"/>
        <v>35</v>
      </c>
      <c r="C124" s="18"/>
      <c r="D124" s="19"/>
      <c r="E124" s="19"/>
      <c r="F124" s="35"/>
      <c r="G124" s="35"/>
      <c r="H124" s="35"/>
      <c r="I124" s="20"/>
      <c r="J124" s="21">
        <f t="shared" si="7"/>
        <v>0</v>
      </c>
      <c r="K124" s="7"/>
    </row>
    <row r="125" spans="1:23" s="36" customFormat="1" hidden="1" x14ac:dyDescent="0.3">
      <c r="A125" s="6"/>
      <c r="B125" s="17">
        <f t="shared" si="10"/>
        <v>36</v>
      </c>
      <c r="C125" s="18"/>
      <c r="D125" s="19"/>
      <c r="E125" s="19"/>
      <c r="F125" s="35"/>
      <c r="G125" s="35"/>
      <c r="H125" s="35"/>
      <c r="I125" s="20"/>
      <c r="J125" s="21">
        <f t="shared" si="7"/>
        <v>0</v>
      </c>
      <c r="K125" s="7"/>
    </row>
    <row r="126" spans="1:23" s="36" customFormat="1" hidden="1" x14ac:dyDescent="0.3">
      <c r="A126" s="6"/>
      <c r="B126" s="17">
        <f t="shared" si="10"/>
        <v>37</v>
      </c>
      <c r="C126" s="18"/>
      <c r="D126" s="19"/>
      <c r="E126" s="19"/>
      <c r="F126" s="35"/>
      <c r="G126" s="35"/>
      <c r="H126" s="35"/>
      <c r="I126" s="20"/>
      <c r="J126" s="21">
        <f t="shared" si="7"/>
        <v>0</v>
      </c>
      <c r="K126" s="7"/>
      <c r="V126" s="36">
        <f t="shared" si="8"/>
        <v>0</v>
      </c>
      <c r="W126" s="36">
        <f t="shared" si="9"/>
        <v>0</v>
      </c>
    </row>
    <row r="127" spans="1:23" s="36" customFormat="1" hidden="1" x14ac:dyDescent="0.3">
      <c r="A127" s="6"/>
      <c r="B127" s="17">
        <f t="shared" si="10"/>
        <v>38</v>
      </c>
      <c r="C127" s="18"/>
      <c r="D127" s="19"/>
      <c r="E127" s="19"/>
      <c r="F127" s="35"/>
      <c r="G127" s="35"/>
      <c r="H127" s="35"/>
      <c r="I127" s="20"/>
      <c r="J127" s="21">
        <f t="shared" si="7"/>
        <v>0</v>
      </c>
      <c r="K127" s="7"/>
    </row>
    <row r="128" spans="1:23" s="36" customFormat="1" hidden="1" x14ac:dyDescent="0.3">
      <c r="A128" s="6"/>
      <c r="B128" s="17">
        <f t="shared" si="10"/>
        <v>39</v>
      </c>
      <c r="C128" s="18"/>
      <c r="D128" s="19"/>
      <c r="E128" s="19"/>
      <c r="F128" s="35"/>
      <c r="G128" s="35"/>
      <c r="H128" s="35"/>
      <c r="I128" s="20"/>
      <c r="J128" s="21">
        <f t="shared" si="7"/>
        <v>0</v>
      </c>
      <c r="K128" s="7"/>
    </row>
    <row r="129" spans="1:23" s="36" customFormat="1" hidden="1" x14ac:dyDescent="0.3">
      <c r="A129" s="6"/>
      <c r="B129" s="17">
        <f t="shared" si="10"/>
        <v>40</v>
      </c>
      <c r="C129" s="18"/>
      <c r="D129" s="19"/>
      <c r="E129" s="19"/>
      <c r="F129" s="35"/>
      <c r="G129" s="35"/>
      <c r="H129" s="35"/>
      <c r="I129" s="20"/>
      <c r="J129" s="21">
        <f t="shared" si="7"/>
        <v>0</v>
      </c>
      <c r="K129" s="7"/>
    </row>
    <row r="130" spans="1:23" s="36" customFormat="1" hidden="1" x14ac:dyDescent="0.3">
      <c r="A130" s="6"/>
      <c r="B130" s="17">
        <f t="shared" si="10"/>
        <v>41</v>
      </c>
      <c r="C130" s="18"/>
      <c r="D130" s="19"/>
      <c r="E130" s="19"/>
      <c r="F130" s="35"/>
      <c r="G130" s="35"/>
      <c r="H130" s="35"/>
      <c r="I130" s="20"/>
      <c r="J130" s="21">
        <f t="shared" si="7"/>
        <v>0</v>
      </c>
      <c r="K130" s="7"/>
    </row>
    <row r="131" spans="1:23" s="36" customFormat="1" hidden="1" x14ac:dyDescent="0.3">
      <c r="A131" s="6"/>
      <c r="B131" s="17">
        <f t="shared" si="10"/>
        <v>42</v>
      </c>
      <c r="C131" s="18"/>
      <c r="D131" s="19"/>
      <c r="E131" s="19"/>
      <c r="F131" s="35"/>
      <c r="G131" s="35"/>
      <c r="H131" s="35"/>
      <c r="I131" s="20"/>
      <c r="J131" s="21">
        <f t="shared" si="7"/>
        <v>0</v>
      </c>
      <c r="K131" s="7"/>
    </row>
    <row r="132" spans="1:23" s="36" customFormat="1" ht="15" thickBot="1" x14ac:dyDescent="0.35">
      <c r="A132" s="6"/>
      <c r="B132" s="17">
        <f t="shared" si="10"/>
        <v>43</v>
      </c>
      <c r="C132" s="79"/>
      <c r="D132" s="80"/>
      <c r="E132" s="80"/>
      <c r="F132" s="81"/>
      <c r="G132" s="81"/>
      <c r="H132" s="80"/>
      <c r="I132" s="81"/>
      <c r="J132" s="82">
        <f t="shared" si="7"/>
        <v>0</v>
      </c>
      <c r="K132" s="7"/>
      <c r="V132" s="36">
        <f t="shared" si="8"/>
        <v>0</v>
      </c>
      <c r="W132" s="36">
        <f t="shared" si="9"/>
        <v>0</v>
      </c>
    </row>
    <row r="133" spans="1:23" s="36" customFormat="1" ht="24" thickBot="1" x14ac:dyDescent="0.5">
      <c r="A133" s="6"/>
      <c r="B133" s="165" t="s">
        <v>22</v>
      </c>
      <c r="C133" s="166"/>
      <c r="D133" s="166"/>
      <c r="E133" s="166"/>
      <c r="F133" s="166"/>
      <c r="G133" s="166"/>
      <c r="H133" s="167"/>
      <c r="I133" s="83" t="s">
        <v>23</v>
      </c>
      <c r="J133" s="84">
        <f>SUM(J90:J132)</f>
        <v>127408.75</v>
      </c>
      <c r="K133" s="7"/>
      <c r="L133" s="5"/>
      <c r="M133" s="5"/>
      <c r="N133" s="5"/>
      <c r="O133" s="5"/>
      <c r="P133" s="5"/>
      <c r="Q133" s="5"/>
      <c r="R133" s="5"/>
      <c r="V133" s="36">
        <f>SUM(V90:V132)</f>
        <v>17</v>
      </c>
      <c r="W133" s="36">
        <f>SUM(W90:W132)</f>
        <v>6</v>
      </c>
    </row>
    <row r="134" spans="1:23" s="36" customFormat="1" ht="30" customHeight="1" thickBot="1" x14ac:dyDescent="0.35">
      <c r="A134" s="30"/>
      <c r="B134" s="31"/>
      <c r="C134" s="31"/>
      <c r="D134" s="31"/>
      <c r="E134" s="31"/>
      <c r="F134" s="31"/>
      <c r="G134" s="31"/>
      <c r="H134" s="32"/>
      <c r="I134" s="31"/>
      <c r="J134" s="32"/>
      <c r="K134" s="33"/>
      <c r="L134" s="5"/>
      <c r="M134" s="5"/>
      <c r="N134" s="5"/>
      <c r="O134" s="5"/>
      <c r="P134" s="5"/>
      <c r="Q134" s="5"/>
      <c r="R134" s="5"/>
    </row>
  </sheetData>
  <mergeCells count="3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133:H133"/>
    <mergeCell ref="M10:O12"/>
    <mergeCell ref="P10:R12"/>
    <mergeCell ref="B82:H82"/>
    <mergeCell ref="B86:J86"/>
    <mergeCell ref="B87:J87"/>
    <mergeCell ref="B88:J88"/>
  </mergeCells>
  <hyperlinks>
    <hyperlink ref="B82" r:id="rId1" xr:uid="{00000000-0004-0000-0400-000000000000}"/>
    <hyperlink ref="M1" location="MASTER!A1" display="Back" xr:uid="{00000000-0004-0000-0400-000001000000}"/>
    <hyperlink ref="B133" r:id="rId2" xr:uid="{00000000-0004-0000-0400-000002000000}"/>
    <hyperlink ref="M6:M7" location="'OCT 2020'!A95" display="EXTRA STOCK FUTURE" xr:uid="{00000000-0004-0000-0400-000003000000}"/>
  </hyperlinks>
  <pageMargins left="0" right="0" top="0" bottom="0" header="0" footer="0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34"/>
  <sheetViews>
    <sheetView topLeftCell="A138" workbookViewId="0">
      <selection activeCell="M6" sqref="M6:M7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5.2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44166</v>
      </c>
      <c r="C3" s="104"/>
      <c r="D3" s="104"/>
      <c r="E3" s="104"/>
      <c r="F3" s="104"/>
      <c r="G3" s="104"/>
      <c r="H3" s="104"/>
      <c r="I3" s="104"/>
      <c r="J3" s="105"/>
      <c r="K3" s="7"/>
      <c r="M3" s="159"/>
      <c r="N3" s="161"/>
      <c r="O3" s="125"/>
      <c r="P3" s="125"/>
      <c r="Q3" s="125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55" t="s">
        <v>107</v>
      </c>
      <c r="N4" s="157">
        <v>40</v>
      </c>
      <c r="O4" s="113">
        <v>31</v>
      </c>
      <c r="P4" s="113">
        <v>9</v>
      </c>
      <c r="Q4" s="115">
        <v>0</v>
      </c>
      <c r="R4" s="117">
        <f>O4/N4</f>
        <v>0.77500000000000002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56"/>
      <c r="N5" s="158"/>
      <c r="O5" s="114"/>
      <c r="P5" s="114"/>
      <c r="Q5" s="116"/>
      <c r="R5" s="118"/>
      <c r="V5" s="5" t="s">
        <v>5</v>
      </c>
      <c r="W5" s="5" t="s">
        <v>6</v>
      </c>
    </row>
    <row r="6" spans="1:23" x14ac:dyDescent="0.3">
      <c r="A6" s="6"/>
      <c r="B6" s="14">
        <v>1</v>
      </c>
      <c r="C6" s="66">
        <v>44166</v>
      </c>
      <c r="D6" s="67" t="s">
        <v>18</v>
      </c>
      <c r="E6" s="67" t="s">
        <v>170</v>
      </c>
      <c r="F6" s="68">
        <v>200</v>
      </c>
      <c r="G6" s="68">
        <v>210</v>
      </c>
      <c r="H6" s="60">
        <v>10</v>
      </c>
      <c r="I6" s="15">
        <v>100</v>
      </c>
      <c r="J6" s="16">
        <f>H6*I6</f>
        <v>1000</v>
      </c>
      <c r="K6" s="7"/>
      <c r="M6" s="171" t="s">
        <v>108</v>
      </c>
      <c r="N6" s="158">
        <v>20</v>
      </c>
      <c r="O6" s="114">
        <v>16</v>
      </c>
      <c r="P6" s="114">
        <v>4</v>
      </c>
      <c r="Q6" s="163">
        <v>0</v>
      </c>
      <c r="R6" s="118">
        <f t="shared" ref="R6" si="0">O6/N6</f>
        <v>0.8</v>
      </c>
      <c r="V6" s="5">
        <f ca="1">SUM(V6:V82)</f>
        <v>0</v>
      </c>
      <c r="W6" s="5">
        <f>IF($J6&lt;0,1,0)</f>
        <v>0</v>
      </c>
    </row>
    <row r="7" spans="1:23" ht="15" thickBot="1" x14ac:dyDescent="0.35">
      <c r="A7" s="6"/>
      <c r="B7" s="17">
        <v>2</v>
      </c>
      <c r="C7" s="66">
        <v>44166</v>
      </c>
      <c r="D7" s="67" t="s">
        <v>18</v>
      </c>
      <c r="E7" s="67" t="s">
        <v>170</v>
      </c>
      <c r="F7" s="68">
        <v>190</v>
      </c>
      <c r="G7" s="68">
        <v>219</v>
      </c>
      <c r="H7" s="67">
        <v>29</v>
      </c>
      <c r="I7" s="20">
        <v>100</v>
      </c>
      <c r="J7" s="21">
        <f t="shared" ref="J7:J81" si="1">H7*I7</f>
        <v>2900</v>
      </c>
      <c r="K7" s="7"/>
      <c r="M7" s="171"/>
      <c r="N7" s="158"/>
      <c r="O7" s="114"/>
      <c r="P7" s="114"/>
      <c r="Q7" s="164"/>
      <c r="R7" s="118"/>
      <c r="V7" s="5">
        <f t="shared" ref="V7:V14" si="2">IF($J7&gt;0,1,0)</f>
        <v>1</v>
      </c>
      <c r="W7" s="5">
        <f t="shared" ref="W7:W14" si="3">IF($J7&lt;0,1,0)</f>
        <v>0</v>
      </c>
    </row>
    <row r="8" spans="1:23" ht="16.5" customHeight="1" x14ac:dyDescent="0.3">
      <c r="A8" s="6"/>
      <c r="B8" s="17">
        <v>3</v>
      </c>
      <c r="C8" s="18">
        <v>44167</v>
      </c>
      <c r="D8" s="19" t="s">
        <v>18</v>
      </c>
      <c r="E8" s="19" t="s">
        <v>162</v>
      </c>
      <c r="F8" s="35">
        <v>160</v>
      </c>
      <c r="G8" s="35">
        <v>110</v>
      </c>
      <c r="H8" s="35">
        <v>-50</v>
      </c>
      <c r="I8" s="20">
        <v>100</v>
      </c>
      <c r="J8" s="21">
        <f t="shared" si="1"/>
        <v>-5000</v>
      </c>
      <c r="K8" s="7"/>
      <c r="M8" s="154" t="s">
        <v>19</v>
      </c>
      <c r="N8" s="149">
        <f>SUM(N4:N7)</f>
        <v>60</v>
      </c>
      <c r="O8" s="149">
        <f>SUM(O4:O7)</f>
        <v>47</v>
      </c>
      <c r="P8" s="149">
        <f>SUM(P4:P7)</f>
        <v>13</v>
      </c>
      <c r="Q8" s="151">
        <f>SUM(Q4:Q7)</f>
        <v>0</v>
      </c>
      <c r="R8" s="117">
        <f t="shared" ref="R8" si="4">O8/N8</f>
        <v>0.78333333333333333</v>
      </c>
      <c r="V8" s="5">
        <f t="shared" si="2"/>
        <v>0</v>
      </c>
      <c r="W8" s="5">
        <f t="shared" si="3"/>
        <v>1</v>
      </c>
    </row>
    <row r="9" spans="1:23" ht="15.75" customHeight="1" thickBot="1" x14ac:dyDescent="0.35">
      <c r="A9" s="6"/>
      <c r="B9" s="17">
        <v>4</v>
      </c>
      <c r="C9" s="18">
        <v>44167</v>
      </c>
      <c r="D9" s="19" t="s">
        <v>18</v>
      </c>
      <c r="E9" s="19" t="s">
        <v>173</v>
      </c>
      <c r="F9" s="35">
        <v>180</v>
      </c>
      <c r="G9" s="35">
        <v>260</v>
      </c>
      <c r="H9" s="35">
        <v>80</v>
      </c>
      <c r="I9" s="20">
        <v>100</v>
      </c>
      <c r="J9" s="21">
        <f t="shared" si="1"/>
        <v>8000</v>
      </c>
      <c r="K9" s="7"/>
      <c r="M9" s="148"/>
      <c r="N9" s="150"/>
      <c r="O9" s="150"/>
      <c r="P9" s="150"/>
      <c r="Q9" s="152"/>
      <c r="R9" s="153"/>
      <c r="V9" s="5">
        <f t="shared" si="2"/>
        <v>1</v>
      </c>
      <c r="W9" s="5">
        <f t="shared" si="3"/>
        <v>0</v>
      </c>
    </row>
    <row r="10" spans="1:23" ht="15" customHeight="1" x14ac:dyDescent="0.3">
      <c r="A10" s="6"/>
      <c r="B10" s="17">
        <v>5</v>
      </c>
      <c r="C10" s="18">
        <v>44168</v>
      </c>
      <c r="D10" s="19" t="s">
        <v>18</v>
      </c>
      <c r="E10" s="19" t="s">
        <v>163</v>
      </c>
      <c r="F10" s="35">
        <v>140</v>
      </c>
      <c r="G10" s="35">
        <v>90</v>
      </c>
      <c r="H10" s="35">
        <v>-50</v>
      </c>
      <c r="I10" s="20">
        <v>100</v>
      </c>
      <c r="J10" s="21">
        <f t="shared" si="1"/>
        <v>-5000</v>
      </c>
      <c r="K10" s="7"/>
      <c r="M10" s="126" t="s">
        <v>20</v>
      </c>
      <c r="N10" s="127"/>
      <c r="O10" s="128"/>
      <c r="P10" s="135">
        <f>R8</f>
        <v>0.78333333333333333</v>
      </c>
      <c r="Q10" s="136"/>
      <c r="R10" s="137"/>
      <c r="V10" s="5">
        <f t="shared" si="2"/>
        <v>0</v>
      </c>
      <c r="W10" s="5">
        <f t="shared" si="3"/>
        <v>1</v>
      </c>
    </row>
    <row r="11" spans="1:23" x14ac:dyDescent="0.3">
      <c r="A11" s="6"/>
      <c r="B11" s="17">
        <v>6</v>
      </c>
      <c r="C11" s="18">
        <v>44172</v>
      </c>
      <c r="D11" s="19" t="s">
        <v>18</v>
      </c>
      <c r="E11" s="19" t="s">
        <v>174</v>
      </c>
      <c r="F11" s="35">
        <v>200</v>
      </c>
      <c r="G11" s="35">
        <v>240</v>
      </c>
      <c r="H11" s="35">
        <v>40</v>
      </c>
      <c r="I11" s="20">
        <v>100</v>
      </c>
      <c r="J11" s="21">
        <f t="shared" si="1"/>
        <v>4000</v>
      </c>
      <c r="K11" s="7"/>
      <c r="M11" s="129"/>
      <c r="N11" s="130"/>
      <c r="O11" s="131"/>
      <c r="P11" s="138"/>
      <c r="Q11" s="139"/>
      <c r="R11" s="140"/>
      <c r="V11" s="5">
        <f t="shared" si="2"/>
        <v>1</v>
      </c>
      <c r="W11" s="5">
        <f t="shared" si="3"/>
        <v>0</v>
      </c>
    </row>
    <row r="12" spans="1:23" ht="15" thickBot="1" x14ac:dyDescent="0.35">
      <c r="A12" s="6"/>
      <c r="B12" s="17">
        <v>7</v>
      </c>
      <c r="C12" s="18">
        <v>44173</v>
      </c>
      <c r="D12" s="19" t="s">
        <v>18</v>
      </c>
      <c r="E12" s="19" t="s">
        <v>175</v>
      </c>
      <c r="F12" s="35">
        <v>190</v>
      </c>
      <c r="G12" s="35">
        <v>216</v>
      </c>
      <c r="H12" s="35">
        <v>26</v>
      </c>
      <c r="I12" s="20">
        <v>100</v>
      </c>
      <c r="J12" s="21">
        <f t="shared" si="1"/>
        <v>2600</v>
      </c>
      <c r="K12" s="7"/>
      <c r="M12" s="132"/>
      <c r="N12" s="133"/>
      <c r="O12" s="134"/>
      <c r="P12" s="141"/>
      <c r="Q12" s="142"/>
      <c r="R12" s="143"/>
      <c r="V12" s="5">
        <f t="shared" si="2"/>
        <v>1</v>
      </c>
      <c r="W12" s="5">
        <f t="shared" si="3"/>
        <v>0</v>
      </c>
    </row>
    <row r="13" spans="1:23" x14ac:dyDescent="0.3">
      <c r="A13" s="6"/>
      <c r="B13" s="17">
        <v>8</v>
      </c>
      <c r="C13" s="18">
        <v>44174</v>
      </c>
      <c r="D13" s="19" t="s">
        <v>18</v>
      </c>
      <c r="E13" s="19" t="s">
        <v>175</v>
      </c>
      <c r="F13" s="35">
        <v>180</v>
      </c>
      <c r="G13" s="35">
        <v>280</v>
      </c>
      <c r="H13" s="35">
        <v>100</v>
      </c>
      <c r="I13" s="20">
        <v>100</v>
      </c>
      <c r="J13" s="21">
        <f t="shared" si="1"/>
        <v>10000</v>
      </c>
      <c r="K13" s="7"/>
      <c r="V13" s="5">
        <f t="shared" si="2"/>
        <v>1</v>
      </c>
      <c r="W13" s="5">
        <f t="shared" si="3"/>
        <v>0</v>
      </c>
    </row>
    <row r="14" spans="1:23" x14ac:dyDescent="0.3">
      <c r="A14" s="6"/>
      <c r="B14" s="17">
        <v>9</v>
      </c>
      <c r="C14" s="18">
        <v>44175</v>
      </c>
      <c r="D14" s="19" t="s">
        <v>18</v>
      </c>
      <c r="E14" s="19" t="s">
        <v>175</v>
      </c>
      <c r="F14" s="35">
        <v>80</v>
      </c>
      <c r="G14" s="35">
        <v>95</v>
      </c>
      <c r="H14" s="35">
        <v>15</v>
      </c>
      <c r="I14" s="20">
        <v>100</v>
      </c>
      <c r="J14" s="21">
        <f t="shared" si="1"/>
        <v>1500</v>
      </c>
      <c r="K14" s="7"/>
      <c r="V14" s="5">
        <f t="shared" si="2"/>
        <v>1</v>
      </c>
      <c r="W14" s="5">
        <f t="shared" si="3"/>
        <v>0</v>
      </c>
    </row>
    <row r="15" spans="1:23" x14ac:dyDescent="0.3">
      <c r="A15" s="6"/>
      <c r="B15" s="17">
        <v>10</v>
      </c>
      <c r="C15" s="18">
        <v>44176</v>
      </c>
      <c r="D15" s="19" t="s">
        <v>18</v>
      </c>
      <c r="E15" s="19" t="s">
        <v>177</v>
      </c>
      <c r="F15" s="35">
        <v>200</v>
      </c>
      <c r="G15" s="35">
        <v>150</v>
      </c>
      <c r="H15" s="35">
        <v>-50</v>
      </c>
      <c r="I15" s="20">
        <v>100</v>
      </c>
      <c r="J15" s="21">
        <f t="shared" si="1"/>
        <v>-5000</v>
      </c>
      <c r="K15" s="7"/>
      <c r="V15" s="5">
        <f>IF($J15&gt;0,1,0)</f>
        <v>0</v>
      </c>
      <c r="W15" s="5">
        <f>IF($J15&lt;0,1,0)</f>
        <v>1</v>
      </c>
    </row>
    <row r="16" spans="1:23" hidden="1" x14ac:dyDescent="0.3">
      <c r="A16" s="6"/>
      <c r="B16" s="17">
        <v>11</v>
      </c>
      <c r="C16" s="18"/>
      <c r="D16" s="19"/>
      <c r="E16" s="19"/>
      <c r="F16" s="35"/>
      <c r="G16" s="35"/>
      <c r="H16" s="35"/>
      <c r="I16" s="20"/>
      <c r="J16" s="21">
        <f t="shared" si="1"/>
        <v>0</v>
      </c>
      <c r="K16" s="7"/>
      <c r="V16" s="5">
        <f t="shared" ref="V16:V81" si="5">IF($J16&gt;0,1,0)</f>
        <v>0</v>
      </c>
      <c r="W16" s="5">
        <f t="shared" ref="W16:W82" si="6">IF($J16&lt;0,1,0)</f>
        <v>0</v>
      </c>
    </row>
    <row r="17" spans="1:23" hidden="1" x14ac:dyDescent="0.3">
      <c r="A17" s="6"/>
      <c r="B17" s="17">
        <v>12</v>
      </c>
      <c r="C17" s="18"/>
      <c r="D17" s="19"/>
      <c r="E17" s="19"/>
      <c r="F17" s="35"/>
      <c r="G17" s="35"/>
      <c r="H17" s="35"/>
      <c r="I17" s="20"/>
      <c r="J17" s="21">
        <f t="shared" si="1"/>
        <v>0</v>
      </c>
      <c r="K17" s="7"/>
      <c r="V17" s="5">
        <f t="shared" si="5"/>
        <v>0</v>
      </c>
      <c r="W17" s="5">
        <f t="shared" si="6"/>
        <v>0</v>
      </c>
    </row>
    <row r="18" spans="1:23" hidden="1" x14ac:dyDescent="0.3">
      <c r="A18" s="6"/>
      <c r="B18" s="17">
        <v>13</v>
      </c>
      <c r="C18" s="18"/>
      <c r="D18" s="19"/>
      <c r="E18" s="19"/>
      <c r="F18" s="35"/>
      <c r="G18" s="35"/>
      <c r="H18" s="35"/>
      <c r="I18" s="20"/>
      <c r="J18" s="21">
        <f t="shared" si="1"/>
        <v>0</v>
      </c>
      <c r="K18" s="7"/>
      <c r="V18" s="5">
        <f t="shared" si="5"/>
        <v>0</v>
      </c>
      <c r="W18" s="5">
        <f t="shared" si="6"/>
        <v>0</v>
      </c>
    </row>
    <row r="19" spans="1:23" hidden="1" x14ac:dyDescent="0.3">
      <c r="A19" s="6"/>
      <c r="B19" s="17">
        <v>14</v>
      </c>
      <c r="C19" s="18"/>
      <c r="D19" s="19"/>
      <c r="E19" s="19"/>
      <c r="F19" s="35"/>
      <c r="G19" s="35"/>
      <c r="H19" s="35"/>
      <c r="I19" s="20"/>
      <c r="J19" s="21">
        <f t="shared" si="1"/>
        <v>0</v>
      </c>
      <c r="K19" s="7"/>
      <c r="O19" s="22"/>
      <c r="P19" s="22"/>
      <c r="Q19" s="22"/>
      <c r="R19" s="22"/>
      <c r="V19" s="5">
        <f t="shared" si="5"/>
        <v>0</v>
      </c>
      <c r="W19" s="5">
        <f t="shared" si="6"/>
        <v>0</v>
      </c>
    </row>
    <row r="20" spans="1:23" hidden="1" x14ac:dyDescent="0.3">
      <c r="A20" s="6"/>
      <c r="B20" s="17">
        <v>15</v>
      </c>
      <c r="C20" s="18"/>
      <c r="D20" s="19"/>
      <c r="E20" s="19"/>
      <c r="F20" s="35"/>
      <c r="G20" s="35"/>
      <c r="H20" s="35"/>
      <c r="I20" s="20"/>
      <c r="J20" s="21">
        <f t="shared" si="1"/>
        <v>0</v>
      </c>
      <c r="K20" s="7"/>
      <c r="V20" s="5">
        <f t="shared" si="5"/>
        <v>0</v>
      </c>
      <c r="W20" s="5">
        <f t="shared" si="6"/>
        <v>0</v>
      </c>
    </row>
    <row r="21" spans="1:23" hidden="1" x14ac:dyDescent="0.3">
      <c r="A21" s="6"/>
      <c r="B21" s="17">
        <v>16</v>
      </c>
      <c r="C21" s="18"/>
      <c r="D21" s="19"/>
      <c r="E21" s="19"/>
      <c r="F21" s="35"/>
      <c r="G21" s="35"/>
      <c r="H21" s="35"/>
      <c r="I21" s="20"/>
      <c r="J21" s="21">
        <f t="shared" si="1"/>
        <v>0</v>
      </c>
      <c r="K21" s="7"/>
      <c r="V21" s="5">
        <f t="shared" si="5"/>
        <v>0</v>
      </c>
      <c r="W21" s="5">
        <f t="shared" si="6"/>
        <v>0</v>
      </c>
    </row>
    <row r="22" spans="1:23" hidden="1" x14ac:dyDescent="0.3">
      <c r="A22" s="6"/>
      <c r="B22" s="17">
        <v>17</v>
      </c>
      <c r="C22" s="18"/>
      <c r="D22" s="19"/>
      <c r="E22" s="19"/>
      <c r="F22" s="35"/>
      <c r="G22" s="35"/>
      <c r="H22" s="35"/>
      <c r="I22" s="20"/>
      <c r="J22" s="21">
        <f t="shared" si="1"/>
        <v>0</v>
      </c>
      <c r="K22" s="7"/>
      <c r="V22" s="5">
        <f t="shared" si="5"/>
        <v>0</v>
      </c>
      <c r="W22" s="5">
        <f t="shared" si="6"/>
        <v>0</v>
      </c>
    </row>
    <row r="23" spans="1:23" hidden="1" x14ac:dyDescent="0.3">
      <c r="A23" s="6"/>
      <c r="B23" s="17">
        <v>18</v>
      </c>
      <c r="C23" s="18"/>
      <c r="D23" s="19"/>
      <c r="E23" s="19"/>
      <c r="F23" s="35"/>
      <c r="G23" s="35"/>
      <c r="H23" s="35"/>
      <c r="I23" s="20"/>
      <c r="J23" s="21">
        <f t="shared" si="1"/>
        <v>0</v>
      </c>
      <c r="K23" s="7"/>
      <c r="V23" s="5">
        <f t="shared" si="5"/>
        <v>0</v>
      </c>
      <c r="W23" s="5">
        <f t="shared" si="6"/>
        <v>0</v>
      </c>
    </row>
    <row r="24" spans="1:23" hidden="1" x14ac:dyDescent="0.3">
      <c r="A24" s="6"/>
      <c r="B24" s="17">
        <v>19</v>
      </c>
      <c r="C24" s="18"/>
      <c r="D24" s="19"/>
      <c r="E24" s="19"/>
      <c r="F24" s="35"/>
      <c r="G24" s="35"/>
      <c r="H24" s="35"/>
      <c r="I24" s="20"/>
      <c r="J24" s="21">
        <f t="shared" si="1"/>
        <v>0</v>
      </c>
      <c r="K24" s="7"/>
      <c r="V24" s="5">
        <f t="shared" si="5"/>
        <v>0</v>
      </c>
      <c r="W24" s="5">
        <f t="shared" si="6"/>
        <v>0</v>
      </c>
    </row>
    <row r="25" spans="1:23" hidden="1" x14ac:dyDescent="0.3">
      <c r="A25" s="6"/>
      <c r="B25" s="17">
        <v>20</v>
      </c>
      <c r="C25" s="18"/>
      <c r="D25" s="19"/>
      <c r="E25" s="19"/>
      <c r="F25" s="35"/>
      <c r="G25" s="35"/>
      <c r="H25" s="19"/>
      <c r="I25" s="20"/>
      <c r="J25" s="21">
        <f t="shared" si="1"/>
        <v>0</v>
      </c>
      <c r="K25" s="7"/>
      <c r="V25" s="5">
        <f t="shared" si="5"/>
        <v>0</v>
      </c>
      <c r="W25" s="5">
        <f t="shared" si="6"/>
        <v>0</v>
      </c>
    </row>
    <row r="26" spans="1:23" hidden="1" x14ac:dyDescent="0.3">
      <c r="A26" s="6"/>
      <c r="B26" s="17">
        <v>21</v>
      </c>
      <c r="C26" s="18"/>
      <c r="D26" s="19"/>
      <c r="E26" s="19"/>
      <c r="F26" s="35"/>
      <c r="G26" s="35"/>
      <c r="H26" s="19"/>
      <c r="I26" s="20"/>
      <c r="J26" s="21">
        <f t="shared" si="1"/>
        <v>0</v>
      </c>
      <c r="K26" s="7"/>
      <c r="V26" s="5">
        <f t="shared" si="5"/>
        <v>0</v>
      </c>
      <c r="W26" s="5">
        <f t="shared" si="6"/>
        <v>0</v>
      </c>
    </row>
    <row r="27" spans="1:23" hidden="1" x14ac:dyDescent="0.3">
      <c r="A27" s="6"/>
      <c r="B27" s="17">
        <v>22</v>
      </c>
      <c r="C27" s="18"/>
      <c r="D27" s="19"/>
      <c r="E27" s="19"/>
      <c r="F27" s="20"/>
      <c r="G27" s="20"/>
      <c r="H27" s="19"/>
      <c r="I27" s="20"/>
      <c r="J27" s="21">
        <f t="shared" si="1"/>
        <v>0</v>
      </c>
      <c r="K27" s="7"/>
      <c r="V27" s="5">
        <f t="shared" si="5"/>
        <v>0</v>
      </c>
      <c r="W27" s="5">
        <f t="shared" si="6"/>
        <v>0</v>
      </c>
    </row>
    <row r="28" spans="1:23" x14ac:dyDescent="0.3">
      <c r="A28" s="6"/>
      <c r="B28" s="23">
        <v>11</v>
      </c>
      <c r="C28" s="24">
        <v>44179</v>
      </c>
      <c r="D28" s="25" t="s">
        <v>18</v>
      </c>
      <c r="E28" s="25" t="s">
        <v>177</v>
      </c>
      <c r="F28" s="26">
        <v>170</v>
      </c>
      <c r="G28" s="61">
        <v>160</v>
      </c>
      <c r="H28" s="61">
        <v>-10</v>
      </c>
      <c r="I28" s="26">
        <v>100</v>
      </c>
      <c r="J28" s="21">
        <f t="shared" si="1"/>
        <v>-1000</v>
      </c>
      <c r="K28" s="7"/>
      <c r="V28" s="5">
        <f t="shared" si="5"/>
        <v>0</v>
      </c>
      <c r="W28" s="5">
        <f t="shared" si="6"/>
        <v>1</v>
      </c>
    </row>
    <row r="29" spans="1:23" x14ac:dyDescent="0.3">
      <c r="A29" s="6"/>
      <c r="B29" s="23">
        <v>12</v>
      </c>
      <c r="C29" s="24">
        <v>44179</v>
      </c>
      <c r="D29" s="25" t="s">
        <v>18</v>
      </c>
      <c r="E29" s="25" t="s">
        <v>178</v>
      </c>
      <c r="F29" s="26">
        <v>200</v>
      </c>
      <c r="G29" s="61">
        <v>222</v>
      </c>
      <c r="H29" s="61">
        <v>22</v>
      </c>
      <c r="I29" s="26">
        <v>100</v>
      </c>
      <c r="J29" s="21">
        <f t="shared" si="1"/>
        <v>2200</v>
      </c>
      <c r="K29" s="7"/>
      <c r="V29" s="5">
        <f t="shared" si="5"/>
        <v>1</v>
      </c>
      <c r="W29" s="5">
        <f t="shared" si="6"/>
        <v>0</v>
      </c>
    </row>
    <row r="30" spans="1:23" x14ac:dyDescent="0.3">
      <c r="A30" s="6"/>
      <c r="B30" s="23">
        <v>13</v>
      </c>
      <c r="C30" s="24">
        <v>44180</v>
      </c>
      <c r="D30" s="25" t="s">
        <v>18</v>
      </c>
      <c r="E30" s="25" t="s">
        <v>179</v>
      </c>
      <c r="F30" s="26">
        <v>170</v>
      </c>
      <c r="G30" s="61">
        <v>240</v>
      </c>
      <c r="H30" s="61">
        <v>70</v>
      </c>
      <c r="I30" s="26">
        <v>100</v>
      </c>
      <c r="J30" s="21">
        <f t="shared" si="1"/>
        <v>7000</v>
      </c>
      <c r="K30" s="7"/>
      <c r="V30" s="5">
        <f t="shared" si="5"/>
        <v>1</v>
      </c>
      <c r="W30" s="5">
        <f t="shared" si="6"/>
        <v>0</v>
      </c>
    </row>
    <row r="31" spans="1:23" x14ac:dyDescent="0.3">
      <c r="A31" s="6"/>
      <c r="B31" s="23">
        <v>14</v>
      </c>
      <c r="C31" s="24">
        <v>44180</v>
      </c>
      <c r="D31" s="25" t="s">
        <v>18</v>
      </c>
      <c r="E31" s="25" t="s">
        <v>180</v>
      </c>
      <c r="F31" s="26">
        <v>190</v>
      </c>
      <c r="G31" s="61">
        <v>277</v>
      </c>
      <c r="H31" s="61">
        <v>87</v>
      </c>
      <c r="I31" s="26">
        <v>100</v>
      </c>
      <c r="J31" s="21">
        <f t="shared" si="1"/>
        <v>8700</v>
      </c>
      <c r="K31" s="7"/>
      <c r="V31" s="5">
        <f t="shared" si="5"/>
        <v>1</v>
      </c>
      <c r="W31" s="5">
        <f t="shared" si="6"/>
        <v>0</v>
      </c>
    </row>
    <row r="32" spans="1:23" x14ac:dyDescent="0.3">
      <c r="A32" s="6"/>
      <c r="B32" s="23">
        <v>15</v>
      </c>
      <c r="C32" s="24">
        <v>44181</v>
      </c>
      <c r="D32" s="25" t="s">
        <v>18</v>
      </c>
      <c r="E32" s="25" t="s">
        <v>182</v>
      </c>
      <c r="F32" s="26">
        <v>130</v>
      </c>
      <c r="G32" s="61">
        <v>170</v>
      </c>
      <c r="H32" s="61">
        <v>40</v>
      </c>
      <c r="I32" s="26">
        <v>100</v>
      </c>
      <c r="J32" s="21">
        <f t="shared" si="1"/>
        <v>4000</v>
      </c>
      <c r="K32" s="7"/>
      <c r="V32" s="5">
        <f t="shared" si="5"/>
        <v>1</v>
      </c>
      <c r="W32" s="5">
        <f t="shared" si="6"/>
        <v>0</v>
      </c>
    </row>
    <row r="33" spans="1:23" x14ac:dyDescent="0.3">
      <c r="A33" s="6"/>
      <c r="B33" s="23">
        <v>16</v>
      </c>
      <c r="C33" s="24">
        <v>44181</v>
      </c>
      <c r="D33" s="25" t="s">
        <v>18</v>
      </c>
      <c r="E33" s="25" t="s">
        <v>183</v>
      </c>
      <c r="F33" s="26">
        <v>160</v>
      </c>
      <c r="G33" s="61">
        <v>110</v>
      </c>
      <c r="H33" s="61">
        <v>-50</v>
      </c>
      <c r="I33" s="26">
        <v>100</v>
      </c>
      <c r="J33" s="21">
        <f t="shared" si="1"/>
        <v>-5000</v>
      </c>
      <c r="K33" s="7"/>
      <c r="V33" s="5">
        <f t="shared" si="5"/>
        <v>0</v>
      </c>
      <c r="W33" s="5">
        <f t="shared" si="6"/>
        <v>1</v>
      </c>
    </row>
    <row r="34" spans="1:23" x14ac:dyDescent="0.3">
      <c r="A34" s="6"/>
      <c r="B34" s="23">
        <v>17</v>
      </c>
      <c r="C34" s="24">
        <v>44182</v>
      </c>
      <c r="D34" s="25" t="s">
        <v>18</v>
      </c>
      <c r="E34" s="25" t="s">
        <v>179</v>
      </c>
      <c r="F34" s="26">
        <v>90</v>
      </c>
      <c r="G34" s="61">
        <v>190</v>
      </c>
      <c r="H34" s="61">
        <v>100</v>
      </c>
      <c r="I34" s="26">
        <v>100</v>
      </c>
      <c r="J34" s="21">
        <f t="shared" si="1"/>
        <v>10000</v>
      </c>
      <c r="K34" s="7"/>
      <c r="V34" s="5">
        <f t="shared" si="5"/>
        <v>1</v>
      </c>
      <c r="W34" s="5">
        <f t="shared" si="6"/>
        <v>0</v>
      </c>
    </row>
    <row r="35" spans="1:23" x14ac:dyDescent="0.3">
      <c r="A35" s="6"/>
      <c r="B35" s="23">
        <v>18</v>
      </c>
      <c r="C35" s="24">
        <v>44182</v>
      </c>
      <c r="D35" s="25" t="s">
        <v>18</v>
      </c>
      <c r="E35" s="25" t="s">
        <v>183</v>
      </c>
      <c r="F35" s="26">
        <v>70</v>
      </c>
      <c r="G35" s="61">
        <v>90</v>
      </c>
      <c r="H35" s="61">
        <v>20</v>
      </c>
      <c r="I35" s="26">
        <v>100</v>
      </c>
      <c r="J35" s="21">
        <f t="shared" si="1"/>
        <v>2000</v>
      </c>
      <c r="K35" s="7"/>
      <c r="V35" s="5">
        <f t="shared" si="5"/>
        <v>1</v>
      </c>
      <c r="W35" s="5">
        <f t="shared" si="6"/>
        <v>0</v>
      </c>
    </row>
    <row r="36" spans="1:23" x14ac:dyDescent="0.3">
      <c r="A36" s="6"/>
      <c r="B36" s="23">
        <v>19</v>
      </c>
      <c r="C36" s="24">
        <v>44183</v>
      </c>
      <c r="D36" s="25" t="s">
        <v>18</v>
      </c>
      <c r="E36" s="25" t="s">
        <v>183</v>
      </c>
      <c r="F36" s="26">
        <v>200</v>
      </c>
      <c r="G36" s="61">
        <v>243</v>
      </c>
      <c r="H36" s="61">
        <v>43</v>
      </c>
      <c r="I36" s="26">
        <v>100</v>
      </c>
      <c r="J36" s="21">
        <f t="shared" si="1"/>
        <v>4300</v>
      </c>
      <c r="K36" s="7"/>
      <c r="V36" s="5">
        <f t="shared" si="5"/>
        <v>1</v>
      </c>
      <c r="W36" s="5">
        <f t="shared" si="6"/>
        <v>0</v>
      </c>
    </row>
    <row r="37" spans="1:23" x14ac:dyDescent="0.3">
      <c r="A37" s="6"/>
      <c r="B37" s="23">
        <v>20</v>
      </c>
      <c r="C37" s="24">
        <v>44186</v>
      </c>
      <c r="D37" s="25" t="s">
        <v>18</v>
      </c>
      <c r="E37" s="25" t="s">
        <v>184</v>
      </c>
      <c r="F37" s="26">
        <v>190</v>
      </c>
      <c r="G37" s="61">
        <v>235</v>
      </c>
      <c r="H37" s="61">
        <v>45</v>
      </c>
      <c r="I37" s="26">
        <v>100</v>
      </c>
      <c r="J37" s="21">
        <f t="shared" si="1"/>
        <v>4500</v>
      </c>
      <c r="K37" s="7"/>
      <c r="V37" s="5">
        <f t="shared" si="5"/>
        <v>1</v>
      </c>
      <c r="W37" s="5">
        <f t="shared" si="6"/>
        <v>0</v>
      </c>
    </row>
    <row r="38" spans="1:23" x14ac:dyDescent="0.3">
      <c r="A38" s="6"/>
      <c r="B38" s="23">
        <v>21</v>
      </c>
      <c r="C38" s="24">
        <v>44186</v>
      </c>
      <c r="D38" s="25" t="s">
        <v>18</v>
      </c>
      <c r="E38" s="25" t="s">
        <v>179</v>
      </c>
      <c r="F38" s="26">
        <v>160</v>
      </c>
      <c r="G38" s="61">
        <v>110</v>
      </c>
      <c r="H38" s="61">
        <v>-50</v>
      </c>
      <c r="I38" s="26">
        <v>100</v>
      </c>
      <c r="J38" s="21">
        <f t="shared" si="1"/>
        <v>-5000</v>
      </c>
      <c r="K38" s="7"/>
      <c r="V38" s="5">
        <f t="shared" si="5"/>
        <v>0</v>
      </c>
      <c r="W38" s="5">
        <f t="shared" si="6"/>
        <v>1</v>
      </c>
    </row>
    <row r="39" spans="1:23" x14ac:dyDescent="0.3">
      <c r="A39" s="6"/>
      <c r="B39" s="23">
        <v>22</v>
      </c>
      <c r="C39" s="24">
        <v>44187</v>
      </c>
      <c r="D39" s="25" t="s">
        <v>18</v>
      </c>
      <c r="E39" s="25" t="s">
        <v>169</v>
      </c>
      <c r="F39" s="26">
        <v>160</v>
      </c>
      <c r="G39" s="61">
        <v>260</v>
      </c>
      <c r="H39" s="61">
        <v>100</v>
      </c>
      <c r="I39" s="26">
        <v>100</v>
      </c>
      <c r="J39" s="21">
        <f t="shared" si="1"/>
        <v>10000</v>
      </c>
      <c r="K39" s="7"/>
      <c r="V39" s="5">
        <f t="shared" si="5"/>
        <v>1</v>
      </c>
      <c r="W39" s="5">
        <f t="shared" si="6"/>
        <v>0</v>
      </c>
    </row>
    <row r="40" spans="1:23" x14ac:dyDescent="0.3">
      <c r="A40" s="6"/>
      <c r="B40" s="23">
        <v>23</v>
      </c>
      <c r="C40" s="24">
        <v>44187</v>
      </c>
      <c r="D40" s="25" t="s">
        <v>18</v>
      </c>
      <c r="E40" s="25" t="s">
        <v>163</v>
      </c>
      <c r="F40" s="26">
        <v>180</v>
      </c>
      <c r="G40" s="61">
        <v>130</v>
      </c>
      <c r="H40" s="61">
        <v>-50</v>
      </c>
      <c r="I40" s="26">
        <v>100</v>
      </c>
      <c r="J40" s="21">
        <f t="shared" si="1"/>
        <v>-5000</v>
      </c>
      <c r="K40" s="7"/>
      <c r="V40" s="5">
        <f t="shared" si="5"/>
        <v>0</v>
      </c>
      <c r="W40" s="5">
        <f t="shared" si="6"/>
        <v>1</v>
      </c>
    </row>
    <row r="41" spans="1:23" x14ac:dyDescent="0.3">
      <c r="A41" s="6"/>
      <c r="B41" s="23">
        <v>24</v>
      </c>
      <c r="C41" s="24">
        <v>44188</v>
      </c>
      <c r="D41" s="25" t="s">
        <v>18</v>
      </c>
      <c r="E41" s="25" t="s">
        <v>165</v>
      </c>
      <c r="F41" s="26">
        <v>150</v>
      </c>
      <c r="G41" s="61">
        <v>100</v>
      </c>
      <c r="H41" s="61">
        <v>-50</v>
      </c>
      <c r="I41" s="26">
        <v>100</v>
      </c>
      <c r="J41" s="21">
        <f t="shared" si="1"/>
        <v>-5000</v>
      </c>
      <c r="K41" s="7"/>
      <c r="V41" s="5">
        <f t="shared" si="5"/>
        <v>0</v>
      </c>
      <c r="W41" s="5">
        <f t="shared" si="6"/>
        <v>1</v>
      </c>
    </row>
    <row r="42" spans="1:23" x14ac:dyDescent="0.3">
      <c r="A42" s="6"/>
      <c r="B42" s="23">
        <v>25</v>
      </c>
      <c r="C42" s="24">
        <v>44188</v>
      </c>
      <c r="D42" s="25" t="s">
        <v>18</v>
      </c>
      <c r="E42" s="25" t="s">
        <v>162</v>
      </c>
      <c r="F42" s="26">
        <v>170</v>
      </c>
      <c r="G42" s="61">
        <v>120</v>
      </c>
      <c r="H42" s="61">
        <v>-50</v>
      </c>
      <c r="I42" s="26">
        <v>100</v>
      </c>
      <c r="J42" s="21">
        <f t="shared" si="1"/>
        <v>-5000</v>
      </c>
      <c r="K42" s="7"/>
      <c r="V42" s="5">
        <f t="shared" si="5"/>
        <v>0</v>
      </c>
      <c r="W42" s="5">
        <f t="shared" si="6"/>
        <v>1</v>
      </c>
    </row>
    <row r="43" spans="1:23" x14ac:dyDescent="0.3">
      <c r="A43" s="6"/>
      <c r="B43" s="23">
        <v>26</v>
      </c>
      <c r="C43" s="24">
        <v>44188</v>
      </c>
      <c r="D43" s="25" t="s">
        <v>18</v>
      </c>
      <c r="E43" s="25" t="s">
        <v>185</v>
      </c>
      <c r="F43" s="26">
        <v>110</v>
      </c>
      <c r="G43" s="61">
        <v>130</v>
      </c>
      <c r="H43" s="61">
        <v>20</v>
      </c>
      <c r="I43" s="26">
        <v>100</v>
      </c>
      <c r="J43" s="21">
        <f t="shared" si="1"/>
        <v>2000</v>
      </c>
      <c r="K43" s="7"/>
      <c r="V43" s="5">
        <f t="shared" si="5"/>
        <v>1</v>
      </c>
      <c r="W43" s="5">
        <f t="shared" si="6"/>
        <v>0</v>
      </c>
    </row>
    <row r="44" spans="1:23" x14ac:dyDescent="0.3">
      <c r="A44" s="6"/>
      <c r="B44" s="23">
        <v>27</v>
      </c>
      <c r="C44" s="24">
        <v>44189</v>
      </c>
      <c r="D44" s="25" t="s">
        <v>18</v>
      </c>
      <c r="E44" s="25" t="s">
        <v>186</v>
      </c>
      <c r="F44" s="26">
        <v>70</v>
      </c>
      <c r="G44" s="61">
        <v>170</v>
      </c>
      <c r="H44" s="61">
        <v>100</v>
      </c>
      <c r="I44" s="26">
        <v>100</v>
      </c>
      <c r="J44" s="21">
        <f t="shared" si="1"/>
        <v>10000</v>
      </c>
      <c r="K44" s="7"/>
      <c r="V44" s="5">
        <f t="shared" si="5"/>
        <v>1</v>
      </c>
      <c r="W44" s="5">
        <f t="shared" si="6"/>
        <v>0</v>
      </c>
    </row>
    <row r="45" spans="1:23" x14ac:dyDescent="0.3">
      <c r="A45" s="6"/>
      <c r="B45" s="23">
        <v>28</v>
      </c>
      <c r="C45" s="24">
        <v>44189</v>
      </c>
      <c r="D45" s="25" t="s">
        <v>18</v>
      </c>
      <c r="E45" s="25" t="s">
        <v>174</v>
      </c>
      <c r="F45" s="26">
        <v>25</v>
      </c>
      <c r="G45" s="61">
        <v>32</v>
      </c>
      <c r="H45" s="61">
        <v>7</v>
      </c>
      <c r="I45" s="26">
        <v>100</v>
      </c>
      <c r="J45" s="21">
        <f t="shared" si="1"/>
        <v>700</v>
      </c>
      <c r="K45" s="7"/>
      <c r="V45" s="5">
        <f t="shared" si="5"/>
        <v>1</v>
      </c>
      <c r="W45" s="5">
        <f t="shared" si="6"/>
        <v>0</v>
      </c>
    </row>
    <row r="46" spans="1:23" x14ac:dyDescent="0.3">
      <c r="A46" s="6"/>
      <c r="B46" s="23">
        <v>29</v>
      </c>
      <c r="C46" s="24"/>
      <c r="D46" s="25"/>
      <c r="E46" s="25"/>
      <c r="F46" s="26"/>
      <c r="G46" s="61"/>
      <c r="H46" s="61"/>
      <c r="I46" s="26"/>
      <c r="J46" s="21">
        <f t="shared" si="1"/>
        <v>0</v>
      </c>
      <c r="K46" s="7"/>
      <c r="V46" s="5">
        <f t="shared" si="5"/>
        <v>0</v>
      </c>
      <c r="W46" s="5">
        <f t="shared" si="6"/>
        <v>0</v>
      </c>
    </row>
    <row r="47" spans="1:23" x14ac:dyDescent="0.3">
      <c r="A47" s="6"/>
      <c r="B47" s="23">
        <v>30</v>
      </c>
      <c r="C47" s="24"/>
      <c r="D47" s="25"/>
      <c r="E47" s="25"/>
      <c r="F47" s="26"/>
      <c r="G47" s="61"/>
      <c r="H47" s="61"/>
      <c r="I47" s="26"/>
      <c r="J47" s="21">
        <f t="shared" si="1"/>
        <v>0</v>
      </c>
      <c r="K47" s="7"/>
      <c r="V47" s="5">
        <f t="shared" si="5"/>
        <v>0</v>
      </c>
      <c r="W47" s="5">
        <f t="shared" si="6"/>
        <v>0</v>
      </c>
    </row>
    <row r="48" spans="1:23" x14ac:dyDescent="0.3">
      <c r="A48" s="6"/>
      <c r="B48" s="23">
        <v>31</v>
      </c>
      <c r="C48" s="24"/>
      <c r="D48" s="25"/>
      <c r="E48" s="25"/>
      <c r="F48" s="26"/>
      <c r="G48" s="61"/>
      <c r="H48" s="61"/>
      <c r="I48" s="26"/>
      <c r="J48" s="21">
        <f t="shared" si="1"/>
        <v>0</v>
      </c>
      <c r="K48" s="7"/>
      <c r="V48" s="5">
        <f t="shared" si="5"/>
        <v>0</v>
      </c>
      <c r="W48" s="5">
        <f t="shared" si="6"/>
        <v>0</v>
      </c>
    </row>
    <row r="49" spans="1:23" x14ac:dyDescent="0.3">
      <c r="A49" s="6"/>
      <c r="B49" s="23">
        <v>32</v>
      </c>
      <c r="C49" s="24"/>
      <c r="D49" s="25"/>
      <c r="E49" s="25"/>
      <c r="F49" s="26"/>
      <c r="G49" s="61"/>
      <c r="H49" s="61"/>
      <c r="I49" s="26"/>
      <c r="J49" s="21">
        <f t="shared" si="1"/>
        <v>0</v>
      </c>
      <c r="K49" s="7"/>
      <c r="V49" s="5">
        <f t="shared" si="5"/>
        <v>0</v>
      </c>
      <c r="W49" s="5">
        <f t="shared" si="6"/>
        <v>0</v>
      </c>
    </row>
    <row r="50" spans="1:23" ht="15" thickBot="1" x14ac:dyDescent="0.35">
      <c r="A50" s="6"/>
      <c r="B50" s="23">
        <v>33</v>
      </c>
      <c r="C50" s="24"/>
      <c r="D50" s="25"/>
      <c r="E50" s="25"/>
      <c r="F50" s="26"/>
      <c r="G50" s="61"/>
      <c r="H50" s="61"/>
      <c r="I50" s="26"/>
      <c r="J50" s="21">
        <f t="shared" si="1"/>
        <v>0</v>
      </c>
      <c r="K50" s="7"/>
      <c r="V50" s="5">
        <f t="shared" si="5"/>
        <v>0</v>
      </c>
      <c r="W50" s="5">
        <f t="shared" si="6"/>
        <v>0</v>
      </c>
    </row>
    <row r="51" spans="1:23" ht="15" hidden="1" thickBot="1" x14ac:dyDescent="0.35">
      <c r="A51" s="6"/>
      <c r="B51" s="23">
        <v>34</v>
      </c>
      <c r="C51" s="24"/>
      <c r="D51" s="25"/>
      <c r="E51" s="25"/>
      <c r="F51" s="26"/>
      <c r="G51" s="61"/>
      <c r="H51" s="61"/>
      <c r="I51" s="26"/>
      <c r="J51" s="21">
        <f t="shared" si="1"/>
        <v>0</v>
      </c>
      <c r="K51" s="7"/>
      <c r="V51" s="5">
        <f t="shared" si="5"/>
        <v>0</v>
      </c>
      <c r="W51" s="5">
        <f t="shared" si="6"/>
        <v>0</v>
      </c>
    </row>
    <row r="52" spans="1:23" ht="15" hidden="1" thickBot="1" x14ac:dyDescent="0.35">
      <c r="A52" s="6"/>
      <c r="B52" s="23">
        <v>35</v>
      </c>
      <c r="C52" s="24"/>
      <c r="D52" s="25"/>
      <c r="E52" s="25"/>
      <c r="F52" s="26"/>
      <c r="G52" s="61"/>
      <c r="H52" s="61"/>
      <c r="I52" s="26"/>
      <c r="J52" s="21">
        <f t="shared" si="1"/>
        <v>0</v>
      </c>
      <c r="K52" s="7"/>
      <c r="V52" s="5">
        <f t="shared" si="5"/>
        <v>0</v>
      </c>
      <c r="W52" s="5">
        <f t="shared" si="6"/>
        <v>0</v>
      </c>
    </row>
    <row r="53" spans="1:23" ht="15" hidden="1" thickBot="1" x14ac:dyDescent="0.35">
      <c r="A53" s="6"/>
      <c r="B53" s="23">
        <v>36</v>
      </c>
      <c r="C53" s="24"/>
      <c r="D53" s="25"/>
      <c r="E53" s="25"/>
      <c r="F53" s="26"/>
      <c r="G53" s="61"/>
      <c r="H53" s="61"/>
      <c r="I53" s="26"/>
      <c r="J53" s="21">
        <f t="shared" si="1"/>
        <v>0</v>
      </c>
      <c r="K53" s="7"/>
      <c r="V53" s="5">
        <f t="shared" si="5"/>
        <v>0</v>
      </c>
      <c r="W53" s="5">
        <f t="shared" si="6"/>
        <v>0</v>
      </c>
    </row>
    <row r="54" spans="1:23" ht="15" hidden="1" thickBot="1" x14ac:dyDescent="0.35">
      <c r="A54" s="6"/>
      <c r="B54" s="23">
        <v>37</v>
      </c>
      <c r="C54" s="24"/>
      <c r="D54" s="25"/>
      <c r="E54" s="25"/>
      <c r="F54" s="26"/>
      <c r="G54" s="61"/>
      <c r="H54" s="61"/>
      <c r="I54" s="26"/>
      <c r="J54" s="21">
        <f t="shared" si="1"/>
        <v>0</v>
      </c>
      <c r="K54" s="7"/>
      <c r="V54" s="5">
        <f t="shared" si="5"/>
        <v>0</v>
      </c>
      <c r="W54" s="5">
        <f t="shared" si="6"/>
        <v>0</v>
      </c>
    </row>
    <row r="55" spans="1:23" ht="15" hidden="1" thickBot="1" x14ac:dyDescent="0.35">
      <c r="A55" s="6"/>
      <c r="B55" s="23">
        <v>38</v>
      </c>
      <c r="C55" s="24"/>
      <c r="D55" s="25"/>
      <c r="E55" s="25"/>
      <c r="F55" s="26"/>
      <c r="G55" s="61"/>
      <c r="H55" s="61"/>
      <c r="I55" s="26"/>
      <c r="J55" s="21">
        <f t="shared" si="1"/>
        <v>0</v>
      </c>
      <c r="K55" s="7"/>
      <c r="V55" s="5">
        <f t="shared" si="5"/>
        <v>0</v>
      </c>
      <c r="W55" s="5">
        <f t="shared" si="6"/>
        <v>0</v>
      </c>
    </row>
    <row r="56" spans="1:23" ht="15" hidden="1" thickBot="1" x14ac:dyDescent="0.35">
      <c r="A56" s="6"/>
      <c r="B56" s="23">
        <v>39</v>
      </c>
      <c r="C56" s="24"/>
      <c r="D56" s="25"/>
      <c r="E56" s="25"/>
      <c r="F56" s="26"/>
      <c r="G56" s="61"/>
      <c r="H56" s="61"/>
      <c r="I56" s="26"/>
      <c r="J56" s="21">
        <f t="shared" si="1"/>
        <v>0</v>
      </c>
      <c r="K56" s="7"/>
      <c r="V56" s="5">
        <f t="shared" si="5"/>
        <v>0</v>
      </c>
      <c r="W56" s="5">
        <f t="shared" si="6"/>
        <v>0</v>
      </c>
    </row>
    <row r="57" spans="1:23" ht="15" hidden="1" thickBot="1" x14ac:dyDescent="0.35">
      <c r="A57" s="6"/>
      <c r="B57" s="23">
        <v>40</v>
      </c>
      <c r="C57" s="24"/>
      <c r="D57" s="25"/>
      <c r="E57" s="25"/>
      <c r="F57" s="26"/>
      <c r="G57" s="61"/>
      <c r="H57" s="61"/>
      <c r="I57" s="26"/>
      <c r="J57" s="21">
        <f t="shared" si="1"/>
        <v>0</v>
      </c>
      <c r="K57" s="7"/>
      <c r="V57" s="5">
        <f t="shared" si="5"/>
        <v>0</v>
      </c>
      <c r="W57" s="5">
        <f t="shared" si="6"/>
        <v>0</v>
      </c>
    </row>
    <row r="58" spans="1:23" ht="15" hidden="1" thickBot="1" x14ac:dyDescent="0.35">
      <c r="A58" s="6"/>
      <c r="B58" s="23">
        <v>41</v>
      </c>
      <c r="C58" s="24"/>
      <c r="D58" s="25"/>
      <c r="E58" s="25"/>
      <c r="F58" s="26"/>
      <c r="G58" s="61"/>
      <c r="H58" s="61"/>
      <c r="I58" s="26"/>
      <c r="J58" s="21">
        <f t="shared" si="1"/>
        <v>0</v>
      </c>
      <c r="K58" s="7"/>
      <c r="V58" s="5">
        <f t="shared" si="5"/>
        <v>0</v>
      </c>
      <c r="W58" s="5">
        <f t="shared" si="6"/>
        <v>0</v>
      </c>
    </row>
    <row r="59" spans="1:23" ht="15" hidden="1" thickBot="1" x14ac:dyDescent="0.35">
      <c r="A59" s="6"/>
      <c r="B59" s="23">
        <v>42</v>
      </c>
      <c r="C59" s="24"/>
      <c r="D59" s="25"/>
      <c r="E59" s="25"/>
      <c r="F59" s="26"/>
      <c r="G59" s="61"/>
      <c r="H59" s="61"/>
      <c r="I59" s="26"/>
      <c r="J59" s="21">
        <f t="shared" si="1"/>
        <v>0</v>
      </c>
      <c r="K59" s="7"/>
      <c r="V59" s="5">
        <f t="shared" si="5"/>
        <v>0</v>
      </c>
      <c r="W59" s="5">
        <f t="shared" si="6"/>
        <v>0</v>
      </c>
    </row>
    <row r="60" spans="1:23" ht="15" hidden="1" thickBot="1" x14ac:dyDescent="0.35">
      <c r="A60" s="6"/>
      <c r="B60" s="23">
        <v>43</v>
      </c>
      <c r="C60" s="24"/>
      <c r="D60" s="25"/>
      <c r="E60" s="25"/>
      <c r="F60" s="26"/>
      <c r="G60" s="61"/>
      <c r="H60" s="61"/>
      <c r="I60" s="26"/>
      <c r="J60" s="21">
        <f t="shared" si="1"/>
        <v>0</v>
      </c>
      <c r="K60" s="7"/>
      <c r="V60" s="5">
        <f t="shared" si="5"/>
        <v>0</v>
      </c>
      <c r="W60" s="5">
        <f t="shared" si="6"/>
        <v>0</v>
      </c>
    </row>
    <row r="61" spans="1:23" ht="15" hidden="1" thickBot="1" x14ac:dyDescent="0.35">
      <c r="A61" s="6"/>
      <c r="B61" s="23">
        <v>44</v>
      </c>
      <c r="C61" s="24"/>
      <c r="D61" s="25"/>
      <c r="E61" s="25"/>
      <c r="F61" s="26"/>
      <c r="G61" s="61"/>
      <c r="H61" s="61"/>
      <c r="I61" s="26"/>
      <c r="J61" s="21">
        <f t="shared" si="1"/>
        <v>0</v>
      </c>
      <c r="K61" s="7"/>
      <c r="V61" s="5">
        <f t="shared" si="5"/>
        <v>0</v>
      </c>
      <c r="W61" s="5">
        <f t="shared" si="6"/>
        <v>0</v>
      </c>
    </row>
    <row r="62" spans="1:23" ht="15" hidden="1" thickBot="1" x14ac:dyDescent="0.35">
      <c r="A62" s="6"/>
      <c r="B62" s="23">
        <v>45</v>
      </c>
      <c r="C62" s="24"/>
      <c r="D62" s="25"/>
      <c r="E62" s="25"/>
      <c r="F62" s="26"/>
      <c r="G62" s="61"/>
      <c r="H62" s="61"/>
      <c r="I62" s="26"/>
      <c r="J62" s="21">
        <f t="shared" si="1"/>
        <v>0</v>
      </c>
      <c r="K62" s="7"/>
      <c r="V62" s="5">
        <f t="shared" si="5"/>
        <v>0</v>
      </c>
      <c r="W62" s="5">
        <f t="shared" si="6"/>
        <v>0</v>
      </c>
    </row>
    <row r="63" spans="1:23" ht="15" hidden="1" thickBot="1" x14ac:dyDescent="0.35">
      <c r="A63" s="6"/>
      <c r="B63" s="23">
        <v>46</v>
      </c>
      <c r="C63" s="24"/>
      <c r="D63" s="25"/>
      <c r="E63" s="25"/>
      <c r="F63" s="26"/>
      <c r="G63" s="61"/>
      <c r="H63" s="61"/>
      <c r="I63" s="26"/>
      <c r="J63" s="21">
        <f t="shared" si="1"/>
        <v>0</v>
      </c>
      <c r="K63" s="7"/>
      <c r="V63" s="5">
        <f t="shared" si="5"/>
        <v>0</v>
      </c>
      <c r="W63" s="5">
        <f t="shared" si="6"/>
        <v>0</v>
      </c>
    </row>
    <row r="64" spans="1:23" ht="15" hidden="1" thickBot="1" x14ac:dyDescent="0.35">
      <c r="A64" s="6"/>
      <c r="B64" s="23">
        <v>47</v>
      </c>
      <c r="C64" s="24"/>
      <c r="D64" s="25"/>
      <c r="E64" s="25"/>
      <c r="F64" s="26"/>
      <c r="G64" s="61"/>
      <c r="H64" s="61"/>
      <c r="I64" s="26"/>
      <c r="J64" s="21">
        <f t="shared" si="1"/>
        <v>0</v>
      </c>
      <c r="K64" s="7"/>
      <c r="V64" s="5">
        <f t="shared" si="5"/>
        <v>0</v>
      </c>
      <c r="W64" s="5">
        <f t="shared" si="6"/>
        <v>0</v>
      </c>
    </row>
    <row r="65" spans="1:23" ht="15" hidden="1" thickBot="1" x14ac:dyDescent="0.35">
      <c r="A65" s="6"/>
      <c r="B65" s="23">
        <v>48</v>
      </c>
      <c r="C65" s="24"/>
      <c r="D65" s="25"/>
      <c r="E65" s="25"/>
      <c r="F65" s="26"/>
      <c r="G65" s="61"/>
      <c r="H65" s="61"/>
      <c r="I65" s="26"/>
      <c r="J65" s="21">
        <f t="shared" si="1"/>
        <v>0</v>
      </c>
      <c r="K65" s="7"/>
    </row>
    <row r="66" spans="1:23" ht="15" hidden="1" thickBot="1" x14ac:dyDescent="0.35">
      <c r="A66" s="6"/>
      <c r="B66" s="23">
        <v>49</v>
      </c>
      <c r="C66" s="24"/>
      <c r="D66" s="25"/>
      <c r="E66" s="25"/>
      <c r="F66" s="26"/>
      <c r="G66" s="61"/>
      <c r="H66" s="61"/>
      <c r="I66" s="26"/>
      <c r="J66" s="21">
        <f t="shared" si="1"/>
        <v>0</v>
      </c>
      <c r="K66" s="7"/>
    </row>
    <row r="67" spans="1:23" ht="15" hidden="1" thickBot="1" x14ac:dyDescent="0.35">
      <c r="A67" s="6"/>
      <c r="B67" s="23">
        <v>50</v>
      </c>
      <c r="C67" s="24"/>
      <c r="D67" s="25"/>
      <c r="E67" s="25"/>
      <c r="F67" s="26"/>
      <c r="G67" s="61"/>
      <c r="H67" s="61"/>
      <c r="I67" s="26"/>
      <c r="J67" s="21">
        <f t="shared" si="1"/>
        <v>0</v>
      </c>
      <c r="K67" s="7"/>
    </row>
    <row r="68" spans="1:23" ht="15" hidden="1" thickBot="1" x14ac:dyDescent="0.35">
      <c r="A68" s="6"/>
      <c r="B68" s="23">
        <v>51</v>
      </c>
      <c r="C68" s="24"/>
      <c r="D68" s="25"/>
      <c r="E68" s="25"/>
      <c r="F68" s="26"/>
      <c r="G68" s="61"/>
      <c r="H68" s="61"/>
      <c r="I68" s="26"/>
      <c r="J68" s="21">
        <f t="shared" si="1"/>
        <v>0</v>
      </c>
      <c r="K68" s="7"/>
    </row>
    <row r="69" spans="1:23" ht="15" hidden="1" thickBot="1" x14ac:dyDescent="0.35">
      <c r="A69" s="6"/>
      <c r="B69" s="23">
        <v>52</v>
      </c>
      <c r="C69" s="24"/>
      <c r="D69" s="25"/>
      <c r="E69" s="25"/>
      <c r="F69" s="26"/>
      <c r="G69" s="61"/>
      <c r="H69" s="61"/>
      <c r="I69" s="26"/>
      <c r="J69" s="21">
        <f t="shared" si="1"/>
        <v>0</v>
      </c>
      <c r="K69" s="7"/>
    </row>
    <row r="70" spans="1:23" ht="15" hidden="1" thickBot="1" x14ac:dyDescent="0.35">
      <c r="A70" s="6"/>
      <c r="B70" s="23">
        <v>53</v>
      </c>
      <c r="C70" s="24"/>
      <c r="D70" s="25"/>
      <c r="E70" s="25"/>
      <c r="F70" s="26"/>
      <c r="G70" s="61"/>
      <c r="H70" s="61"/>
      <c r="I70" s="26"/>
      <c r="J70" s="21">
        <f t="shared" si="1"/>
        <v>0</v>
      </c>
      <c r="K70" s="7"/>
    </row>
    <row r="71" spans="1:23" ht="15" hidden="1" thickBot="1" x14ac:dyDescent="0.35">
      <c r="A71" s="6"/>
      <c r="B71" s="23">
        <v>54</v>
      </c>
      <c r="C71" s="24"/>
      <c r="D71" s="25"/>
      <c r="E71" s="25"/>
      <c r="F71" s="26"/>
      <c r="G71" s="61"/>
      <c r="H71" s="61"/>
      <c r="I71" s="26"/>
      <c r="J71" s="21">
        <f t="shared" si="1"/>
        <v>0</v>
      </c>
      <c r="K71" s="7"/>
    </row>
    <row r="72" spans="1:23" ht="15" hidden="1" thickBot="1" x14ac:dyDescent="0.35">
      <c r="A72" s="6"/>
      <c r="B72" s="23">
        <v>55</v>
      </c>
      <c r="C72" s="24"/>
      <c r="D72" s="25"/>
      <c r="E72" s="25"/>
      <c r="F72" s="26"/>
      <c r="G72" s="61"/>
      <c r="H72" s="61"/>
      <c r="I72" s="26"/>
      <c r="J72" s="21">
        <f t="shared" si="1"/>
        <v>0</v>
      </c>
      <c r="K72" s="7"/>
    </row>
    <row r="73" spans="1:23" ht="15" hidden="1" thickBot="1" x14ac:dyDescent="0.35">
      <c r="A73" s="6"/>
      <c r="B73" s="23">
        <v>56</v>
      </c>
      <c r="C73" s="24"/>
      <c r="D73" s="25"/>
      <c r="E73" s="25"/>
      <c r="F73" s="26"/>
      <c r="G73" s="61"/>
      <c r="H73" s="61"/>
      <c r="I73" s="26"/>
      <c r="J73" s="21">
        <f t="shared" si="1"/>
        <v>0</v>
      </c>
      <c r="K73" s="7"/>
    </row>
    <row r="74" spans="1:23" ht="15" hidden="1" thickBot="1" x14ac:dyDescent="0.35">
      <c r="A74" s="6"/>
      <c r="B74" s="23">
        <v>57</v>
      </c>
      <c r="C74" s="24"/>
      <c r="D74" s="25"/>
      <c r="E74" s="25"/>
      <c r="F74" s="26"/>
      <c r="G74" s="61"/>
      <c r="H74" s="61"/>
      <c r="I74" s="26"/>
      <c r="J74" s="21">
        <f t="shared" si="1"/>
        <v>0</v>
      </c>
      <c r="K74" s="7"/>
    </row>
    <row r="75" spans="1:23" ht="15" hidden="1" thickBot="1" x14ac:dyDescent="0.35">
      <c r="A75" s="6"/>
      <c r="B75" s="23">
        <v>58</v>
      </c>
      <c r="C75" s="24"/>
      <c r="D75" s="25"/>
      <c r="E75" s="25"/>
      <c r="F75" s="26"/>
      <c r="G75" s="61"/>
      <c r="H75" s="61"/>
      <c r="I75" s="26"/>
      <c r="J75" s="21">
        <f t="shared" si="1"/>
        <v>0</v>
      </c>
      <c r="K75" s="7"/>
      <c r="V75" s="5">
        <f t="shared" si="5"/>
        <v>0</v>
      </c>
      <c r="W75" s="5">
        <f t="shared" si="6"/>
        <v>0</v>
      </c>
    </row>
    <row r="76" spans="1:23" ht="15" hidden="1" thickBot="1" x14ac:dyDescent="0.35">
      <c r="A76" s="6"/>
      <c r="B76" s="23">
        <v>59</v>
      </c>
      <c r="C76" s="24"/>
      <c r="D76" s="25"/>
      <c r="E76" s="25"/>
      <c r="F76" s="26"/>
      <c r="G76" s="61"/>
      <c r="H76" s="61"/>
      <c r="I76" s="26"/>
      <c r="J76" s="21">
        <f t="shared" si="1"/>
        <v>0</v>
      </c>
      <c r="K76" s="7"/>
      <c r="V76" s="5">
        <f t="shared" si="5"/>
        <v>0</v>
      </c>
      <c r="W76" s="5">
        <f t="shared" si="6"/>
        <v>0</v>
      </c>
    </row>
    <row r="77" spans="1:23" ht="15" hidden="1" thickBot="1" x14ac:dyDescent="0.35">
      <c r="A77" s="6"/>
      <c r="B77" s="23">
        <v>60</v>
      </c>
      <c r="C77" s="24"/>
      <c r="D77" s="25"/>
      <c r="E77" s="25"/>
      <c r="F77" s="61"/>
      <c r="G77" s="61"/>
      <c r="H77" s="61"/>
      <c r="I77" s="26"/>
      <c r="J77" s="21">
        <f t="shared" si="1"/>
        <v>0</v>
      </c>
      <c r="K77" s="7"/>
      <c r="V77" s="5">
        <f t="shared" si="5"/>
        <v>0</v>
      </c>
      <c r="W77" s="5">
        <f t="shared" si="6"/>
        <v>0</v>
      </c>
    </row>
    <row r="78" spans="1:23" ht="15" hidden="1" thickBot="1" x14ac:dyDescent="0.35">
      <c r="A78" s="6"/>
      <c r="B78" s="23">
        <v>61</v>
      </c>
      <c r="C78" s="24"/>
      <c r="D78" s="25"/>
      <c r="E78" s="25"/>
      <c r="F78" s="61"/>
      <c r="G78" s="61"/>
      <c r="H78" s="61"/>
      <c r="I78" s="26"/>
      <c r="J78" s="21">
        <f t="shared" si="1"/>
        <v>0</v>
      </c>
      <c r="K78" s="7"/>
    </row>
    <row r="79" spans="1:23" ht="15" hidden="1" thickBot="1" x14ac:dyDescent="0.35">
      <c r="A79" s="6"/>
      <c r="B79" s="23">
        <v>62</v>
      </c>
      <c r="C79" s="24"/>
      <c r="D79" s="25"/>
      <c r="E79" s="25"/>
      <c r="F79" s="61"/>
      <c r="G79" s="61"/>
      <c r="H79" s="61"/>
      <c r="I79" s="26"/>
      <c r="J79" s="21">
        <f t="shared" si="1"/>
        <v>0</v>
      </c>
      <c r="K79" s="7"/>
    </row>
    <row r="80" spans="1:23" ht="15" hidden="1" thickBot="1" x14ac:dyDescent="0.35">
      <c r="A80" s="6"/>
      <c r="B80" s="23">
        <v>63</v>
      </c>
      <c r="C80" s="24"/>
      <c r="D80" s="25"/>
      <c r="E80" s="25"/>
      <c r="F80" s="61"/>
      <c r="G80" s="61"/>
      <c r="H80" s="61"/>
      <c r="I80" s="26"/>
      <c r="J80" s="21">
        <f t="shared" si="1"/>
        <v>0</v>
      </c>
      <c r="K80" s="7"/>
      <c r="V80" s="5">
        <f t="shared" si="5"/>
        <v>0</v>
      </c>
      <c r="W80" s="5">
        <f t="shared" si="6"/>
        <v>0</v>
      </c>
    </row>
    <row r="81" spans="1:23" ht="15" hidden="1" thickBot="1" x14ac:dyDescent="0.35">
      <c r="A81" s="6"/>
      <c r="B81" s="23">
        <v>64</v>
      </c>
      <c r="C81" s="24"/>
      <c r="D81" s="25"/>
      <c r="E81" s="25"/>
      <c r="F81" s="26"/>
      <c r="G81" s="26"/>
      <c r="H81" s="25"/>
      <c r="I81" s="26"/>
      <c r="J81" s="27">
        <f t="shared" si="1"/>
        <v>0</v>
      </c>
      <c r="K81" s="7"/>
      <c r="V81" s="5">
        <f t="shared" si="5"/>
        <v>0</v>
      </c>
      <c r="W81" s="5">
        <f t="shared" si="6"/>
        <v>0</v>
      </c>
    </row>
    <row r="82" spans="1:23" ht="24" thickBot="1" x14ac:dyDescent="0.5">
      <c r="A82" s="6"/>
      <c r="B82" s="144" t="s">
        <v>22</v>
      </c>
      <c r="C82" s="145"/>
      <c r="D82" s="145"/>
      <c r="E82" s="145"/>
      <c r="F82" s="145"/>
      <c r="G82" s="145"/>
      <c r="H82" s="146"/>
      <c r="I82" s="28" t="s">
        <v>23</v>
      </c>
      <c r="J82" s="29">
        <f>SUM(J6:J81)</f>
        <v>54400</v>
      </c>
      <c r="K82" s="7"/>
      <c r="W82" s="5">
        <f t="shared" si="6"/>
        <v>0</v>
      </c>
    </row>
    <row r="83" spans="1:23" ht="30" customHeight="1" thickBot="1" x14ac:dyDescent="0.35">
      <c r="A83" s="30"/>
      <c r="B83" s="31"/>
      <c r="C83" s="31"/>
      <c r="D83" s="31"/>
      <c r="E83" s="31"/>
      <c r="F83" s="31"/>
      <c r="G83" s="31"/>
      <c r="H83" s="32"/>
      <c r="I83" s="31"/>
      <c r="J83" s="32"/>
      <c r="K83" s="33"/>
      <c r="L83" s="36"/>
      <c r="M83" s="36"/>
      <c r="N83" s="36"/>
      <c r="O83" s="36"/>
      <c r="P83" s="36"/>
      <c r="Q83" s="36"/>
      <c r="R83" s="36"/>
    </row>
    <row r="84" spans="1:23" ht="15" thickBot="1" x14ac:dyDescent="0.35">
      <c r="L84" s="36"/>
      <c r="M84" s="36"/>
      <c r="N84" s="36"/>
      <c r="O84" s="22"/>
      <c r="P84" s="22"/>
      <c r="Q84" s="22"/>
      <c r="R84" s="22"/>
    </row>
    <row r="85" spans="1:23" s="36" customFormat="1" ht="30" customHeight="1" thickBot="1" x14ac:dyDescent="0.35">
      <c r="A85" s="1"/>
      <c r="B85" s="2"/>
      <c r="C85" s="2"/>
      <c r="D85" s="2"/>
      <c r="E85" s="2"/>
      <c r="F85" s="2"/>
      <c r="G85" s="2"/>
      <c r="H85" s="3"/>
      <c r="I85" s="2"/>
      <c r="J85" s="3"/>
      <c r="K85" s="4"/>
    </row>
    <row r="86" spans="1:23" s="36" customFormat="1" ht="25.2" thickBot="1" x14ac:dyDescent="0.35">
      <c r="A86" s="6" t="s">
        <v>1</v>
      </c>
      <c r="B86" s="119" t="s">
        <v>2</v>
      </c>
      <c r="C86" s="120"/>
      <c r="D86" s="120"/>
      <c r="E86" s="120"/>
      <c r="F86" s="120"/>
      <c r="G86" s="120"/>
      <c r="H86" s="120"/>
      <c r="I86" s="120"/>
      <c r="J86" s="121"/>
      <c r="K86" s="7"/>
    </row>
    <row r="87" spans="1:23" s="36" customFormat="1" ht="16.2" thickBot="1" x14ac:dyDescent="0.35">
      <c r="A87" s="6"/>
      <c r="B87" s="168" t="s">
        <v>172</v>
      </c>
      <c r="C87" s="169"/>
      <c r="D87" s="169"/>
      <c r="E87" s="169"/>
      <c r="F87" s="169"/>
      <c r="G87" s="169"/>
      <c r="H87" s="169"/>
      <c r="I87" s="169"/>
      <c r="J87" s="170"/>
      <c r="K87" s="7"/>
      <c r="L87" s="22"/>
    </row>
    <row r="88" spans="1:23" s="36" customFormat="1" ht="16.2" thickBot="1" x14ac:dyDescent="0.35">
      <c r="A88" s="6"/>
      <c r="B88" s="106" t="s">
        <v>90</v>
      </c>
      <c r="C88" s="107"/>
      <c r="D88" s="107"/>
      <c r="E88" s="107"/>
      <c r="F88" s="107"/>
      <c r="G88" s="107"/>
      <c r="H88" s="107"/>
      <c r="I88" s="107"/>
      <c r="J88" s="108"/>
      <c r="K88" s="7"/>
    </row>
    <row r="89" spans="1:23" s="22" customFormat="1" ht="15" thickBot="1" x14ac:dyDescent="0.35">
      <c r="A89" s="69"/>
      <c r="B89" s="70" t="s">
        <v>9</v>
      </c>
      <c r="C89" s="71" t="s">
        <v>10</v>
      </c>
      <c r="D89" s="72" t="s">
        <v>11</v>
      </c>
      <c r="E89" s="72" t="s">
        <v>12</v>
      </c>
      <c r="F89" s="73" t="s">
        <v>65</v>
      </c>
      <c r="G89" s="73" t="s">
        <v>66</v>
      </c>
      <c r="H89" s="74" t="s">
        <v>67</v>
      </c>
      <c r="I89" s="73" t="s">
        <v>68</v>
      </c>
      <c r="J89" s="75" t="s">
        <v>17</v>
      </c>
      <c r="K89" s="76"/>
      <c r="L89" s="36"/>
      <c r="M89" s="36"/>
      <c r="N89" s="36"/>
      <c r="O89" s="36" t="s">
        <v>21</v>
      </c>
      <c r="P89" s="36"/>
      <c r="Q89" s="36"/>
      <c r="R89" s="36"/>
      <c r="V89" s="5" t="s">
        <v>5</v>
      </c>
      <c r="W89" s="5" t="s">
        <v>6</v>
      </c>
    </row>
    <row r="90" spans="1:23" s="36" customFormat="1" x14ac:dyDescent="0.3">
      <c r="A90" s="6"/>
      <c r="B90" s="14">
        <v>1</v>
      </c>
      <c r="C90" s="18">
        <v>44166</v>
      </c>
      <c r="D90" s="19" t="s">
        <v>18</v>
      </c>
      <c r="E90" s="19" t="s">
        <v>75</v>
      </c>
      <c r="F90" s="35">
        <v>481</v>
      </c>
      <c r="G90" s="35">
        <v>489</v>
      </c>
      <c r="H90" s="35">
        <v>8</v>
      </c>
      <c r="I90" s="20">
        <v>1375</v>
      </c>
      <c r="J90" s="16">
        <f t="shared" ref="J90:J132" si="7">I90*H90</f>
        <v>11000</v>
      </c>
      <c r="K90" s="7"/>
      <c r="V90" s="36">
        <f>IF($J90&gt;0,1,0)</f>
        <v>1</v>
      </c>
      <c r="W90" s="36">
        <f>IF($J90&lt;0,1,0)</f>
        <v>0</v>
      </c>
    </row>
    <row r="91" spans="1:23" s="36" customFormat="1" x14ac:dyDescent="0.3">
      <c r="A91" s="6"/>
      <c r="B91" s="17">
        <f>B90+1</f>
        <v>2</v>
      </c>
      <c r="C91" s="18">
        <v>44167</v>
      </c>
      <c r="D91" s="19" t="s">
        <v>69</v>
      </c>
      <c r="E91" s="19" t="s">
        <v>93</v>
      </c>
      <c r="F91" s="35">
        <v>1423</v>
      </c>
      <c r="G91" s="35">
        <v>1404</v>
      </c>
      <c r="H91" s="35">
        <v>19</v>
      </c>
      <c r="I91" s="20">
        <v>550</v>
      </c>
      <c r="J91" s="21">
        <f t="shared" si="7"/>
        <v>10450</v>
      </c>
      <c r="K91" s="7"/>
      <c r="L91" s="36" t="s">
        <v>21</v>
      </c>
      <c r="V91" s="36">
        <f t="shared" ref="V91:V132" si="8">IF($J91&gt;0,1,0)</f>
        <v>1</v>
      </c>
      <c r="W91" s="36">
        <f t="shared" ref="W91:W132" si="9">IF($J91&lt;0,1,0)</f>
        <v>0</v>
      </c>
    </row>
    <row r="92" spans="1:23" s="36" customFormat="1" x14ac:dyDescent="0.3">
      <c r="A92" s="6"/>
      <c r="B92" s="17">
        <f t="shared" ref="B92:B132" si="10">B91+1</f>
        <v>3</v>
      </c>
      <c r="C92" s="18">
        <v>44167</v>
      </c>
      <c r="D92" s="19" t="s">
        <v>69</v>
      </c>
      <c r="E92" s="19" t="s">
        <v>75</v>
      </c>
      <c r="F92" s="35">
        <v>481.5</v>
      </c>
      <c r="G92" s="35">
        <v>475.3</v>
      </c>
      <c r="H92" s="35">
        <v>6.2</v>
      </c>
      <c r="I92" s="20">
        <v>1375</v>
      </c>
      <c r="J92" s="21">
        <f t="shared" si="7"/>
        <v>8525</v>
      </c>
      <c r="K92" s="7"/>
      <c r="V92" s="36">
        <f t="shared" si="8"/>
        <v>1</v>
      </c>
      <c r="W92" s="36">
        <f t="shared" si="9"/>
        <v>0</v>
      </c>
    </row>
    <row r="93" spans="1:23" s="36" customFormat="1" x14ac:dyDescent="0.3">
      <c r="A93" s="6"/>
      <c r="B93" s="17">
        <f t="shared" si="10"/>
        <v>4</v>
      </c>
      <c r="C93" s="18">
        <v>44168</v>
      </c>
      <c r="D93" s="19" t="s">
        <v>18</v>
      </c>
      <c r="E93" s="19" t="s">
        <v>86</v>
      </c>
      <c r="F93" s="35">
        <v>4950</v>
      </c>
      <c r="G93" s="35">
        <v>4920</v>
      </c>
      <c r="H93" s="35">
        <v>-30</v>
      </c>
      <c r="I93" s="20">
        <v>250</v>
      </c>
      <c r="J93" s="21">
        <f t="shared" si="7"/>
        <v>-7500</v>
      </c>
      <c r="K93" s="7"/>
      <c r="V93" s="36">
        <f t="shared" si="8"/>
        <v>0</v>
      </c>
      <c r="W93" s="36">
        <f t="shared" si="9"/>
        <v>1</v>
      </c>
    </row>
    <row r="94" spans="1:23" s="36" customFormat="1" x14ac:dyDescent="0.3">
      <c r="A94" s="6"/>
      <c r="B94" s="17">
        <f t="shared" si="10"/>
        <v>5</v>
      </c>
      <c r="C94" s="18">
        <v>44172</v>
      </c>
      <c r="D94" s="19" t="s">
        <v>69</v>
      </c>
      <c r="E94" s="19" t="s">
        <v>93</v>
      </c>
      <c r="F94" s="35">
        <v>1370</v>
      </c>
      <c r="G94" s="35">
        <v>1380</v>
      </c>
      <c r="H94" s="35">
        <v>-10</v>
      </c>
      <c r="I94" s="20">
        <v>550</v>
      </c>
      <c r="J94" s="21">
        <f t="shared" si="7"/>
        <v>-5500</v>
      </c>
      <c r="K94" s="7"/>
      <c r="V94" s="36">
        <f t="shared" si="8"/>
        <v>0</v>
      </c>
      <c r="W94" s="36">
        <f t="shared" si="9"/>
        <v>1</v>
      </c>
    </row>
    <row r="95" spans="1:23" s="36" customFormat="1" x14ac:dyDescent="0.3">
      <c r="A95" s="6"/>
      <c r="B95" s="17">
        <f t="shared" si="10"/>
        <v>6</v>
      </c>
      <c r="C95" s="18">
        <v>44175</v>
      </c>
      <c r="D95" s="19" t="s">
        <v>18</v>
      </c>
      <c r="E95" s="19" t="s">
        <v>86</v>
      </c>
      <c r="F95" s="20">
        <v>4850</v>
      </c>
      <c r="G95" s="35">
        <v>4880</v>
      </c>
      <c r="H95" s="35">
        <v>30</v>
      </c>
      <c r="I95" s="20">
        <v>250</v>
      </c>
      <c r="J95" s="21">
        <f t="shared" si="7"/>
        <v>7500</v>
      </c>
      <c r="K95" s="7"/>
      <c r="V95" s="36">
        <f t="shared" si="8"/>
        <v>1</v>
      </c>
      <c r="W95" s="36">
        <f t="shared" si="9"/>
        <v>0</v>
      </c>
    </row>
    <row r="96" spans="1:23" s="36" customFormat="1" x14ac:dyDescent="0.3">
      <c r="A96" s="6"/>
      <c r="B96" s="17">
        <f t="shared" si="10"/>
        <v>7</v>
      </c>
      <c r="C96" s="18">
        <v>44175</v>
      </c>
      <c r="D96" s="19" t="s">
        <v>69</v>
      </c>
      <c r="E96" s="19" t="s">
        <v>176</v>
      </c>
      <c r="F96" s="35">
        <v>2288</v>
      </c>
      <c r="G96" s="35">
        <v>2277</v>
      </c>
      <c r="H96" s="35">
        <v>11</v>
      </c>
      <c r="I96" s="20">
        <v>300</v>
      </c>
      <c r="J96" s="21">
        <f t="shared" si="7"/>
        <v>3300</v>
      </c>
      <c r="K96" s="7"/>
      <c r="V96" s="36">
        <f t="shared" si="8"/>
        <v>1</v>
      </c>
      <c r="W96" s="36">
        <f t="shared" si="9"/>
        <v>0</v>
      </c>
    </row>
    <row r="97" spans="1:23" s="36" customFormat="1" x14ac:dyDescent="0.3">
      <c r="A97" s="6"/>
      <c r="B97" s="17">
        <f t="shared" si="10"/>
        <v>8</v>
      </c>
      <c r="C97" s="18">
        <v>44176</v>
      </c>
      <c r="D97" s="19" t="s">
        <v>18</v>
      </c>
      <c r="E97" s="19" t="s">
        <v>71</v>
      </c>
      <c r="F97" s="35">
        <v>2040</v>
      </c>
      <c r="G97" s="35">
        <v>2025</v>
      </c>
      <c r="H97" s="35">
        <v>-15</v>
      </c>
      <c r="I97" s="20">
        <v>505</v>
      </c>
      <c r="J97" s="21">
        <f t="shared" si="7"/>
        <v>-7575</v>
      </c>
      <c r="K97" s="7"/>
      <c r="V97" s="36">
        <f t="shared" si="8"/>
        <v>0</v>
      </c>
      <c r="W97" s="36">
        <f t="shared" si="9"/>
        <v>1</v>
      </c>
    </row>
    <row r="98" spans="1:23" s="36" customFormat="1" x14ac:dyDescent="0.3">
      <c r="A98" s="6"/>
      <c r="B98" s="17">
        <f t="shared" si="10"/>
        <v>9</v>
      </c>
      <c r="C98" s="18">
        <v>44179</v>
      </c>
      <c r="D98" s="19" t="s">
        <v>69</v>
      </c>
      <c r="E98" s="19" t="s">
        <v>129</v>
      </c>
      <c r="F98" s="35">
        <v>2612</v>
      </c>
      <c r="G98" s="35">
        <v>2592</v>
      </c>
      <c r="H98" s="35">
        <v>17</v>
      </c>
      <c r="I98" s="20">
        <v>250</v>
      </c>
      <c r="J98" s="21">
        <f t="shared" si="7"/>
        <v>4250</v>
      </c>
      <c r="K98" s="7"/>
      <c r="V98" s="36">
        <f t="shared" si="8"/>
        <v>1</v>
      </c>
      <c r="W98" s="36">
        <f t="shared" si="9"/>
        <v>0</v>
      </c>
    </row>
    <row r="99" spans="1:23" s="36" customFormat="1" x14ac:dyDescent="0.3">
      <c r="A99" s="6"/>
      <c r="B99" s="17">
        <f t="shared" si="10"/>
        <v>10</v>
      </c>
      <c r="C99" s="18">
        <v>44179</v>
      </c>
      <c r="D99" s="19" t="s">
        <v>18</v>
      </c>
      <c r="E99" s="19" t="s">
        <v>86</v>
      </c>
      <c r="F99" s="35">
        <v>4885</v>
      </c>
      <c r="G99" s="35">
        <v>4925</v>
      </c>
      <c r="H99" s="35">
        <v>40</v>
      </c>
      <c r="I99" s="20">
        <v>250</v>
      </c>
      <c r="J99" s="21">
        <f t="shared" si="7"/>
        <v>10000</v>
      </c>
      <c r="K99" s="7"/>
      <c r="V99" s="36">
        <f t="shared" si="8"/>
        <v>1</v>
      </c>
      <c r="W99" s="36">
        <f t="shared" si="9"/>
        <v>0</v>
      </c>
    </row>
    <row r="100" spans="1:23" s="36" customFormat="1" x14ac:dyDescent="0.3">
      <c r="A100" s="6"/>
      <c r="B100" s="17">
        <f t="shared" si="10"/>
        <v>11</v>
      </c>
      <c r="C100" s="18">
        <v>44180</v>
      </c>
      <c r="D100" s="19" t="s">
        <v>69</v>
      </c>
      <c r="E100" s="19" t="s">
        <v>181</v>
      </c>
      <c r="F100" s="19">
        <v>1685</v>
      </c>
      <c r="G100" s="35">
        <v>1655</v>
      </c>
      <c r="H100" s="35">
        <v>30</v>
      </c>
      <c r="I100" s="20">
        <v>500</v>
      </c>
      <c r="J100" s="21">
        <f t="shared" si="7"/>
        <v>15000</v>
      </c>
      <c r="K100" s="7"/>
      <c r="V100" s="36">
        <f t="shared" si="8"/>
        <v>1</v>
      </c>
      <c r="W100" s="36">
        <f t="shared" si="9"/>
        <v>0</v>
      </c>
    </row>
    <row r="101" spans="1:23" s="36" customFormat="1" x14ac:dyDescent="0.3">
      <c r="A101" s="6"/>
      <c r="B101" s="17">
        <f t="shared" si="10"/>
        <v>12</v>
      </c>
      <c r="C101" s="18">
        <v>44181</v>
      </c>
      <c r="D101" s="19" t="s">
        <v>69</v>
      </c>
      <c r="E101" s="19" t="s">
        <v>86</v>
      </c>
      <c r="F101" s="35">
        <v>5180</v>
      </c>
      <c r="G101" s="35">
        <v>5140</v>
      </c>
      <c r="H101" s="35">
        <v>40</v>
      </c>
      <c r="I101" s="20">
        <v>250</v>
      </c>
      <c r="J101" s="21">
        <f t="shared" si="7"/>
        <v>10000</v>
      </c>
      <c r="K101" s="7"/>
      <c r="V101" s="36">
        <f t="shared" si="8"/>
        <v>1</v>
      </c>
      <c r="W101" s="36">
        <f t="shared" si="9"/>
        <v>0</v>
      </c>
    </row>
    <row r="102" spans="1:23" s="36" customFormat="1" x14ac:dyDescent="0.3">
      <c r="A102" s="6"/>
      <c r="B102" s="17">
        <f t="shared" si="10"/>
        <v>13</v>
      </c>
      <c r="C102" s="18">
        <v>44182</v>
      </c>
      <c r="D102" s="19" t="s">
        <v>18</v>
      </c>
      <c r="E102" s="19" t="s">
        <v>86</v>
      </c>
      <c r="F102" s="35">
        <v>5170</v>
      </c>
      <c r="G102" s="35">
        <v>5230</v>
      </c>
      <c r="H102" s="35">
        <v>60</v>
      </c>
      <c r="I102" s="20">
        <v>250</v>
      </c>
      <c r="J102" s="21">
        <f t="shared" si="7"/>
        <v>15000</v>
      </c>
      <c r="K102" s="7"/>
      <c r="V102" s="36">
        <f t="shared" si="8"/>
        <v>1</v>
      </c>
      <c r="W102" s="36">
        <f t="shared" si="9"/>
        <v>0</v>
      </c>
    </row>
    <row r="103" spans="1:23" s="36" customFormat="1" x14ac:dyDescent="0.3">
      <c r="A103" s="6"/>
      <c r="B103" s="17">
        <f t="shared" si="10"/>
        <v>14</v>
      </c>
      <c r="C103" s="18">
        <v>44183</v>
      </c>
      <c r="D103" s="19" t="s">
        <v>18</v>
      </c>
      <c r="E103" s="19" t="s">
        <v>86</v>
      </c>
      <c r="F103" s="77">
        <v>5225</v>
      </c>
      <c r="G103" s="35">
        <v>5250</v>
      </c>
      <c r="H103" s="78">
        <v>25</v>
      </c>
      <c r="I103" s="20">
        <v>250</v>
      </c>
      <c r="J103" s="21">
        <f t="shared" si="7"/>
        <v>6250</v>
      </c>
      <c r="K103" s="7"/>
      <c r="V103" s="36">
        <f t="shared" si="8"/>
        <v>1</v>
      </c>
      <c r="W103" s="36">
        <f t="shared" si="9"/>
        <v>0</v>
      </c>
    </row>
    <row r="104" spans="1:23" s="36" customFormat="1" x14ac:dyDescent="0.3">
      <c r="A104" s="6"/>
      <c r="B104" s="17">
        <f t="shared" si="10"/>
        <v>15</v>
      </c>
      <c r="C104" s="18">
        <v>44186</v>
      </c>
      <c r="D104" s="19" t="s">
        <v>18</v>
      </c>
      <c r="E104" s="19" t="s">
        <v>86</v>
      </c>
      <c r="F104" s="35">
        <v>5220</v>
      </c>
      <c r="G104" s="35">
        <v>5190</v>
      </c>
      <c r="H104" s="78">
        <v>-30</v>
      </c>
      <c r="I104" s="20">
        <v>250</v>
      </c>
      <c r="J104" s="21">
        <f t="shared" si="7"/>
        <v>-7500</v>
      </c>
      <c r="K104" s="7"/>
      <c r="V104" s="36">
        <f t="shared" si="8"/>
        <v>0</v>
      </c>
      <c r="W104" s="36">
        <f t="shared" si="9"/>
        <v>1</v>
      </c>
    </row>
    <row r="105" spans="1:23" s="36" customFormat="1" x14ac:dyDescent="0.3">
      <c r="A105" s="6"/>
      <c r="B105" s="17">
        <f t="shared" si="10"/>
        <v>16</v>
      </c>
      <c r="C105" s="18">
        <v>44186</v>
      </c>
      <c r="D105" s="19" t="s">
        <v>69</v>
      </c>
      <c r="E105" s="19" t="s">
        <v>111</v>
      </c>
      <c r="F105" s="35">
        <v>265</v>
      </c>
      <c r="G105" s="35">
        <v>263</v>
      </c>
      <c r="H105" s="78">
        <v>2</v>
      </c>
      <c r="I105" s="20">
        <v>3000</v>
      </c>
      <c r="J105" s="21">
        <f t="shared" si="7"/>
        <v>6000</v>
      </c>
      <c r="K105" s="7"/>
      <c r="V105" s="36">
        <f t="shared" si="8"/>
        <v>1</v>
      </c>
      <c r="W105" s="36">
        <f t="shared" si="9"/>
        <v>0</v>
      </c>
    </row>
    <row r="106" spans="1:23" s="36" customFormat="1" x14ac:dyDescent="0.3">
      <c r="A106" s="6"/>
      <c r="B106" s="17">
        <f t="shared" si="10"/>
        <v>17</v>
      </c>
      <c r="C106" s="18">
        <v>44187</v>
      </c>
      <c r="D106" s="19" t="s">
        <v>69</v>
      </c>
      <c r="E106" s="19" t="s">
        <v>86</v>
      </c>
      <c r="F106" s="35">
        <v>4930</v>
      </c>
      <c r="G106" s="35">
        <v>4900</v>
      </c>
      <c r="H106" s="35">
        <v>30</v>
      </c>
      <c r="I106" s="20">
        <v>250</v>
      </c>
      <c r="J106" s="21">
        <f t="shared" si="7"/>
        <v>7500</v>
      </c>
      <c r="K106" s="7"/>
      <c r="V106" s="36">
        <f t="shared" si="8"/>
        <v>1</v>
      </c>
      <c r="W106" s="36">
        <f t="shared" si="9"/>
        <v>0</v>
      </c>
    </row>
    <row r="107" spans="1:23" s="36" customFormat="1" x14ac:dyDescent="0.3">
      <c r="A107" s="6"/>
      <c r="B107" s="17">
        <f t="shared" si="10"/>
        <v>18</v>
      </c>
      <c r="C107" s="18">
        <v>44188</v>
      </c>
      <c r="D107" s="19" t="s">
        <v>18</v>
      </c>
      <c r="E107" s="19" t="s">
        <v>86</v>
      </c>
      <c r="F107" s="35">
        <v>5085</v>
      </c>
      <c r="G107" s="35">
        <v>5145</v>
      </c>
      <c r="H107" s="35">
        <v>60</v>
      </c>
      <c r="I107" s="20">
        <v>250</v>
      </c>
      <c r="J107" s="21">
        <f t="shared" si="7"/>
        <v>15000</v>
      </c>
      <c r="K107" s="7"/>
      <c r="V107" s="36">
        <f t="shared" si="8"/>
        <v>1</v>
      </c>
      <c r="W107" s="36">
        <f t="shared" si="9"/>
        <v>0</v>
      </c>
    </row>
    <row r="108" spans="1:23" s="36" customFormat="1" x14ac:dyDescent="0.3">
      <c r="A108" s="6"/>
      <c r="B108" s="17">
        <f t="shared" si="10"/>
        <v>19</v>
      </c>
      <c r="C108" s="18">
        <v>44189</v>
      </c>
      <c r="D108" s="19" t="s">
        <v>18</v>
      </c>
      <c r="E108" s="19" t="s">
        <v>86</v>
      </c>
      <c r="F108" s="35">
        <v>5170</v>
      </c>
      <c r="G108" s="35">
        <v>5184</v>
      </c>
      <c r="H108" s="35">
        <v>14</v>
      </c>
      <c r="I108" s="20">
        <v>250</v>
      </c>
      <c r="J108" s="21">
        <f t="shared" si="7"/>
        <v>3500</v>
      </c>
      <c r="K108" s="7"/>
      <c r="V108" s="36">
        <f t="shared" si="8"/>
        <v>1</v>
      </c>
      <c r="W108" s="36">
        <f t="shared" si="9"/>
        <v>0</v>
      </c>
    </row>
    <row r="109" spans="1:23" s="36" customFormat="1" x14ac:dyDescent="0.3">
      <c r="A109" s="6"/>
      <c r="B109" s="17">
        <f t="shared" si="10"/>
        <v>20</v>
      </c>
      <c r="C109" s="18">
        <v>44189</v>
      </c>
      <c r="D109" s="19" t="s">
        <v>69</v>
      </c>
      <c r="E109" s="19" t="s">
        <v>81</v>
      </c>
      <c r="F109" s="35">
        <v>1258</v>
      </c>
      <c r="G109" s="35">
        <v>1245</v>
      </c>
      <c r="H109" s="35">
        <v>13</v>
      </c>
      <c r="I109" s="20">
        <v>550</v>
      </c>
      <c r="J109" s="21">
        <f t="shared" si="7"/>
        <v>7150</v>
      </c>
      <c r="K109" s="7"/>
      <c r="V109" s="36">
        <f t="shared" si="8"/>
        <v>1</v>
      </c>
      <c r="W109" s="36">
        <f t="shared" si="9"/>
        <v>0</v>
      </c>
    </row>
    <row r="110" spans="1:23" s="36" customFormat="1" x14ac:dyDescent="0.3">
      <c r="A110" s="6"/>
      <c r="B110" s="17">
        <f t="shared" si="10"/>
        <v>21</v>
      </c>
      <c r="C110" s="18"/>
      <c r="D110" s="19"/>
      <c r="E110" s="19"/>
      <c r="F110" s="35"/>
      <c r="G110" s="35"/>
      <c r="H110" s="35"/>
      <c r="I110" s="20"/>
      <c r="J110" s="21">
        <f t="shared" si="7"/>
        <v>0</v>
      </c>
      <c r="K110" s="7"/>
      <c r="V110" s="36">
        <f t="shared" si="8"/>
        <v>0</v>
      </c>
      <c r="W110" s="36">
        <f t="shared" si="9"/>
        <v>0</v>
      </c>
    </row>
    <row r="111" spans="1:23" s="36" customFormat="1" x14ac:dyDescent="0.3">
      <c r="A111" s="6"/>
      <c r="B111" s="17">
        <f t="shared" si="10"/>
        <v>22</v>
      </c>
      <c r="C111" s="18"/>
      <c r="D111" s="19"/>
      <c r="E111" s="19"/>
      <c r="F111" s="35"/>
      <c r="G111" s="35"/>
      <c r="H111" s="35"/>
      <c r="I111" s="20"/>
      <c r="J111" s="21">
        <f t="shared" si="7"/>
        <v>0</v>
      </c>
      <c r="K111" s="7"/>
      <c r="V111" s="36">
        <f t="shared" si="8"/>
        <v>0</v>
      </c>
      <c r="W111" s="36">
        <f t="shared" si="9"/>
        <v>0</v>
      </c>
    </row>
    <row r="112" spans="1:23" s="36" customFormat="1" x14ac:dyDescent="0.3">
      <c r="A112" s="6"/>
      <c r="B112" s="17">
        <f t="shared" si="10"/>
        <v>23</v>
      </c>
      <c r="C112" s="18"/>
      <c r="D112" s="19"/>
      <c r="E112" s="19"/>
      <c r="F112" s="35"/>
      <c r="G112" s="35"/>
      <c r="H112" s="35"/>
      <c r="I112" s="20"/>
      <c r="J112" s="21">
        <f t="shared" si="7"/>
        <v>0</v>
      </c>
      <c r="K112" s="7"/>
      <c r="V112" s="36">
        <f t="shared" si="8"/>
        <v>0</v>
      </c>
      <c r="W112" s="36">
        <f t="shared" si="9"/>
        <v>0</v>
      </c>
    </row>
    <row r="113" spans="1:23" s="36" customFormat="1" hidden="1" x14ac:dyDescent="0.3">
      <c r="A113" s="6"/>
      <c r="B113" s="17">
        <f t="shared" si="10"/>
        <v>24</v>
      </c>
      <c r="C113" s="18"/>
      <c r="D113" s="19"/>
      <c r="E113" s="19"/>
      <c r="F113" s="35"/>
      <c r="G113" s="35"/>
      <c r="H113" s="35"/>
      <c r="I113" s="20"/>
      <c r="J113" s="21">
        <f t="shared" si="7"/>
        <v>0</v>
      </c>
      <c r="K113" s="7"/>
      <c r="V113" s="36">
        <f t="shared" si="8"/>
        <v>0</v>
      </c>
      <c r="W113" s="36">
        <f t="shared" si="9"/>
        <v>0</v>
      </c>
    </row>
    <row r="114" spans="1:23" s="36" customFormat="1" hidden="1" x14ac:dyDescent="0.3">
      <c r="A114" s="6"/>
      <c r="B114" s="17">
        <f t="shared" si="10"/>
        <v>25</v>
      </c>
      <c r="C114" s="18"/>
      <c r="D114" s="19"/>
      <c r="E114" s="19"/>
      <c r="F114" s="35"/>
      <c r="G114" s="35"/>
      <c r="H114" s="35"/>
      <c r="I114" s="20"/>
      <c r="J114" s="21">
        <f t="shared" si="7"/>
        <v>0</v>
      </c>
      <c r="K114" s="7"/>
      <c r="V114" s="36">
        <f t="shared" si="8"/>
        <v>0</v>
      </c>
      <c r="W114" s="36">
        <f t="shared" si="9"/>
        <v>0</v>
      </c>
    </row>
    <row r="115" spans="1:23" s="36" customFormat="1" hidden="1" x14ac:dyDescent="0.3">
      <c r="A115" s="6"/>
      <c r="B115" s="17">
        <f t="shared" si="10"/>
        <v>26</v>
      </c>
      <c r="C115" s="18"/>
      <c r="D115" s="19"/>
      <c r="E115" s="19"/>
      <c r="F115" s="35"/>
      <c r="G115" s="35"/>
      <c r="H115" s="35"/>
      <c r="I115" s="20"/>
      <c r="J115" s="21">
        <f t="shared" si="7"/>
        <v>0</v>
      </c>
      <c r="K115" s="7"/>
      <c r="V115" s="36">
        <f t="shared" si="8"/>
        <v>0</v>
      </c>
      <c r="W115" s="36">
        <f t="shared" si="9"/>
        <v>0</v>
      </c>
    </row>
    <row r="116" spans="1:23" s="36" customFormat="1" hidden="1" x14ac:dyDescent="0.3">
      <c r="A116" s="6"/>
      <c r="B116" s="17">
        <f t="shared" si="10"/>
        <v>27</v>
      </c>
      <c r="C116" s="18"/>
      <c r="D116" s="19"/>
      <c r="E116" s="19"/>
      <c r="F116" s="35"/>
      <c r="G116" s="35"/>
      <c r="H116" s="35"/>
      <c r="I116" s="20"/>
      <c r="J116" s="21">
        <f t="shared" si="7"/>
        <v>0</v>
      </c>
      <c r="K116" s="7"/>
      <c r="V116" s="36">
        <f t="shared" si="8"/>
        <v>0</v>
      </c>
      <c r="W116" s="36">
        <f t="shared" si="9"/>
        <v>0</v>
      </c>
    </row>
    <row r="117" spans="1:23" s="36" customFormat="1" hidden="1" x14ac:dyDescent="0.3">
      <c r="A117" s="6"/>
      <c r="B117" s="17">
        <f t="shared" si="10"/>
        <v>28</v>
      </c>
      <c r="C117" s="18"/>
      <c r="D117" s="19"/>
      <c r="E117" s="19"/>
      <c r="F117" s="35"/>
      <c r="G117" s="35"/>
      <c r="H117" s="35"/>
      <c r="I117" s="20"/>
      <c r="J117" s="21">
        <f t="shared" si="7"/>
        <v>0</v>
      </c>
      <c r="K117" s="7"/>
      <c r="V117" s="36">
        <f t="shared" si="8"/>
        <v>0</v>
      </c>
      <c r="W117" s="36">
        <f t="shared" si="9"/>
        <v>0</v>
      </c>
    </row>
    <row r="118" spans="1:23" s="36" customFormat="1" hidden="1" x14ac:dyDescent="0.3">
      <c r="A118" s="6"/>
      <c r="B118" s="17">
        <f t="shared" si="10"/>
        <v>29</v>
      </c>
      <c r="C118" s="18"/>
      <c r="D118" s="19"/>
      <c r="E118" s="19"/>
      <c r="F118" s="35"/>
      <c r="G118" s="35"/>
      <c r="H118" s="35"/>
      <c r="I118" s="20"/>
      <c r="J118" s="21">
        <f t="shared" si="7"/>
        <v>0</v>
      </c>
      <c r="K118" s="7"/>
    </row>
    <row r="119" spans="1:23" s="36" customFormat="1" hidden="1" x14ac:dyDescent="0.3">
      <c r="A119" s="6"/>
      <c r="B119" s="17">
        <f t="shared" si="10"/>
        <v>30</v>
      </c>
      <c r="C119" s="18"/>
      <c r="D119" s="19"/>
      <c r="E119" s="19"/>
      <c r="F119" s="35"/>
      <c r="G119" s="35"/>
      <c r="H119" s="35"/>
      <c r="I119" s="20"/>
      <c r="J119" s="21">
        <f t="shared" si="7"/>
        <v>0</v>
      </c>
      <c r="K119" s="7"/>
    </row>
    <row r="120" spans="1:23" s="36" customFormat="1" hidden="1" x14ac:dyDescent="0.3">
      <c r="A120" s="6"/>
      <c r="B120" s="17">
        <f t="shared" si="10"/>
        <v>31</v>
      </c>
      <c r="C120" s="18"/>
      <c r="D120" s="19"/>
      <c r="E120" s="19"/>
      <c r="F120" s="35"/>
      <c r="G120" s="35"/>
      <c r="H120" s="35"/>
      <c r="I120" s="20"/>
      <c r="J120" s="21">
        <f t="shared" si="7"/>
        <v>0</v>
      </c>
      <c r="K120" s="7"/>
    </row>
    <row r="121" spans="1:23" s="36" customFormat="1" hidden="1" x14ac:dyDescent="0.3">
      <c r="A121" s="6"/>
      <c r="B121" s="17">
        <f t="shared" si="10"/>
        <v>32</v>
      </c>
      <c r="C121" s="18"/>
      <c r="D121" s="19"/>
      <c r="E121" s="19"/>
      <c r="F121" s="35"/>
      <c r="G121" s="35"/>
      <c r="H121" s="35"/>
      <c r="I121" s="20"/>
      <c r="J121" s="21">
        <f t="shared" si="7"/>
        <v>0</v>
      </c>
      <c r="K121" s="7"/>
    </row>
    <row r="122" spans="1:23" s="36" customFormat="1" hidden="1" x14ac:dyDescent="0.3">
      <c r="A122" s="6"/>
      <c r="B122" s="17">
        <f t="shared" si="10"/>
        <v>33</v>
      </c>
      <c r="C122" s="18"/>
      <c r="D122" s="19"/>
      <c r="E122" s="19"/>
      <c r="F122" s="35"/>
      <c r="G122" s="35"/>
      <c r="H122" s="35"/>
      <c r="I122" s="20"/>
      <c r="J122" s="21">
        <f t="shared" si="7"/>
        <v>0</v>
      </c>
      <c r="K122" s="7"/>
    </row>
    <row r="123" spans="1:23" s="36" customFormat="1" hidden="1" x14ac:dyDescent="0.3">
      <c r="A123" s="6"/>
      <c r="B123" s="17">
        <f t="shared" si="10"/>
        <v>34</v>
      </c>
      <c r="C123" s="18"/>
      <c r="D123" s="19"/>
      <c r="E123" s="19"/>
      <c r="F123" s="35"/>
      <c r="G123" s="35"/>
      <c r="H123" s="35"/>
      <c r="I123" s="20"/>
      <c r="J123" s="21">
        <f t="shared" si="7"/>
        <v>0</v>
      </c>
      <c r="K123" s="7"/>
    </row>
    <row r="124" spans="1:23" s="36" customFormat="1" hidden="1" x14ac:dyDescent="0.3">
      <c r="A124" s="6"/>
      <c r="B124" s="17">
        <f t="shared" si="10"/>
        <v>35</v>
      </c>
      <c r="C124" s="18"/>
      <c r="D124" s="19"/>
      <c r="E124" s="19"/>
      <c r="F124" s="35"/>
      <c r="G124" s="35"/>
      <c r="H124" s="35"/>
      <c r="I124" s="20"/>
      <c r="J124" s="21">
        <f t="shared" si="7"/>
        <v>0</v>
      </c>
      <c r="K124" s="7"/>
    </row>
    <row r="125" spans="1:23" s="36" customFormat="1" hidden="1" x14ac:dyDescent="0.3">
      <c r="A125" s="6"/>
      <c r="B125" s="17">
        <f t="shared" si="10"/>
        <v>36</v>
      </c>
      <c r="C125" s="18"/>
      <c r="D125" s="19"/>
      <c r="E125" s="19"/>
      <c r="F125" s="35"/>
      <c r="G125" s="35"/>
      <c r="H125" s="35"/>
      <c r="I125" s="20"/>
      <c r="J125" s="21">
        <f t="shared" si="7"/>
        <v>0</v>
      </c>
      <c r="K125" s="7"/>
    </row>
    <row r="126" spans="1:23" s="36" customFormat="1" hidden="1" x14ac:dyDescent="0.3">
      <c r="A126" s="6"/>
      <c r="B126" s="17">
        <f t="shared" si="10"/>
        <v>37</v>
      </c>
      <c r="C126" s="18"/>
      <c r="D126" s="19"/>
      <c r="E126" s="19"/>
      <c r="F126" s="35"/>
      <c r="G126" s="35"/>
      <c r="H126" s="35"/>
      <c r="I126" s="20"/>
      <c r="J126" s="21">
        <f t="shared" si="7"/>
        <v>0</v>
      </c>
      <c r="K126" s="7"/>
      <c r="V126" s="36">
        <f t="shared" si="8"/>
        <v>0</v>
      </c>
      <c r="W126" s="36">
        <f t="shared" si="9"/>
        <v>0</v>
      </c>
    </row>
    <row r="127" spans="1:23" s="36" customFormat="1" hidden="1" x14ac:dyDescent="0.3">
      <c r="A127" s="6"/>
      <c r="B127" s="17">
        <f t="shared" si="10"/>
        <v>38</v>
      </c>
      <c r="C127" s="18"/>
      <c r="D127" s="19"/>
      <c r="E127" s="19"/>
      <c r="F127" s="35"/>
      <c r="G127" s="35"/>
      <c r="H127" s="35"/>
      <c r="I127" s="20"/>
      <c r="J127" s="21">
        <f t="shared" si="7"/>
        <v>0</v>
      </c>
      <c r="K127" s="7"/>
    </row>
    <row r="128" spans="1:23" s="36" customFormat="1" hidden="1" x14ac:dyDescent="0.3">
      <c r="A128" s="6"/>
      <c r="B128" s="17">
        <f t="shared" si="10"/>
        <v>39</v>
      </c>
      <c r="C128" s="18"/>
      <c r="D128" s="19"/>
      <c r="E128" s="19"/>
      <c r="F128" s="35"/>
      <c r="G128" s="35"/>
      <c r="H128" s="35"/>
      <c r="I128" s="20"/>
      <c r="J128" s="21">
        <f t="shared" si="7"/>
        <v>0</v>
      </c>
      <c r="K128" s="7"/>
    </row>
    <row r="129" spans="1:23" s="36" customFormat="1" hidden="1" x14ac:dyDescent="0.3">
      <c r="A129" s="6"/>
      <c r="B129" s="17">
        <f t="shared" si="10"/>
        <v>40</v>
      </c>
      <c r="C129" s="18"/>
      <c r="D129" s="19"/>
      <c r="E129" s="19"/>
      <c r="F129" s="35"/>
      <c r="G129" s="35"/>
      <c r="H129" s="35"/>
      <c r="I129" s="20"/>
      <c r="J129" s="21">
        <f t="shared" si="7"/>
        <v>0</v>
      </c>
      <c r="K129" s="7"/>
    </row>
    <row r="130" spans="1:23" s="36" customFormat="1" hidden="1" x14ac:dyDescent="0.3">
      <c r="A130" s="6"/>
      <c r="B130" s="17">
        <f t="shared" si="10"/>
        <v>41</v>
      </c>
      <c r="C130" s="18"/>
      <c r="D130" s="19"/>
      <c r="E130" s="19"/>
      <c r="F130" s="35"/>
      <c r="G130" s="35"/>
      <c r="H130" s="35"/>
      <c r="I130" s="20"/>
      <c r="J130" s="21">
        <f t="shared" si="7"/>
        <v>0</v>
      </c>
      <c r="K130" s="7"/>
    </row>
    <row r="131" spans="1:23" s="36" customFormat="1" hidden="1" x14ac:dyDescent="0.3">
      <c r="A131" s="6"/>
      <c r="B131" s="17">
        <f t="shared" si="10"/>
        <v>42</v>
      </c>
      <c r="C131" s="18"/>
      <c r="D131" s="19"/>
      <c r="E131" s="19"/>
      <c r="F131" s="35"/>
      <c r="G131" s="35"/>
      <c r="H131" s="35"/>
      <c r="I131" s="20"/>
      <c r="J131" s="21">
        <f t="shared" si="7"/>
        <v>0</v>
      </c>
      <c r="K131" s="7"/>
    </row>
    <row r="132" spans="1:23" s="36" customFormat="1" ht="15" thickBot="1" x14ac:dyDescent="0.35">
      <c r="A132" s="6"/>
      <c r="B132" s="17">
        <f t="shared" si="10"/>
        <v>43</v>
      </c>
      <c r="C132" s="79"/>
      <c r="D132" s="80"/>
      <c r="E132" s="80"/>
      <c r="F132" s="81"/>
      <c r="G132" s="81"/>
      <c r="H132" s="80"/>
      <c r="I132" s="81"/>
      <c r="J132" s="82">
        <f t="shared" si="7"/>
        <v>0</v>
      </c>
      <c r="K132" s="7"/>
      <c r="V132" s="36">
        <f t="shared" si="8"/>
        <v>0</v>
      </c>
      <c r="W132" s="36">
        <f t="shared" si="9"/>
        <v>0</v>
      </c>
    </row>
    <row r="133" spans="1:23" s="36" customFormat="1" ht="24" thickBot="1" x14ac:dyDescent="0.5">
      <c r="A133" s="6"/>
      <c r="B133" s="165" t="s">
        <v>22</v>
      </c>
      <c r="C133" s="166"/>
      <c r="D133" s="166"/>
      <c r="E133" s="166"/>
      <c r="F133" s="166"/>
      <c r="G133" s="166"/>
      <c r="H133" s="167"/>
      <c r="I133" s="83" t="s">
        <v>23</v>
      </c>
      <c r="J133" s="84">
        <f>SUM(J90:J132)</f>
        <v>112350</v>
      </c>
      <c r="K133" s="7"/>
      <c r="L133" s="5"/>
      <c r="M133" s="5"/>
      <c r="N133" s="5"/>
      <c r="O133" s="5"/>
      <c r="P133" s="5"/>
      <c r="Q133" s="5"/>
      <c r="R133" s="5"/>
      <c r="V133" s="36">
        <f>SUM(V90:V132)</f>
        <v>16</v>
      </c>
      <c r="W133" s="36">
        <f>SUM(W90:W132)</f>
        <v>4</v>
      </c>
    </row>
    <row r="134" spans="1:23" s="36" customFormat="1" ht="30" customHeight="1" thickBot="1" x14ac:dyDescent="0.35">
      <c r="A134" s="30"/>
      <c r="B134" s="31"/>
      <c r="C134" s="31"/>
      <c r="D134" s="31"/>
      <c r="E134" s="31"/>
      <c r="F134" s="31"/>
      <c r="G134" s="31"/>
      <c r="H134" s="32"/>
      <c r="I134" s="31"/>
      <c r="J134" s="32"/>
      <c r="K134" s="33"/>
      <c r="L134" s="5"/>
      <c r="M134" s="5"/>
      <c r="N134" s="5"/>
      <c r="O134" s="5"/>
      <c r="P134" s="5"/>
      <c r="Q134" s="5"/>
      <c r="R134" s="5"/>
    </row>
  </sheetData>
  <mergeCells count="3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133:H133"/>
    <mergeCell ref="M10:O12"/>
    <mergeCell ref="P10:R12"/>
    <mergeCell ref="B82:H82"/>
    <mergeCell ref="B86:J86"/>
    <mergeCell ref="B87:J87"/>
    <mergeCell ref="B88:J88"/>
  </mergeCells>
  <hyperlinks>
    <hyperlink ref="B82" r:id="rId1" xr:uid="{00000000-0004-0000-0500-000000000000}"/>
    <hyperlink ref="M1" location="MASTER!A1" display="Back" xr:uid="{00000000-0004-0000-0500-000001000000}"/>
    <hyperlink ref="B133" r:id="rId2" xr:uid="{00000000-0004-0000-0500-000002000000}"/>
    <hyperlink ref="M6:M7" location="'OCT 2020'!A95" display="EXTRA STOCK FUTURE" xr:uid="{00000000-0004-0000-0500-000003000000}"/>
  </hyperlinks>
  <pageMargins left="0" right="0" top="0" bottom="0" header="0" footer="0"/>
  <pageSetup paperSize="9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97"/>
  <sheetViews>
    <sheetView topLeftCell="A150" workbookViewId="0">
      <selection activeCell="M1" sqref="M1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44197</v>
      </c>
      <c r="C3" s="104"/>
      <c r="D3" s="104"/>
      <c r="E3" s="104"/>
      <c r="F3" s="104"/>
      <c r="G3" s="104"/>
      <c r="H3" s="104"/>
      <c r="I3" s="104"/>
      <c r="J3" s="105"/>
      <c r="K3" s="7"/>
      <c r="M3" s="123"/>
      <c r="N3" s="161"/>
      <c r="O3" s="125"/>
      <c r="P3" s="125"/>
      <c r="Q3" s="125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55" t="s">
        <v>107</v>
      </c>
      <c r="N4" s="192">
        <v>43</v>
      </c>
      <c r="O4" s="193">
        <v>37</v>
      </c>
      <c r="P4" s="193">
        <v>6</v>
      </c>
      <c r="Q4" s="194">
        <f>N4-O4-P4</f>
        <v>0</v>
      </c>
      <c r="R4" s="178">
        <f>O4/N4</f>
        <v>0.86046511627906974</v>
      </c>
    </row>
    <row r="5" spans="1:23" ht="15" thickBot="1" x14ac:dyDescent="0.35">
      <c r="A5" s="6"/>
      <c r="B5" s="8" t="s">
        <v>9</v>
      </c>
      <c r="C5" s="9" t="s">
        <v>10</v>
      </c>
      <c r="D5" s="10" t="s">
        <v>11</v>
      </c>
      <c r="E5" s="10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13" t="s">
        <v>17</v>
      </c>
      <c r="K5" s="7"/>
      <c r="M5" s="156"/>
      <c r="N5" s="185"/>
      <c r="O5" s="173"/>
      <c r="P5" s="173"/>
      <c r="Q5" s="175"/>
      <c r="R5" s="177"/>
      <c r="V5" s="5" t="s">
        <v>5</v>
      </c>
      <c r="W5" s="5" t="s">
        <v>6</v>
      </c>
    </row>
    <row r="6" spans="1:23" ht="15" customHeight="1" x14ac:dyDescent="0.3">
      <c r="A6" s="6"/>
      <c r="B6" s="14">
        <v>1</v>
      </c>
      <c r="C6" s="66">
        <v>44200</v>
      </c>
      <c r="D6" s="67" t="s">
        <v>18</v>
      </c>
      <c r="E6" s="67" t="s">
        <v>188</v>
      </c>
      <c r="F6" s="68">
        <v>160</v>
      </c>
      <c r="G6" s="68">
        <v>174</v>
      </c>
      <c r="H6" s="60">
        <v>14</v>
      </c>
      <c r="I6" s="15">
        <v>100</v>
      </c>
      <c r="J6" s="16">
        <f t="shared" ref="J6:J13" si="0">H6*I6</f>
        <v>1400</v>
      </c>
      <c r="K6" s="7"/>
      <c r="M6" s="155" t="s">
        <v>108</v>
      </c>
      <c r="N6" s="184">
        <v>32</v>
      </c>
      <c r="O6" s="172">
        <v>26</v>
      </c>
      <c r="P6" s="172">
        <v>6</v>
      </c>
      <c r="Q6" s="174">
        <v>0</v>
      </c>
      <c r="R6" s="176">
        <f t="shared" ref="R6" si="1">O6/N6</f>
        <v>0.8125</v>
      </c>
    </row>
    <row r="7" spans="1:23" x14ac:dyDescent="0.3">
      <c r="A7" s="6"/>
      <c r="B7" s="17">
        <v>2</v>
      </c>
      <c r="C7" s="66">
        <v>44200</v>
      </c>
      <c r="D7" s="67" t="s">
        <v>18</v>
      </c>
      <c r="E7" s="67" t="s">
        <v>189</v>
      </c>
      <c r="F7" s="68">
        <v>160</v>
      </c>
      <c r="G7" s="68">
        <v>190</v>
      </c>
      <c r="H7" s="67">
        <v>30</v>
      </c>
      <c r="I7" s="20">
        <v>100</v>
      </c>
      <c r="J7" s="21">
        <f t="shared" si="0"/>
        <v>3000</v>
      </c>
      <c r="K7" s="7"/>
      <c r="M7" s="186"/>
      <c r="N7" s="185"/>
      <c r="O7" s="173"/>
      <c r="P7" s="173"/>
      <c r="Q7" s="175"/>
      <c r="R7" s="177"/>
    </row>
    <row r="8" spans="1:23" x14ac:dyDescent="0.3">
      <c r="A8" s="6"/>
      <c r="B8" s="17">
        <v>3</v>
      </c>
      <c r="C8" s="18">
        <v>44201</v>
      </c>
      <c r="D8" s="19" t="s">
        <v>18</v>
      </c>
      <c r="E8" s="19" t="s">
        <v>190</v>
      </c>
      <c r="F8" s="35">
        <v>110</v>
      </c>
      <c r="G8" s="35">
        <v>210</v>
      </c>
      <c r="H8" s="35">
        <v>100</v>
      </c>
      <c r="I8" s="20">
        <v>100</v>
      </c>
      <c r="J8" s="21">
        <f t="shared" si="0"/>
        <v>10000</v>
      </c>
      <c r="K8" s="7"/>
      <c r="M8" s="187" t="s">
        <v>194</v>
      </c>
      <c r="N8" s="184">
        <v>13</v>
      </c>
      <c r="O8" s="172">
        <v>11</v>
      </c>
      <c r="P8" s="172">
        <v>2</v>
      </c>
      <c r="Q8" s="174">
        <v>0</v>
      </c>
      <c r="R8" s="176">
        <f t="shared" ref="R8:R10" si="2">O8/N8</f>
        <v>0.84615384615384615</v>
      </c>
      <c r="V8" s="5">
        <f ca="1">SUM(V8:V84)</f>
        <v>4</v>
      </c>
      <c r="W8" s="5">
        <f t="shared" ref="W8:W15" si="3">IF($J6&lt;0,1,0)</f>
        <v>0</v>
      </c>
    </row>
    <row r="9" spans="1:23" ht="15" thickBot="1" x14ac:dyDescent="0.35">
      <c r="A9" s="6"/>
      <c r="B9" s="17">
        <v>4</v>
      </c>
      <c r="C9" s="18">
        <v>44201</v>
      </c>
      <c r="D9" s="19" t="s">
        <v>18</v>
      </c>
      <c r="E9" s="19" t="s">
        <v>188</v>
      </c>
      <c r="F9" s="35">
        <v>140</v>
      </c>
      <c r="G9" s="35">
        <v>240</v>
      </c>
      <c r="H9" s="35">
        <v>100</v>
      </c>
      <c r="I9" s="20">
        <v>100</v>
      </c>
      <c r="J9" s="21">
        <f t="shared" si="0"/>
        <v>10000</v>
      </c>
      <c r="K9" s="7"/>
      <c r="M9" s="188"/>
      <c r="N9" s="189"/>
      <c r="O9" s="180"/>
      <c r="P9" s="180"/>
      <c r="Q9" s="181"/>
      <c r="R9" s="179"/>
      <c r="V9" s="5">
        <f t="shared" ref="V9:V15" si="4">IF($J7&gt;0,1,0)</f>
        <v>1</v>
      </c>
      <c r="W9" s="5">
        <f t="shared" si="3"/>
        <v>0</v>
      </c>
    </row>
    <row r="10" spans="1:23" ht="16.5" customHeight="1" x14ac:dyDescent="0.3">
      <c r="A10" s="6"/>
      <c r="B10" s="17">
        <v>5</v>
      </c>
      <c r="C10" s="18">
        <v>44202</v>
      </c>
      <c r="D10" s="19" t="s">
        <v>18</v>
      </c>
      <c r="E10" s="19" t="s">
        <v>191</v>
      </c>
      <c r="F10" s="35">
        <v>140</v>
      </c>
      <c r="G10" s="35">
        <v>200</v>
      </c>
      <c r="H10" s="35">
        <v>60</v>
      </c>
      <c r="I10" s="20">
        <v>100</v>
      </c>
      <c r="J10" s="21">
        <f t="shared" si="0"/>
        <v>6000</v>
      </c>
      <c r="K10" s="7"/>
      <c r="M10" s="190" t="s">
        <v>19</v>
      </c>
      <c r="N10" s="182">
        <f>SUM(N4:N9)</f>
        <v>88</v>
      </c>
      <c r="O10" s="182">
        <f>SUM(O4:O9)</f>
        <v>74</v>
      </c>
      <c r="P10" s="182">
        <f>SUM(P4:P9)</f>
        <v>14</v>
      </c>
      <c r="Q10" s="182">
        <f>SUM(Q4:Q9)</f>
        <v>0</v>
      </c>
      <c r="R10" s="178">
        <f t="shared" si="2"/>
        <v>0.84090909090909094</v>
      </c>
      <c r="V10" s="5">
        <f t="shared" si="4"/>
        <v>1</v>
      </c>
      <c r="W10" s="5">
        <f t="shared" si="3"/>
        <v>0</v>
      </c>
    </row>
    <row r="11" spans="1:23" ht="15.75" customHeight="1" thickBot="1" x14ac:dyDescent="0.35">
      <c r="A11" s="6"/>
      <c r="B11" s="17">
        <v>6</v>
      </c>
      <c r="C11" s="18">
        <v>44202</v>
      </c>
      <c r="D11" s="19" t="s">
        <v>18</v>
      </c>
      <c r="E11" s="19" t="s">
        <v>192</v>
      </c>
      <c r="F11" s="35">
        <v>150</v>
      </c>
      <c r="G11" s="35">
        <v>100</v>
      </c>
      <c r="H11" s="35">
        <v>-50</v>
      </c>
      <c r="I11" s="20">
        <v>100</v>
      </c>
      <c r="J11" s="21">
        <f t="shared" si="0"/>
        <v>-5000</v>
      </c>
      <c r="K11" s="7"/>
      <c r="M11" s="191"/>
      <c r="N11" s="183"/>
      <c r="O11" s="183"/>
      <c r="P11" s="183"/>
      <c r="Q11" s="183"/>
      <c r="R11" s="179"/>
      <c r="V11" s="5">
        <f t="shared" si="4"/>
        <v>1</v>
      </c>
      <c r="W11" s="5">
        <f t="shared" si="3"/>
        <v>0</v>
      </c>
    </row>
    <row r="12" spans="1:23" ht="15" customHeight="1" x14ac:dyDescent="0.3">
      <c r="A12" s="6"/>
      <c r="B12" s="17">
        <v>7</v>
      </c>
      <c r="C12" s="18">
        <v>44203</v>
      </c>
      <c r="D12" s="19" t="s">
        <v>18</v>
      </c>
      <c r="E12" s="19" t="s">
        <v>192</v>
      </c>
      <c r="F12" s="35">
        <v>80</v>
      </c>
      <c r="G12" s="35">
        <v>130</v>
      </c>
      <c r="H12" s="35">
        <v>50</v>
      </c>
      <c r="I12" s="20">
        <v>100</v>
      </c>
      <c r="J12" s="21">
        <f t="shared" si="0"/>
        <v>5000</v>
      </c>
      <c r="K12" s="7"/>
      <c r="M12" s="126" t="s">
        <v>20</v>
      </c>
      <c r="N12" s="127"/>
      <c r="O12" s="128"/>
      <c r="P12" s="135">
        <f>R10</f>
        <v>0.84090909090909094</v>
      </c>
      <c r="Q12" s="136"/>
      <c r="R12" s="137"/>
      <c r="V12" s="5">
        <f t="shared" si="4"/>
        <v>1</v>
      </c>
      <c r="W12" s="5">
        <f t="shared" si="3"/>
        <v>0</v>
      </c>
    </row>
    <row r="13" spans="1:23" ht="15" customHeight="1" x14ac:dyDescent="0.3">
      <c r="A13" s="6"/>
      <c r="B13" s="17">
        <v>8</v>
      </c>
      <c r="C13" s="18">
        <v>44204</v>
      </c>
      <c r="D13" s="19" t="s">
        <v>18</v>
      </c>
      <c r="E13" s="19" t="s">
        <v>193</v>
      </c>
      <c r="F13" s="35">
        <v>180</v>
      </c>
      <c r="G13" s="35">
        <v>170</v>
      </c>
      <c r="H13" s="35">
        <v>-10</v>
      </c>
      <c r="I13" s="20">
        <v>100</v>
      </c>
      <c r="J13" s="21">
        <f t="shared" si="0"/>
        <v>-1000</v>
      </c>
      <c r="K13" s="7"/>
      <c r="M13" s="129"/>
      <c r="N13" s="130"/>
      <c r="O13" s="131"/>
      <c r="P13" s="138"/>
      <c r="Q13" s="139"/>
      <c r="R13" s="140"/>
      <c r="V13" s="5">
        <f t="shared" si="4"/>
        <v>0</v>
      </c>
      <c r="W13" s="5">
        <f t="shared" si="3"/>
        <v>1</v>
      </c>
    </row>
    <row r="14" spans="1:23" ht="15.75" customHeight="1" thickBot="1" x14ac:dyDescent="0.35">
      <c r="A14" s="6"/>
      <c r="B14" s="17">
        <v>9</v>
      </c>
      <c r="C14" s="18">
        <v>44207</v>
      </c>
      <c r="D14" s="19" t="s">
        <v>18</v>
      </c>
      <c r="E14" s="19" t="s">
        <v>195</v>
      </c>
      <c r="F14" s="35">
        <v>170</v>
      </c>
      <c r="G14" s="35">
        <v>270</v>
      </c>
      <c r="H14" s="35">
        <v>100</v>
      </c>
      <c r="I14" s="20">
        <v>100</v>
      </c>
      <c r="J14" s="21">
        <f t="shared" ref="J14:J15" si="5">H14*I14</f>
        <v>10000</v>
      </c>
      <c r="K14" s="7"/>
      <c r="M14" s="132"/>
      <c r="N14" s="133"/>
      <c r="O14" s="134"/>
      <c r="P14" s="141"/>
      <c r="Q14" s="142"/>
      <c r="R14" s="143"/>
      <c r="V14" s="5">
        <f t="shared" si="4"/>
        <v>1</v>
      </c>
      <c r="W14" s="5">
        <f t="shared" si="3"/>
        <v>0</v>
      </c>
    </row>
    <row r="15" spans="1:23" x14ac:dyDescent="0.3">
      <c r="A15" s="6"/>
      <c r="B15" s="17">
        <v>10</v>
      </c>
      <c r="C15" s="18">
        <v>44207</v>
      </c>
      <c r="D15" s="19" t="s">
        <v>18</v>
      </c>
      <c r="E15" s="19" t="s">
        <v>196</v>
      </c>
      <c r="F15" s="35">
        <v>170</v>
      </c>
      <c r="G15" s="35">
        <v>211</v>
      </c>
      <c r="H15" s="35">
        <v>41</v>
      </c>
      <c r="I15" s="20">
        <v>100</v>
      </c>
      <c r="J15" s="21">
        <f t="shared" si="5"/>
        <v>4100</v>
      </c>
      <c r="K15" s="7"/>
      <c r="V15" s="5">
        <f t="shared" si="4"/>
        <v>0</v>
      </c>
      <c r="W15" s="5">
        <f t="shared" si="3"/>
        <v>1</v>
      </c>
    </row>
    <row r="16" spans="1:23" x14ac:dyDescent="0.3">
      <c r="A16" s="6"/>
      <c r="B16" s="17">
        <v>11</v>
      </c>
      <c r="C16" s="18">
        <v>44208</v>
      </c>
      <c r="D16" s="19" t="s">
        <v>18</v>
      </c>
      <c r="E16" s="19" t="s">
        <v>197</v>
      </c>
      <c r="F16" s="35">
        <v>160</v>
      </c>
      <c r="G16" s="35">
        <v>228</v>
      </c>
      <c r="H16" s="35">
        <v>68</v>
      </c>
      <c r="I16" s="20">
        <v>100</v>
      </c>
      <c r="J16" s="21">
        <f t="shared" ref="J16:J83" si="6">H16*I16</f>
        <v>6800</v>
      </c>
      <c r="K16" s="7"/>
      <c r="V16" s="5">
        <f t="shared" ref="V16" si="7">IF($J16&gt;0,1,0)</f>
        <v>1</v>
      </c>
      <c r="W16" s="5">
        <f t="shared" ref="W16" si="8">IF($J16&lt;0,1,0)</f>
        <v>0</v>
      </c>
    </row>
    <row r="17" spans="1:23" x14ac:dyDescent="0.3">
      <c r="A17" s="6"/>
      <c r="B17" s="17">
        <v>12</v>
      </c>
      <c r="C17" s="18">
        <v>44208</v>
      </c>
      <c r="D17" s="19" t="s">
        <v>18</v>
      </c>
      <c r="E17" s="19" t="s">
        <v>198</v>
      </c>
      <c r="F17" s="35">
        <v>180</v>
      </c>
      <c r="G17" s="35">
        <v>280</v>
      </c>
      <c r="H17" s="35">
        <v>100</v>
      </c>
      <c r="I17" s="20">
        <v>100</v>
      </c>
      <c r="J17" s="21">
        <f t="shared" si="6"/>
        <v>10000</v>
      </c>
      <c r="K17" s="7"/>
      <c r="V17" s="5">
        <f>IF($J17&gt;0,1,0)</f>
        <v>1</v>
      </c>
      <c r="W17" s="5">
        <f>IF($J17&lt;0,1,0)</f>
        <v>0</v>
      </c>
    </row>
    <row r="18" spans="1:23" hidden="1" x14ac:dyDescent="0.3">
      <c r="A18" s="6"/>
      <c r="B18" s="17">
        <v>13</v>
      </c>
      <c r="C18" s="18"/>
      <c r="D18" s="19"/>
      <c r="E18" s="19"/>
      <c r="F18" s="35"/>
      <c r="G18" s="35"/>
      <c r="H18" s="35"/>
      <c r="I18" s="20"/>
      <c r="J18" s="21">
        <f t="shared" si="6"/>
        <v>0</v>
      </c>
      <c r="K18" s="7"/>
      <c r="V18" s="5">
        <f t="shared" ref="V18:V83" si="9">IF($J18&gt;0,1,0)</f>
        <v>0</v>
      </c>
      <c r="W18" s="5">
        <f t="shared" ref="W18:W84" si="10">IF($J18&lt;0,1,0)</f>
        <v>0</v>
      </c>
    </row>
    <row r="19" spans="1:23" hidden="1" x14ac:dyDescent="0.3">
      <c r="A19" s="6"/>
      <c r="B19" s="17">
        <v>14</v>
      </c>
      <c r="C19" s="18"/>
      <c r="D19" s="19"/>
      <c r="E19" s="19"/>
      <c r="F19" s="35"/>
      <c r="G19" s="35"/>
      <c r="H19" s="35"/>
      <c r="I19" s="20"/>
      <c r="J19" s="21">
        <f t="shared" si="6"/>
        <v>0</v>
      </c>
      <c r="K19" s="7"/>
      <c r="V19" s="5">
        <f t="shared" si="9"/>
        <v>0</v>
      </c>
      <c r="W19" s="5">
        <f t="shared" si="10"/>
        <v>0</v>
      </c>
    </row>
    <row r="20" spans="1:23" hidden="1" x14ac:dyDescent="0.3">
      <c r="A20" s="6"/>
      <c r="B20" s="17">
        <v>15</v>
      </c>
      <c r="C20" s="18"/>
      <c r="D20" s="19"/>
      <c r="E20" s="19"/>
      <c r="F20" s="35"/>
      <c r="G20" s="35"/>
      <c r="H20" s="35"/>
      <c r="I20" s="20"/>
      <c r="J20" s="21">
        <f t="shared" si="6"/>
        <v>0</v>
      </c>
      <c r="K20" s="7"/>
      <c r="V20" s="5">
        <f t="shared" si="9"/>
        <v>0</v>
      </c>
      <c r="W20" s="5">
        <f t="shared" si="10"/>
        <v>0</v>
      </c>
    </row>
    <row r="21" spans="1:23" hidden="1" x14ac:dyDescent="0.3">
      <c r="A21" s="6"/>
      <c r="B21" s="17">
        <v>16</v>
      </c>
      <c r="C21" s="18"/>
      <c r="D21" s="19"/>
      <c r="E21" s="19"/>
      <c r="F21" s="35"/>
      <c r="G21" s="35"/>
      <c r="H21" s="35"/>
      <c r="I21" s="20"/>
      <c r="J21" s="21">
        <f t="shared" si="6"/>
        <v>0</v>
      </c>
      <c r="K21" s="7"/>
      <c r="O21" s="22"/>
      <c r="P21" s="22"/>
      <c r="Q21" s="22"/>
      <c r="R21" s="22"/>
      <c r="V21" s="5">
        <f t="shared" si="9"/>
        <v>0</v>
      </c>
      <c r="W21" s="5">
        <f t="shared" si="10"/>
        <v>0</v>
      </c>
    </row>
    <row r="22" spans="1:23" hidden="1" x14ac:dyDescent="0.3">
      <c r="A22" s="6"/>
      <c r="B22" s="17">
        <v>17</v>
      </c>
      <c r="C22" s="18"/>
      <c r="D22" s="19"/>
      <c r="E22" s="19"/>
      <c r="F22" s="35"/>
      <c r="G22" s="35"/>
      <c r="H22" s="35"/>
      <c r="I22" s="20"/>
      <c r="J22" s="21">
        <f t="shared" si="6"/>
        <v>0</v>
      </c>
      <c r="K22" s="7"/>
      <c r="V22" s="5">
        <f t="shared" si="9"/>
        <v>0</v>
      </c>
      <c r="W22" s="5">
        <f t="shared" si="10"/>
        <v>0</v>
      </c>
    </row>
    <row r="23" spans="1:23" hidden="1" x14ac:dyDescent="0.3">
      <c r="A23" s="6"/>
      <c r="B23" s="17">
        <v>18</v>
      </c>
      <c r="C23" s="18"/>
      <c r="D23" s="19"/>
      <c r="E23" s="19"/>
      <c r="F23" s="35"/>
      <c r="G23" s="35"/>
      <c r="H23" s="35"/>
      <c r="I23" s="20"/>
      <c r="J23" s="21">
        <f t="shared" si="6"/>
        <v>0</v>
      </c>
      <c r="K23" s="7"/>
      <c r="V23" s="5">
        <f t="shared" si="9"/>
        <v>0</v>
      </c>
      <c r="W23" s="5">
        <f t="shared" si="10"/>
        <v>0</v>
      </c>
    </row>
    <row r="24" spans="1:23" hidden="1" x14ac:dyDescent="0.3">
      <c r="A24" s="6"/>
      <c r="B24" s="17">
        <v>19</v>
      </c>
      <c r="C24" s="18"/>
      <c r="D24" s="19"/>
      <c r="E24" s="19"/>
      <c r="F24" s="35"/>
      <c r="G24" s="35"/>
      <c r="H24" s="35"/>
      <c r="I24" s="20"/>
      <c r="J24" s="21">
        <f t="shared" si="6"/>
        <v>0</v>
      </c>
      <c r="K24" s="7"/>
      <c r="V24" s="5">
        <f t="shared" si="9"/>
        <v>0</v>
      </c>
      <c r="W24" s="5">
        <f t="shared" si="10"/>
        <v>0</v>
      </c>
    </row>
    <row r="25" spans="1:23" hidden="1" x14ac:dyDescent="0.3">
      <c r="A25" s="6"/>
      <c r="B25" s="17">
        <v>20</v>
      </c>
      <c r="C25" s="18"/>
      <c r="D25" s="19"/>
      <c r="E25" s="19"/>
      <c r="F25" s="35"/>
      <c r="G25" s="35"/>
      <c r="H25" s="35"/>
      <c r="I25" s="20"/>
      <c r="J25" s="21">
        <f t="shared" si="6"/>
        <v>0</v>
      </c>
      <c r="K25" s="7"/>
      <c r="V25" s="5">
        <f t="shared" si="9"/>
        <v>0</v>
      </c>
      <c r="W25" s="5">
        <f t="shared" si="10"/>
        <v>0</v>
      </c>
    </row>
    <row r="26" spans="1:23" hidden="1" x14ac:dyDescent="0.3">
      <c r="A26" s="6"/>
      <c r="B26" s="17">
        <v>21</v>
      </c>
      <c r="C26" s="18"/>
      <c r="D26" s="19"/>
      <c r="E26" s="19"/>
      <c r="F26" s="35"/>
      <c r="G26" s="35"/>
      <c r="H26" s="35"/>
      <c r="I26" s="20"/>
      <c r="J26" s="21">
        <f t="shared" si="6"/>
        <v>0</v>
      </c>
      <c r="K26" s="7"/>
      <c r="V26" s="5">
        <f t="shared" si="9"/>
        <v>0</v>
      </c>
      <c r="W26" s="5">
        <f t="shared" si="10"/>
        <v>0</v>
      </c>
    </row>
    <row r="27" spans="1:23" hidden="1" x14ac:dyDescent="0.3">
      <c r="A27" s="6"/>
      <c r="B27" s="17">
        <v>22</v>
      </c>
      <c r="C27" s="18"/>
      <c r="D27" s="19"/>
      <c r="E27" s="19"/>
      <c r="F27" s="35"/>
      <c r="G27" s="35"/>
      <c r="H27" s="19"/>
      <c r="I27" s="20"/>
      <c r="J27" s="21">
        <f t="shared" si="6"/>
        <v>0</v>
      </c>
      <c r="K27" s="7"/>
      <c r="V27" s="5">
        <f t="shared" si="9"/>
        <v>0</v>
      </c>
      <c r="W27" s="5">
        <f t="shared" si="10"/>
        <v>0</v>
      </c>
    </row>
    <row r="28" spans="1:23" hidden="1" x14ac:dyDescent="0.3">
      <c r="A28" s="6"/>
      <c r="B28" s="17">
        <v>23</v>
      </c>
      <c r="C28" s="18"/>
      <c r="D28" s="19"/>
      <c r="E28" s="19"/>
      <c r="F28" s="35"/>
      <c r="G28" s="35"/>
      <c r="H28" s="19"/>
      <c r="I28" s="20"/>
      <c r="J28" s="21">
        <f t="shared" si="6"/>
        <v>0</v>
      </c>
      <c r="K28" s="7"/>
      <c r="V28" s="5">
        <f t="shared" si="9"/>
        <v>0</v>
      </c>
      <c r="W28" s="5">
        <f t="shared" si="10"/>
        <v>0</v>
      </c>
    </row>
    <row r="29" spans="1:23" hidden="1" x14ac:dyDescent="0.3">
      <c r="A29" s="6"/>
      <c r="B29" s="17">
        <v>24</v>
      </c>
      <c r="C29" s="18"/>
      <c r="D29" s="19"/>
      <c r="E29" s="19"/>
      <c r="F29" s="20"/>
      <c r="G29" s="20"/>
      <c r="H29" s="19"/>
      <c r="I29" s="20"/>
      <c r="J29" s="21">
        <f t="shared" si="6"/>
        <v>0</v>
      </c>
      <c r="K29" s="7"/>
      <c r="V29" s="5">
        <f t="shared" si="9"/>
        <v>0</v>
      </c>
      <c r="W29" s="5">
        <f t="shared" si="10"/>
        <v>0</v>
      </c>
    </row>
    <row r="30" spans="1:23" x14ac:dyDescent="0.3">
      <c r="A30" s="6"/>
      <c r="B30" s="17">
        <v>25</v>
      </c>
      <c r="C30" s="24">
        <v>44209</v>
      </c>
      <c r="D30" s="25" t="s">
        <v>18</v>
      </c>
      <c r="E30" s="25" t="s">
        <v>199</v>
      </c>
      <c r="F30" s="26">
        <v>110</v>
      </c>
      <c r="G30" s="61">
        <v>60</v>
      </c>
      <c r="H30" s="61">
        <v>-40</v>
      </c>
      <c r="I30" s="26">
        <v>100</v>
      </c>
      <c r="J30" s="21">
        <f t="shared" si="6"/>
        <v>-4000</v>
      </c>
      <c r="K30" s="7"/>
      <c r="V30" s="5">
        <f t="shared" si="9"/>
        <v>0</v>
      </c>
      <c r="W30" s="5">
        <f t="shared" si="10"/>
        <v>1</v>
      </c>
    </row>
    <row r="31" spans="1:23" x14ac:dyDescent="0.3">
      <c r="A31" s="6"/>
      <c r="B31" s="17">
        <v>26</v>
      </c>
      <c r="C31" s="24">
        <v>44209</v>
      </c>
      <c r="D31" s="25" t="s">
        <v>18</v>
      </c>
      <c r="E31" s="25" t="s">
        <v>200</v>
      </c>
      <c r="F31" s="26">
        <v>140</v>
      </c>
      <c r="G31" s="61">
        <v>90</v>
      </c>
      <c r="H31" s="61">
        <v>-40</v>
      </c>
      <c r="I31" s="26">
        <v>100</v>
      </c>
      <c r="J31" s="21">
        <f t="shared" si="6"/>
        <v>-4000</v>
      </c>
      <c r="K31" s="7"/>
      <c r="V31" s="5">
        <f t="shared" si="9"/>
        <v>0</v>
      </c>
      <c r="W31" s="5">
        <f t="shared" si="10"/>
        <v>1</v>
      </c>
    </row>
    <row r="32" spans="1:23" x14ac:dyDescent="0.3">
      <c r="A32" s="6"/>
      <c r="B32" s="17">
        <v>27</v>
      </c>
      <c r="C32" s="24">
        <v>44214</v>
      </c>
      <c r="D32" s="25" t="s">
        <v>18</v>
      </c>
      <c r="E32" s="25" t="s">
        <v>202</v>
      </c>
      <c r="F32" s="26">
        <v>210</v>
      </c>
      <c r="G32" s="61">
        <v>160</v>
      </c>
      <c r="H32" s="61">
        <v>-40</v>
      </c>
      <c r="I32" s="26">
        <v>100</v>
      </c>
      <c r="J32" s="21">
        <f t="shared" si="6"/>
        <v>-4000</v>
      </c>
      <c r="K32" s="7"/>
      <c r="V32" s="5">
        <f t="shared" si="9"/>
        <v>0</v>
      </c>
      <c r="W32" s="5">
        <f t="shared" si="10"/>
        <v>1</v>
      </c>
    </row>
    <row r="33" spans="1:23" x14ac:dyDescent="0.3">
      <c r="A33" s="6"/>
      <c r="B33" s="17">
        <v>28</v>
      </c>
      <c r="C33" s="24">
        <v>44214</v>
      </c>
      <c r="D33" s="25" t="s">
        <v>18</v>
      </c>
      <c r="E33" s="25" t="s">
        <v>203</v>
      </c>
      <c r="F33" s="26">
        <v>210</v>
      </c>
      <c r="G33" s="61">
        <v>304</v>
      </c>
      <c r="H33" s="61">
        <v>94</v>
      </c>
      <c r="I33" s="26">
        <v>100</v>
      </c>
      <c r="J33" s="21">
        <f t="shared" si="6"/>
        <v>9400</v>
      </c>
      <c r="K33" s="7"/>
      <c r="V33" s="5">
        <f t="shared" si="9"/>
        <v>1</v>
      </c>
      <c r="W33" s="5">
        <f t="shared" si="10"/>
        <v>0</v>
      </c>
    </row>
    <row r="34" spans="1:23" x14ac:dyDescent="0.3">
      <c r="A34" s="6"/>
      <c r="B34" s="17">
        <v>29</v>
      </c>
      <c r="C34" s="24">
        <v>44215</v>
      </c>
      <c r="D34" s="25" t="s">
        <v>18</v>
      </c>
      <c r="E34" s="25" t="s">
        <v>193</v>
      </c>
      <c r="F34" s="26">
        <v>150</v>
      </c>
      <c r="G34" s="61">
        <v>200</v>
      </c>
      <c r="H34" s="61">
        <v>50</v>
      </c>
      <c r="I34" s="26">
        <v>100</v>
      </c>
      <c r="J34" s="21">
        <f t="shared" si="6"/>
        <v>5000</v>
      </c>
      <c r="K34" s="7"/>
      <c r="V34" s="5">
        <f t="shared" si="9"/>
        <v>1</v>
      </c>
      <c r="W34" s="5">
        <f t="shared" si="10"/>
        <v>0</v>
      </c>
    </row>
    <row r="35" spans="1:23" x14ac:dyDescent="0.3">
      <c r="A35" s="6"/>
      <c r="B35" s="17">
        <v>30</v>
      </c>
      <c r="C35" s="24">
        <v>44215</v>
      </c>
      <c r="D35" s="25" t="s">
        <v>18</v>
      </c>
      <c r="E35" s="25" t="s">
        <v>196</v>
      </c>
      <c r="F35" s="26">
        <v>170</v>
      </c>
      <c r="G35" s="61">
        <v>270</v>
      </c>
      <c r="H35" s="61">
        <v>100</v>
      </c>
      <c r="I35" s="26">
        <v>100</v>
      </c>
      <c r="J35" s="21">
        <f t="shared" si="6"/>
        <v>10000</v>
      </c>
      <c r="K35" s="7"/>
      <c r="V35" s="5">
        <f t="shared" si="9"/>
        <v>1</v>
      </c>
      <c r="W35" s="5">
        <f t="shared" si="10"/>
        <v>0</v>
      </c>
    </row>
    <row r="36" spans="1:23" x14ac:dyDescent="0.3">
      <c r="A36" s="6"/>
      <c r="B36" s="17">
        <v>31</v>
      </c>
      <c r="C36" s="24">
        <v>44216</v>
      </c>
      <c r="D36" s="25" t="s">
        <v>18</v>
      </c>
      <c r="E36" s="25" t="s">
        <v>193</v>
      </c>
      <c r="F36" s="26">
        <v>140</v>
      </c>
      <c r="G36" s="61">
        <v>178</v>
      </c>
      <c r="H36" s="61">
        <v>38</v>
      </c>
      <c r="I36" s="26">
        <v>100</v>
      </c>
      <c r="J36" s="21">
        <f t="shared" si="6"/>
        <v>3800</v>
      </c>
      <c r="K36" s="7"/>
      <c r="V36" s="5">
        <f t="shared" si="9"/>
        <v>1</v>
      </c>
      <c r="W36" s="5">
        <f t="shared" si="10"/>
        <v>0</v>
      </c>
    </row>
    <row r="37" spans="1:23" x14ac:dyDescent="0.3">
      <c r="A37" s="6"/>
      <c r="B37" s="17">
        <v>32</v>
      </c>
      <c r="C37" s="24">
        <v>44216</v>
      </c>
      <c r="D37" s="25" t="s">
        <v>18</v>
      </c>
      <c r="E37" s="25" t="s">
        <v>193</v>
      </c>
      <c r="F37" s="26">
        <v>130</v>
      </c>
      <c r="G37" s="61">
        <v>150</v>
      </c>
      <c r="H37" s="61">
        <v>20</v>
      </c>
      <c r="I37" s="26">
        <v>100</v>
      </c>
      <c r="J37" s="21">
        <f t="shared" si="6"/>
        <v>2000</v>
      </c>
      <c r="K37" s="7"/>
      <c r="V37" s="5">
        <f t="shared" si="9"/>
        <v>1</v>
      </c>
      <c r="W37" s="5">
        <f t="shared" si="10"/>
        <v>0</v>
      </c>
    </row>
    <row r="38" spans="1:23" x14ac:dyDescent="0.3">
      <c r="A38" s="6"/>
      <c r="B38" s="17">
        <v>33</v>
      </c>
      <c r="C38" s="24">
        <v>44217</v>
      </c>
      <c r="D38" s="25" t="s">
        <v>18</v>
      </c>
      <c r="E38" s="25" t="s">
        <v>200</v>
      </c>
      <c r="F38" s="26">
        <v>50</v>
      </c>
      <c r="G38" s="61">
        <v>86</v>
      </c>
      <c r="H38" s="61">
        <v>36</v>
      </c>
      <c r="I38" s="26">
        <v>100</v>
      </c>
      <c r="J38" s="21">
        <f t="shared" si="6"/>
        <v>3600</v>
      </c>
      <c r="K38" s="7"/>
      <c r="V38" s="5">
        <f t="shared" si="9"/>
        <v>1</v>
      </c>
      <c r="W38" s="5">
        <f t="shared" si="10"/>
        <v>0</v>
      </c>
    </row>
    <row r="39" spans="1:23" x14ac:dyDescent="0.3">
      <c r="A39" s="6"/>
      <c r="B39" s="17">
        <v>34</v>
      </c>
      <c r="C39" s="24">
        <v>44217</v>
      </c>
      <c r="D39" s="25" t="s">
        <v>18</v>
      </c>
      <c r="E39" s="25" t="s">
        <v>208</v>
      </c>
      <c r="F39" s="26">
        <v>70</v>
      </c>
      <c r="G39" s="61">
        <v>50</v>
      </c>
      <c r="H39" s="61">
        <v>-20</v>
      </c>
      <c r="I39" s="26">
        <v>100</v>
      </c>
      <c r="J39" s="21">
        <f t="shared" si="6"/>
        <v>-2000</v>
      </c>
      <c r="K39" s="7"/>
      <c r="V39" s="5">
        <f t="shared" si="9"/>
        <v>0</v>
      </c>
      <c r="W39" s="5">
        <f t="shared" si="10"/>
        <v>1</v>
      </c>
    </row>
    <row r="40" spans="1:23" x14ac:dyDescent="0.3">
      <c r="A40" s="6"/>
      <c r="B40" s="17">
        <v>35</v>
      </c>
      <c r="C40" s="24">
        <v>44218</v>
      </c>
      <c r="D40" s="25" t="s">
        <v>18</v>
      </c>
      <c r="E40" s="25" t="s">
        <v>209</v>
      </c>
      <c r="F40" s="26">
        <v>190</v>
      </c>
      <c r="G40" s="61">
        <v>290</v>
      </c>
      <c r="H40" s="61">
        <v>100</v>
      </c>
      <c r="I40" s="26">
        <v>100</v>
      </c>
      <c r="J40" s="21">
        <f t="shared" si="6"/>
        <v>10000</v>
      </c>
      <c r="K40" s="7"/>
      <c r="V40" s="5">
        <f t="shared" si="9"/>
        <v>1</v>
      </c>
      <c r="W40" s="5">
        <f t="shared" si="10"/>
        <v>0</v>
      </c>
    </row>
    <row r="41" spans="1:23" x14ac:dyDescent="0.3">
      <c r="A41" s="6"/>
      <c r="B41" s="17">
        <v>36</v>
      </c>
      <c r="C41" s="24">
        <v>44221</v>
      </c>
      <c r="D41" s="25" t="s">
        <v>18</v>
      </c>
      <c r="E41" s="25" t="s">
        <v>210</v>
      </c>
      <c r="F41" s="26">
        <v>200</v>
      </c>
      <c r="G41" s="61">
        <v>300</v>
      </c>
      <c r="H41" s="61">
        <v>100</v>
      </c>
      <c r="I41" s="26">
        <v>100</v>
      </c>
      <c r="J41" s="21">
        <f t="shared" si="6"/>
        <v>10000</v>
      </c>
      <c r="K41" s="7"/>
      <c r="V41" s="5">
        <f t="shared" si="9"/>
        <v>1</v>
      </c>
      <c r="W41" s="5">
        <f t="shared" si="10"/>
        <v>0</v>
      </c>
    </row>
    <row r="42" spans="1:23" x14ac:dyDescent="0.3">
      <c r="A42" s="6"/>
      <c r="B42" s="17">
        <v>37</v>
      </c>
      <c r="C42" s="24">
        <v>44221</v>
      </c>
      <c r="D42" s="25" t="s">
        <v>18</v>
      </c>
      <c r="E42" s="25" t="s">
        <v>211</v>
      </c>
      <c r="F42" s="26">
        <v>170</v>
      </c>
      <c r="G42" s="61">
        <v>184</v>
      </c>
      <c r="H42" s="61">
        <v>14</v>
      </c>
      <c r="I42" s="26">
        <v>100</v>
      </c>
      <c r="J42" s="21">
        <f t="shared" si="6"/>
        <v>1400</v>
      </c>
      <c r="K42" s="7"/>
      <c r="V42" s="5">
        <f t="shared" si="9"/>
        <v>1</v>
      </c>
      <c r="W42" s="5">
        <f t="shared" si="10"/>
        <v>0</v>
      </c>
    </row>
    <row r="43" spans="1:23" x14ac:dyDescent="0.3">
      <c r="A43" s="6"/>
      <c r="B43" s="17">
        <v>38</v>
      </c>
      <c r="C43" s="24">
        <v>44221</v>
      </c>
      <c r="D43" s="25" t="s">
        <v>18</v>
      </c>
      <c r="E43" s="25" t="s">
        <v>189</v>
      </c>
      <c r="F43" s="26">
        <v>150</v>
      </c>
      <c r="G43" s="61">
        <v>165</v>
      </c>
      <c r="H43" s="61">
        <v>15</v>
      </c>
      <c r="I43" s="26">
        <v>100</v>
      </c>
      <c r="J43" s="21">
        <f t="shared" si="6"/>
        <v>1500</v>
      </c>
      <c r="K43" s="7"/>
      <c r="V43" s="5">
        <f t="shared" si="9"/>
        <v>1</v>
      </c>
      <c r="W43" s="5">
        <f t="shared" si="10"/>
        <v>0</v>
      </c>
    </row>
    <row r="44" spans="1:23" x14ac:dyDescent="0.3">
      <c r="A44" s="6"/>
      <c r="B44" s="17">
        <v>39</v>
      </c>
      <c r="C44" s="24">
        <v>44222</v>
      </c>
      <c r="D44" s="25" t="s">
        <v>18</v>
      </c>
      <c r="E44" s="25" t="s">
        <v>189</v>
      </c>
      <c r="F44" s="26">
        <v>150</v>
      </c>
      <c r="G44" s="61">
        <v>205</v>
      </c>
      <c r="H44" s="61">
        <v>100</v>
      </c>
      <c r="I44" s="26">
        <v>100</v>
      </c>
      <c r="J44" s="21">
        <f t="shared" si="6"/>
        <v>10000</v>
      </c>
      <c r="K44" s="7"/>
      <c r="V44" s="5">
        <f t="shared" si="9"/>
        <v>1</v>
      </c>
      <c r="W44" s="5">
        <f t="shared" si="10"/>
        <v>0</v>
      </c>
    </row>
    <row r="45" spans="1:23" x14ac:dyDescent="0.3">
      <c r="A45" s="6"/>
      <c r="B45" s="17">
        <v>40</v>
      </c>
      <c r="C45" s="24">
        <v>44222</v>
      </c>
      <c r="D45" s="25" t="s">
        <v>18</v>
      </c>
      <c r="E45" s="25" t="s">
        <v>189</v>
      </c>
      <c r="F45" s="26">
        <v>180</v>
      </c>
      <c r="G45" s="61">
        <v>230</v>
      </c>
      <c r="H45" s="61">
        <v>50</v>
      </c>
      <c r="I45" s="26">
        <v>100</v>
      </c>
      <c r="J45" s="21">
        <f t="shared" si="6"/>
        <v>5000</v>
      </c>
      <c r="K45" s="7"/>
      <c r="V45" s="5">
        <f t="shared" si="9"/>
        <v>1</v>
      </c>
      <c r="W45" s="5">
        <f t="shared" si="10"/>
        <v>0</v>
      </c>
    </row>
    <row r="46" spans="1:23" x14ac:dyDescent="0.3">
      <c r="A46" s="6"/>
      <c r="B46" s="17">
        <v>41</v>
      </c>
      <c r="C46" s="24">
        <v>44224</v>
      </c>
      <c r="D46" s="25" t="s">
        <v>18</v>
      </c>
      <c r="E46" s="25" t="s">
        <v>218</v>
      </c>
      <c r="F46" s="26">
        <v>130</v>
      </c>
      <c r="G46" s="61">
        <v>147</v>
      </c>
      <c r="H46" s="61">
        <v>17</v>
      </c>
      <c r="I46" s="26">
        <v>100</v>
      </c>
      <c r="J46" s="21">
        <f t="shared" si="6"/>
        <v>1700</v>
      </c>
      <c r="K46" s="7"/>
      <c r="V46" s="5">
        <f t="shared" si="9"/>
        <v>1</v>
      </c>
      <c r="W46" s="5">
        <f t="shared" si="10"/>
        <v>0</v>
      </c>
    </row>
    <row r="47" spans="1:23" x14ac:dyDescent="0.3">
      <c r="A47" s="6"/>
      <c r="B47" s="17">
        <v>42</v>
      </c>
      <c r="C47" s="24">
        <v>44224</v>
      </c>
      <c r="D47" s="25" t="s">
        <v>18</v>
      </c>
      <c r="E47" s="25" t="s">
        <v>218</v>
      </c>
      <c r="F47" s="26">
        <v>120</v>
      </c>
      <c r="G47" s="61">
        <v>157</v>
      </c>
      <c r="H47" s="61">
        <v>37</v>
      </c>
      <c r="I47" s="26">
        <v>100</v>
      </c>
      <c r="J47" s="21">
        <f t="shared" si="6"/>
        <v>3700</v>
      </c>
      <c r="K47" s="7"/>
      <c r="V47" s="5">
        <f t="shared" si="9"/>
        <v>1</v>
      </c>
      <c r="W47" s="5">
        <f t="shared" si="10"/>
        <v>0</v>
      </c>
    </row>
    <row r="48" spans="1:23" x14ac:dyDescent="0.3">
      <c r="A48" s="6"/>
      <c r="B48" s="17">
        <v>43</v>
      </c>
      <c r="C48" s="24">
        <v>44225</v>
      </c>
      <c r="D48" s="25" t="s">
        <v>18</v>
      </c>
      <c r="E48" s="25" t="s">
        <v>220</v>
      </c>
      <c r="F48" s="26">
        <v>450</v>
      </c>
      <c r="G48" s="61">
        <v>480</v>
      </c>
      <c r="H48" s="61">
        <v>30</v>
      </c>
      <c r="I48" s="26">
        <v>100</v>
      </c>
      <c r="J48" s="21">
        <f t="shared" si="6"/>
        <v>3000</v>
      </c>
      <c r="K48" s="7"/>
      <c r="V48" s="5">
        <f t="shared" si="9"/>
        <v>1</v>
      </c>
      <c r="W48" s="5">
        <f t="shared" si="10"/>
        <v>0</v>
      </c>
    </row>
    <row r="49" spans="1:23" x14ac:dyDescent="0.3">
      <c r="A49" s="6"/>
      <c r="B49" s="17">
        <v>44</v>
      </c>
      <c r="C49" s="24"/>
      <c r="D49" s="25"/>
      <c r="E49" s="25"/>
      <c r="F49" s="26"/>
      <c r="G49" s="61"/>
      <c r="H49" s="61"/>
      <c r="I49" s="26"/>
      <c r="J49" s="21">
        <f t="shared" si="6"/>
        <v>0</v>
      </c>
      <c r="K49" s="7"/>
      <c r="V49" s="5">
        <f t="shared" si="9"/>
        <v>0</v>
      </c>
      <c r="W49" s="5">
        <f t="shared" si="10"/>
        <v>0</v>
      </c>
    </row>
    <row r="50" spans="1:23" x14ac:dyDescent="0.3">
      <c r="A50" s="6"/>
      <c r="B50" s="17">
        <v>45</v>
      </c>
      <c r="C50" s="24"/>
      <c r="D50" s="25"/>
      <c r="E50" s="25"/>
      <c r="F50" s="26"/>
      <c r="G50" s="61"/>
      <c r="H50" s="61"/>
      <c r="I50" s="26"/>
      <c r="J50" s="21">
        <f t="shared" si="6"/>
        <v>0</v>
      </c>
      <c r="K50" s="7"/>
      <c r="V50" s="5">
        <f t="shared" si="9"/>
        <v>0</v>
      </c>
      <c r="W50" s="5">
        <f t="shared" si="10"/>
        <v>0</v>
      </c>
    </row>
    <row r="51" spans="1:23" x14ac:dyDescent="0.3">
      <c r="A51" s="6"/>
      <c r="B51" s="17">
        <v>46</v>
      </c>
      <c r="C51" s="24"/>
      <c r="D51" s="25"/>
      <c r="E51" s="25"/>
      <c r="F51" s="26"/>
      <c r="G51" s="61"/>
      <c r="H51" s="61"/>
      <c r="I51" s="26"/>
      <c r="J51" s="21">
        <f t="shared" si="6"/>
        <v>0</v>
      </c>
      <c r="K51" s="7"/>
      <c r="V51" s="5">
        <f t="shared" si="9"/>
        <v>0</v>
      </c>
      <c r="W51" s="5">
        <f t="shared" si="10"/>
        <v>0</v>
      </c>
    </row>
    <row r="52" spans="1:23" ht="15" thickBot="1" x14ac:dyDescent="0.35">
      <c r="A52" s="6"/>
      <c r="B52" s="17">
        <v>47</v>
      </c>
      <c r="C52" s="24"/>
      <c r="D52" s="25"/>
      <c r="E52" s="25"/>
      <c r="F52" s="26"/>
      <c r="G52" s="61"/>
      <c r="H52" s="61"/>
      <c r="I52" s="26"/>
      <c r="J52" s="21">
        <f t="shared" si="6"/>
        <v>0</v>
      </c>
      <c r="K52" s="7"/>
      <c r="V52" s="5">
        <f t="shared" si="9"/>
        <v>0</v>
      </c>
      <c r="W52" s="5">
        <f t="shared" si="10"/>
        <v>0</v>
      </c>
    </row>
    <row r="53" spans="1:23" ht="15" hidden="1" thickBot="1" x14ac:dyDescent="0.35">
      <c r="A53" s="6"/>
      <c r="B53" s="23">
        <v>34</v>
      </c>
      <c r="C53" s="24"/>
      <c r="D53" s="25"/>
      <c r="E53" s="25"/>
      <c r="F53" s="26"/>
      <c r="G53" s="61"/>
      <c r="H53" s="61"/>
      <c r="I53" s="26"/>
      <c r="J53" s="21">
        <f t="shared" si="6"/>
        <v>0</v>
      </c>
      <c r="K53" s="7"/>
      <c r="V53" s="5">
        <f t="shared" si="9"/>
        <v>0</v>
      </c>
      <c r="W53" s="5">
        <f t="shared" si="10"/>
        <v>0</v>
      </c>
    </row>
    <row r="54" spans="1:23" ht="15" hidden="1" thickBot="1" x14ac:dyDescent="0.35">
      <c r="A54" s="6"/>
      <c r="B54" s="23">
        <v>35</v>
      </c>
      <c r="C54" s="24"/>
      <c r="D54" s="25"/>
      <c r="E54" s="25"/>
      <c r="F54" s="26"/>
      <c r="G54" s="61"/>
      <c r="H54" s="61"/>
      <c r="I54" s="26"/>
      <c r="J54" s="21">
        <f t="shared" si="6"/>
        <v>0</v>
      </c>
      <c r="K54" s="7"/>
      <c r="V54" s="5">
        <f t="shared" si="9"/>
        <v>0</v>
      </c>
      <c r="W54" s="5">
        <f t="shared" si="10"/>
        <v>0</v>
      </c>
    </row>
    <row r="55" spans="1:23" ht="15" hidden="1" thickBot="1" x14ac:dyDescent="0.35">
      <c r="A55" s="6"/>
      <c r="B55" s="23">
        <v>36</v>
      </c>
      <c r="C55" s="24"/>
      <c r="D55" s="25"/>
      <c r="E55" s="25"/>
      <c r="F55" s="26"/>
      <c r="G55" s="61"/>
      <c r="H55" s="61"/>
      <c r="I55" s="26"/>
      <c r="J55" s="21">
        <f t="shared" si="6"/>
        <v>0</v>
      </c>
      <c r="K55" s="7"/>
      <c r="V55" s="5">
        <f t="shared" si="9"/>
        <v>0</v>
      </c>
      <c r="W55" s="5">
        <f t="shared" si="10"/>
        <v>0</v>
      </c>
    </row>
    <row r="56" spans="1:23" ht="15" hidden="1" thickBot="1" x14ac:dyDescent="0.35">
      <c r="A56" s="6"/>
      <c r="B56" s="23">
        <v>37</v>
      </c>
      <c r="C56" s="24"/>
      <c r="D56" s="25"/>
      <c r="E56" s="25"/>
      <c r="F56" s="26"/>
      <c r="G56" s="61"/>
      <c r="H56" s="61"/>
      <c r="I56" s="26"/>
      <c r="J56" s="21">
        <f t="shared" si="6"/>
        <v>0</v>
      </c>
      <c r="K56" s="7"/>
      <c r="V56" s="5">
        <f t="shared" si="9"/>
        <v>0</v>
      </c>
      <c r="W56" s="5">
        <f t="shared" si="10"/>
        <v>0</v>
      </c>
    </row>
    <row r="57" spans="1:23" ht="15" hidden="1" thickBot="1" x14ac:dyDescent="0.35">
      <c r="A57" s="6"/>
      <c r="B57" s="23">
        <v>38</v>
      </c>
      <c r="C57" s="24"/>
      <c r="D57" s="25"/>
      <c r="E57" s="25"/>
      <c r="F57" s="26"/>
      <c r="G57" s="61"/>
      <c r="H57" s="61"/>
      <c r="I57" s="26"/>
      <c r="J57" s="21">
        <f t="shared" si="6"/>
        <v>0</v>
      </c>
      <c r="K57" s="7"/>
      <c r="V57" s="5">
        <f t="shared" si="9"/>
        <v>0</v>
      </c>
      <c r="W57" s="5">
        <f t="shared" si="10"/>
        <v>0</v>
      </c>
    </row>
    <row r="58" spans="1:23" ht="15" hidden="1" thickBot="1" x14ac:dyDescent="0.35">
      <c r="A58" s="6"/>
      <c r="B58" s="23">
        <v>39</v>
      </c>
      <c r="C58" s="24"/>
      <c r="D58" s="25"/>
      <c r="E58" s="25"/>
      <c r="F58" s="26"/>
      <c r="G58" s="61"/>
      <c r="H58" s="61"/>
      <c r="I58" s="26"/>
      <c r="J58" s="21">
        <f t="shared" si="6"/>
        <v>0</v>
      </c>
      <c r="K58" s="7"/>
      <c r="V58" s="5">
        <f t="shared" si="9"/>
        <v>0</v>
      </c>
      <c r="W58" s="5">
        <f t="shared" si="10"/>
        <v>0</v>
      </c>
    </row>
    <row r="59" spans="1:23" ht="15" hidden="1" thickBot="1" x14ac:dyDescent="0.35">
      <c r="A59" s="6"/>
      <c r="B59" s="23">
        <v>40</v>
      </c>
      <c r="C59" s="24"/>
      <c r="D59" s="25"/>
      <c r="E59" s="25"/>
      <c r="F59" s="26"/>
      <c r="G59" s="61"/>
      <c r="H59" s="61"/>
      <c r="I59" s="26"/>
      <c r="J59" s="21">
        <f t="shared" si="6"/>
        <v>0</v>
      </c>
      <c r="K59" s="7"/>
      <c r="V59" s="5">
        <f t="shared" si="9"/>
        <v>0</v>
      </c>
      <c r="W59" s="5">
        <f t="shared" si="10"/>
        <v>0</v>
      </c>
    </row>
    <row r="60" spans="1:23" ht="15" hidden="1" thickBot="1" x14ac:dyDescent="0.35">
      <c r="A60" s="6"/>
      <c r="B60" s="23">
        <v>41</v>
      </c>
      <c r="C60" s="24"/>
      <c r="D60" s="25"/>
      <c r="E60" s="25"/>
      <c r="F60" s="26"/>
      <c r="G60" s="61"/>
      <c r="H60" s="61"/>
      <c r="I60" s="26"/>
      <c r="J60" s="21">
        <f t="shared" si="6"/>
        <v>0</v>
      </c>
      <c r="K60" s="7"/>
      <c r="V60" s="5">
        <f t="shared" si="9"/>
        <v>0</v>
      </c>
      <c r="W60" s="5">
        <f t="shared" si="10"/>
        <v>0</v>
      </c>
    </row>
    <row r="61" spans="1:23" ht="15" hidden="1" thickBot="1" x14ac:dyDescent="0.35">
      <c r="A61" s="6"/>
      <c r="B61" s="23">
        <v>42</v>
      </c>
      <c r="C61" s="24"/>
      <c r="D61" s="25"/>
      <c r="E61" s="25"/>
      <c r="F61" s="26"/>
      <c r="G61" s="61"/>
      <c r="H61" s="61"/>
      <c r="I61" s="26"/>
      <c r="J61" s="21">
        <f t="shared" si="6"/>
        <v>0</v>
      </c>
      <c r="K61" s="7"/>
      <c r="V61" s="5">
        <f t="shared" si="9"/>
        <v>0</v>
      </c>
      <c r="W61" s="5">
        <f t="shared" si="10"/>
        <v>0</v>
      </c>
    </row>
    <row r="62" spans="1:23" ht="15" hidden="1" thickBot="1" x14ac:dyDescent="0.35">
      <c r="A62" s="6"/>
      <c r="B62" s="23">
        <v>43</v>
      </c>
      <c r="C62" s="24"/>
      <c r="D62" s="25"/>
      <c r="E62" s="25"/>
      <c r="F62" s="26"/>
      <c r="G62" s="61"/>
      <c r="H62" s="61"/>
      <c r="I62" s="26"/>
      <c r="J62" s="21">
        <f t="shared" si="6"/>
        <v>0</v>
      </c>
      <c r="K62" s="7"/>
      <c r="V62" s="5">
        <f t="shared" si="9"/>
        <v>0</v>
      </c>
      <c r="W62" s="5">
        <f t="shared" si="10"/>
        <v>0</v>
      </c>
    </row>
    <row r="63" spans="1:23" ht="15" hidden="1" thickBot="1" x14ac:dyDescent="0.35">
      <c r="A63" s="6"/>
      <c r="B63" s="23">
        <v>44</v>
      </c>
      <c r="C63" s="24"/>
      <c r="D63" s="25"/>
      <c r="E63" s="25"/>
      <c r="F63" s="26"/>
      <c r="G63" s="61"/>
      <c r="H63" s="61"/>
      <c r="I63" s="26"/>
      <c r="J63" s="21">
        <f t="shared" si="6"/>
        <v>0</v>
      </c>
      <c r="K63" s="7"/>
      <c r="V63" s="5">
        <f t="shared" si="9"/>
        <v>0</v>
      </c>
      <c r="W63" s="5">
        <f t="shared" si="10"/>
        <v>0</v>
      </c>
    </row>
    <row r="64" spans="1:23" ht="15" hidden="1" thickBot="1" x14ac:dyDescent="0.35">
      <c r="A64" s="6"/>
      <c r="B64" s="23">
        <v>45</v>
      </c>
      <c r="C64" s="24"/>
      <c r="D64" s="25"/>
      <c r="E64" s="25"/>
      <c r="F64" s="26"/>
      <c r="G64" s="61"/>
      <c r="H64" s="61"/>
      <c r="I64" s="26"/>
      <c r="J64" s="21">
        <f t="shared" si="6"/>
        <v>0</v>
      </c>
      <c r="K64" s="7"/>
      <c r="V64" s="5">
        <f t="shared" si="9"/>
        <v>0</v>
      </c>
      <c r="W64" s="5">
        <f t="shared" si="10"/>
        <v>0</v>
      </c>
    </row>
    <row r="65" spans="1:23" ht="15" hidden="1" thickBot="1" x14ac:dyDescent="0.35">
      <c r="A65" s="6"/>
      <c r="B65" s="23">
        <v>46</v>
      </c>
      <c r="C65" s="24"/>
      <c r="D65" s="25"/>
      <c r="E65" s="25"/>
      <c r="F65" s="26"/>
      <c r="G65" s="61"/>
      <c r="H65" s="61"/>
      <c r="I65" s="26"/>
      <c r="J65" s="21">
        <f t="shared" si="6"/>
        <v>0</v>
      </c>
      <c r="K65" s="7"/>
      <c r="V65" s="5">
        <f t="shared" si="9"/>
        <v>0</v>
      </c>
      <c r="W65" s="5">
        <f t="shared" si="10"/>
        <v>0</v>
      </c>
    </row>
    <row r="66" spans="1:23" ht="15" hidden="1" thickBot="1" x14ac:dyDescent="0.35">
      <c r="A66" s="6"/>
      <c r="B66" s="23">
        <v>47</v>
      </c>
      <c r="C66" s="24"/>
      <c r="D66" s="25"/>
      <c r="E66" s="25"/>
      <c r="F66" s="26"/>
      <c r="G66" s="61"/>
      <c r="H66" s="61"/>
      <c r="I66" s="26"/>
      <c r="J66" s="21">
        <f t="shared" si="6"/>
        <v>0</v>
      </c>
      <c r="K66" s="7"/>
      <c r="V66" s="5">
        <f t="shared" si="9"/>
        <v>0</v>
      </c>
      <c r="W66" s="5">
        <f t="shared" si="10"/>
        <v>0</v>
      </c>
    </row>
    <row r="67" spans="1:23" ht="15" hidden="1" thickBot="1" x14ac:dyDescent="0.35">
      <c r="A67" s="6"/>
      <c r="B67" s="23">
        <v>48</v>
      </c>
      <c r="C67" s="24"/>
      <c r="D67" s="25"/>
      <c r="E67" s="25"/>
      <c r="F67" s="26"/>
      <c r="G67" s="61"/>
      <c r="H67" s="61"/>
      <c r="I67" s="26"/>
      <c r="J67" s="21">
        <f t="shared" si="6"/>
        <v>0</v>
      </c>
      <c r="K67" s="7"/>
    </row>
    <row r="68" spans="1:23" ht="15" hidden="1" thickBot="1" x14ac:dyDescent="0.35">
      <c r="A68" s="6"/>
      <c r="B68" s="23">
        <v>49</v>
      </c>
      <c r="C68" s="24"/>
      <c r="D68" s="25"/>
      <c r="E68" s="25"/>
      <c r="F68" s="26"/>
      <c r="G68" s="61"/>
      <c r="H68" s="61"/>
      <c r="I68" s="26"/>
      <c r="J68" s="21">
        <f t="shared" si="6"/>
        <v>0</v>
      </c>
      <c r="K68" s="7"/>
    </row>
    <row r="69" spans="1:23" ht="15" hidden="1" thickBot="1" x14ac:dyDescent="0.35">
      <c r="A69" s="6"/>
      <c r="B69" s="23">
        <v>50</v>
      </c>
      <c r="C69" s="24"/>
      <c r="D69" s="25"/>
      <c r="E69" s="25"/>
      <c r="F69" s="26"/>
      <c r="G69" s="61"/>
      <c r="H69" s="61"/>
      <c r="I69" s="26"/>
      <c r="J69" s="21">
        <f t="shared" si="6"/>
        <v>0</v>
      </c>
      <c r="K69" s="7"/>
    </row>
    <row r="70" spans="1:23" ht="15" hidden="1" thickBot="1" x14ac:dyDescent="0.35">
      <c r="A70" s="6"/>
      <c r="B70" s="23">
        <v>51</v>
      </c>
      <c r="C70" s="24"/>
      <c r="D70" s="25"/>
      <c r="E70" s="25"/>
      <c r="F70" s="26"/>
      <c r="G70" s="61"/>
      <c r="H70" s="61"/>
      <c r="I70" s="26"/>
      <c r="J70" s="21">
        <f t="shared" si="6"/>
        <v>0</v>
      </c>
      <c r="K70" s="7"/>
    </row>
    <row r="71" spans="1:23" ht="15" hidden="1" thickBot="1" x14ac:dyDescent="0.35">
      <c r="A71" s="6"/>
      <c r="B71" s="23">
        <v>52</v>
      </c>
      <c r="C71" s="24"/>
      <c r="D71" s="25"/>
      <c r="E71" s="25"/>
      <c r="F71" s="26"/>
      <c r="G71" s="61"/>
      <c r="H71" s="61"/>
      <c r="I71" s="26"/>
      <c r="J71" s="21">
        <f t="shared" si="6"/>
        <v>0</v>
      </c>
      <c r="K71" s="7"/>
    </row>
    <row r="72" spans="1:23" ht="15" hidden="1" thickBot="1" x14ac:dyDescent="0.35">
      <c r="A72" s="6"/>
      <c r="B72" s="23">
        <v>53</v>
      </c>
      <c r="C72" s="24"/>
      <c r="D72" s="25"/>
      <c r="E72" s="25"/>
      <c r="F72" s="26"/>
      <c r="G72" s="61"/>
      <c r="H72" s="61"/>
      <c r="I72" s="26"/>
      <c r="J72" s="21">
        <f t="shared" si="6"/>
        <v>0</v>
      </c>
      <c r="K72" s="7"/>
    </row>
    <row r="73" spans="1:23" ht="15" hidden="1" thickBot="1" x14ac:dyDescent="0.35">
      <c r="A73" s="6"/>
      <c r="B73" s="23">
        <v>54</v>
      </c>
      <c r="C73" s="24"/>
      <c r="D73" s="25"/>
      <c r="E73" s="25"/>
      <c r="F73" s="26"/>
      <c r="G73" s="61"/>
      <c r="H73" s="61"/>
      <c r="I73" s="26"/>
      <c r="J73" s="21">
        <f t="shared" si="6"/>
        <v>0</v>
      </c>
      <c r="K73" s="7"/>
    </row>
    <row r="74" spans="1:23" ht="15" hidden="1" thickBot="1" x14ac:dyDescent="0.35">
      <c r="A74" s="6"/>
      <c r="B74" s="23">
        <v>55</v>
      </c>
      <c r="C74" s="24"/>
      <c r="D74" s="25"/>
      <c r="E74" s="25"/>
      <c r="F74" s="26"/>
      <c r="G74" s="61"/>
      <c r="H74" s="61"/>
      <c r="I74" s="26"/>
      <c r="J74" s="21">
        <f t="shared" si="6"/>
        <v>0</v>
      </c>
      <c r="K74" s="7"/>
    </row>
    <row r="75" spans="1:23" ht="15" hidden="1" thickBot="1" x14ac:dyDescent="0.35">
      <c r="A75" s="6"/>
      <c r="B75" s="23">
        <v>56</v>
      </c>
      <c r="C75" s="24"/>
      <c r="D75" s="25"/>
      <c r="E75" s="25"/>
      <c r="F75" s="26"/>
      <c r="G75" s="61"/>
      <c r="H75" s="61"/>
      <c r="I75" s="26"/>
      <c r="J75" s="21">
        <f t="shared" si="6"/>
        <v>0</v>
      </c>
      <c r="K75" s="7"/>
    </row>
    <row r="76" spans="1:23" ht="15" hidden="1" thickBot="1" x14ac:dyDescent="0.35">
      <c r="A76" s="6"/>
      <c r="B76" s="23">
        <v>57</v>
      </c>
      <c r="C76" s="24"/>
      <c r="D76" s="25"/>
      <c r="E76" s="25"/>
      <c r="F76" s="26"/>
      <c r="G76" s="61"/>
      <c r="H76" s="61"/>
      <c r="I76" s="26"/>
      <c r="J76" s="21">
        <f t="shared" si="6"/>
        <v>0</v>
      </c>
      <c r="K76" s="7"/>
    </row>
    <row r="77" spans="1:23" ht="15" hidden="1" thickBot="1" x14ac:dyDescent="0.35">
      <c r="A77" s="6"/>
      <c r="B77" s="23">
        <v>58</v>
      </c>
      <c r="C77" s="24"/>
      <c r="D77" s="25"/>
      <c r="E77" s="25"/>
      <c r="F77" s="26"/>
      <c r="G77" s="61"/>
      <c r="H77" s="61"/>
      <c r="I77" s="26"/>
      <c r="J77" s="21">
        <f t="shared" si="6"/>
        <v>0</v>
      </c>
      <c r="K77" s="7"/>
      <c r="V77" s="5">
        <f t="shared" si="9"/>
        <v>0</v>
      </c>
      <c r="W77" s="5">
        <f t="shared" si="10"/>
        <v>0</v>
      </c>
    </row>
    <row r="78" spans="1:23" ht="15" hidden="1" thickBot="1" x14ac:dyDescent="0.35">
      <c r="A78" s="6"/>
      <c r="B78" s="23">
        <v>59</v>
      </c>
      <c r="C78" s="24"/>
      <c r="D78" s="25"/>
      <c r="E78" s="25"/>
      <c r="F78" s="26"/>
      <c r="G78" s="61"/>
      <c r="H78" s="61"/>
      <c r="I78" s="26"/>
      <c r="J78" s="21">
        <f t="shared" si="6"/>
        <v>0</v>
      </c>
      <c r="K78" s="7"/>
      <c r="V78" s="5">
        <f t="shared" si="9"/>
        <v>0</v>
      </c>
      <c r="W78" s="5">
        <f t="shared" si="10"/>
        <v>0</v>
      </c>
    </row>
    <row r="79" spans="1:23" ht="15" hidden="1" thickBot="1" x14ac:dyDescent="0.35">
      <c r="A79" s="6"/>
      <c r="B79" s="23">
        <v>60</v>
      </c>
      <c r="C79" s="24"/>
      <c r="D79" s="25"/>
      <c r="E79" s="25"/>
      <c r="F79" s="61"/>
      <c r="G79" s="61"/>
      <c r="H79" s="61"/>
      <c r="I79" s="26"/>
      <c r="J79" s="21">
        <f t="shared" si="6"/>
        <v>0</v>
      </c>
      <c r="K79" s="7"/>
      <c r="V79" s="5">
        <f t="shared" si="9"/>
        <v>0</v>
      </c>
      <c r="W79" s="5">
        <f t="shared" si="10"/>
        <v>0</v>
      </c>
    </row>
    <row r="80" spans="1:23" ht="15" hidden="1" thickBot="1" x14ac:dyDescent="0.35">
      <c r="A80" s="6"/>
      <c r="B80" s="23">
        <v>61</v>
      </c>
      <c r="C80" s="24"/>
      <c r="D80" s="25"/>
      <c r="E80" s="25"/>
      <c r="F80" s="61"/>
      <c r="G80" s="61"/>
      <c r="H80" s="61"/>
      <c r="I80" s="26"/>
      <c r="J80" s="21">
        <f t="shared" si="6"/>
        <v>0</v>
      </c>
      <c r="K80" s="7"/>
    </row>
    <row r="81" spans="1:23" ht="15" hidden="1" thickBot="1" x14ac:dyDescent="0.35">
      <c r="A81" s="6"/>
      <c r="B81" s="23">
        <v>62</v>
      </c>
      <c r="C81" s="24"/>
      <c r="D81" s="25"/>
      <c r="E81" s="25"/>
      <c r="F81" s="61"/>
      <c r="G81" s="61"/>
      <c r="H81" s="61"/>
      <c r="I81" s="26"/>
      <c r="J81" s="21">
        <f t="shared" si="6"/>
        <v>0</v>
      </c>
      <c r="K81" s="7"/>
    </row>
    <row r="82" spans="1:23" ht="15" hidden="1" thickBot="1" x14ac:dyDescent="0.35">
      <c r="A82" s="6"/>
      <c r="B82" s="23">
        <v>63</v>
      </c>
      <c r="C82" s="24"/>
      <c r="D82" s="25"/>
      <c r="E82" s="25"/>
      <c r="F82" s="61"/>
      <c r="G82" s="61"/>
      <c r="H82" s="61"/>
      <c r="I82" s="26"/>
      <c r="J82" s="21">
        <f t="shared" si="6"/>
        <v>0</v>
      </c>
      <c r="K82" s="7"/>
      <c r="V82" s="5">
        <f t="shared" si="9"/>
        <v>0</v>
      </c>
      <c r="W82" s="5">
        <f t="shared" si="10"/>
        <v>0</v>
      </c>
    </row>
    <row r="83" spans="1:23" ht="15" hidden="1" thickBot="1" x14ac:dyDescent="0.35">
      <c r="A83" s="6"/>
      <c r="B83" s="23">
        <v>64</v>
      </c>
      <c r="C83" s="24"/>
      <c r="D83" s="25"/>
      <c r="E83" s="25"/>
      <c r="F83" s="26"/>
      <c r="G83" s="26"/>
      <c r="H83" s="25"/>
      <c r="I83" s="26"/>
      <c r="J83" s="27">
        <f t="shared" si="6"/>
        <v>0</v>
      </c>
      <c r="K83" s="7"/>
      <c r="V83" s="5">
        <f t="shared" si="9"/>
        <v>0</v>
      </c>
      <c r="W83" s="5">
        <f t="shared" si="10"/>
        <v>0</v>
      </c>
    </row>
    <row r="84" spans="1:23" ht="24" thickBot="1" x14ac:dyDescent="0.5">
      <c r="A84" s="6"/>
      <c r="B84" s="144" t="s">
        <v>22</v>
      </c>
      <c r="C84" s="145"/>
      <c r="D84" s="145"/>
      <c r="E84" s="145"/>
      <c r="F84" s="145"/>
      <c r="G84" s="145"/>
      <c r="H84" s="146"/>
      <c r="I84" s="28" t="s">
        <v>23</v>
      </c>
      <c r="J84" s="29">
        <f>SUM(J6:J83)</f>
        <v>126400</v>
      </c>
      <c r="K84" s="7"/>
      <c r="W84" s="5">
        <f t="shared" si="10"/>
        <v>0</v>
      </c>
    </row>
    <row r="85" spans="1:23" ht="30" customHeight="1" thickBot="1" x14ac:dyDescent="0.35">
      <c r="A85" s="30"/>
      <c r="B85" s="31"/>
      <c r="C85" s="31"/>
      <c r="D85" s="31"/>
      <c r="E85" s="31"/>
      <c r="F85" s="31"/>
      <c r="G85" s="31"/>
      <c r="H85" s="32"/>
      <c r="I85" s="31"/>
      <c r="J85" s="32"/>
      <c r="K85" s="33"/>
      <c r="L85" s="36"/>
      <c r="M85" s="36"/>
      <c r="N85" s="36"/>
      <c r="O85" s="36"/>
      <c r="P85" s="36"/>
      <c r="Q85" s="36"/>
      <c r="R85" s="36"/>
    </row>
    <row r="86" spans="1:23" ht="15" thickBot="1" x14ac:dyDescent="0.35">
      <c r="L86" s="36"/>
      <c r="M86" s="36"/>
      <c r="N86" s="36"/>
      <c r="O86" s="22"/>
      <c r="P86" s="22"/>
      <c r="Q86" s="22"/>
      <c r="R86" s="22"/>
    </row>
    <row r="87" spans="1:23" s="36" customFormat="1" ht="30" customHeight="1" thickBot="1" x14ac:dyDescent="0.35">
      <c r="A87" s="1"/>
      <c r="B87" s="2"/>
      <c r="C87" s="2"/>
      <c r="D87" s="2"/>
      <c r="E87" s="2"/>
      <c r="F87" s="2"/>
      <c r="G87" s="2"/>
      <c r="H87" s="3"/>
      <c r="I87" s="2"/>
      <c r="J87" s="3"/>
      <c r="K87" s="4"/>
    </row>
    <row r="88" spans="1:23" s="36" customFormat="1" ht="25.2" thickBot="1" x14ac:dyDescent="0.35">
      <c r="A88" s="6" t="s">
        <v>1</v>
      </c>
      <c r="B88" s="119" t="s">
        <v>2</v>
      </c>
      <c r="C88" s="120"/>
      <c r="D88" s="120"/>
      <c r="E88" s="120"/>
      <c r="F88" s="120"/>
      <c r="G88" s="120"/>
      <c r="H88" s="120"/>
      <c r="I88" s="120"/>
      <c r="J88" s="121"/>
      <c r="K88" s="7"/>
    </row>
    <row r="89" spans="1:23" s="36" customFormat="1" ht="16.2" thickBot="1" x14ac:dyDescent="0.35">
      <c r="A89" s="6"/>
      <c r="B89" s="168" t="s">
        <v>187</v>
      </c>
      <c r="C89" s="169"/>
      <c r="D89" s="169"/>
      <c r="E89" s="169"/>
      <c r="F89" s="169"/>
      <c r="G89" s="169"/>
      <c r="H89" s="169"/>
      <c r="I89" s="169"/>
      <c r="J89" s="170"/>
      <c r="K89" s="7"/>
      <c r="L89" s="22"/>
    </row>
    <row r="90" spans="1:23" s="36" customFormat="1" ht="16.2" thickBot="1" x14ac:dyDescent="0.35">
      <c r="A90" s="6"/>
      <c r="B90" s="106" t="s">
        <v>90</v>
      </c>
      <c r="C90" s="107"/>
      <c r="D90" s="107"/>
      <c r="E90" s="107"/>
      <c r="F90" s="107"/>
      <c r="G90" s="107"/>
      <c r="H90" s="107"/>
      <c r="I90" s="107"/>
      <c r="J90" s="108"/>
      <c r="K90" s="7"/>
    </row>
    <row r="91" spans="1:23" s="22" customFormat="1" ht="15" thickBot="1" x14ac:dyDescent="0.35">
      <c r="A91" s="69"/>
      <c r="B91" s="70" t="s">
        <v>9</v>
      </c>
      <c r="C91" s="71" t="s">
        <v>10</v>
      </c>
      <c r="D91" s="72" t="s">
        <v>11</v>
      </c>
      <c r="E91" s="72" t="s">
        <v>12</v>
      </c>
      <c r="F91" s="73" t="s">
        <v>65</v>
      </c>
      <c r="G91" s="73" t="s">
        <v>66</v>
      </c>
      <c r="H91" s="74" t="s">
        <v>67</v>
      </c>
      <c r="I91" s="73" t="s">
        <v>68</v>
      </c>
      <c r="J91" s="75" t="s">
        <v>17</v>
      </c>
      <c r="K91" s="76"/>
      <c r="L91" s="36"/>
      <c r="M91" s="36"/>
      <c r="N91" s="36"/>
      <c r="O91" s="36" t="s">
        <v>21</v>
      </c>
      <c r="P91" s="36"/>
      <c r="Q91" s="36"/>
      <c r="R91" s="36"/>
      <c r="V91" s="5" t="s">
        <v>5</v>
      </c>
      <c r="W91" s="5" t="s">
        <v>6</v>
      </c>
    </row>
    <row r="92" spans="1:23" s="36" customFormat="1" x14ac:dyDescent="0.3">
      <c r="A92" s="6"/>
      <c r="B92" s="14">
        <v>1</v>
      </c>
      <c r="C92" s="18">
        <v>44200</v>
      </c>
      <c r="D92" s="19" t="s">
        <v>18</v>
      </c>
      <c r="E92" s="19" t="s">
        <v>181</v>
      </c>
      <c r="F92" s="35">
        <v>1725</v>
      </c>
      <c r="G92" s="35">
        <v>1750</v>
      </c>
      <c r="H92" s="35">
        <v>25</v>
      </c>
      <c r="I92" s="20">
        <v>500</v>
      </c>
      <c r="J92" s="16">
        <f t="shared" ref="J92:J144" si="11">I92*H92</f>
        <v>12500</v>
      </c>
      <c r="K92" s="7"/>
      <c r="V92" s="36">
        <f>IF($J92&gt;0,1,0)</f>
        <v>1</v>
      </c>
      <c r="W92" s="36">
        <f>IF($J92&lt;0,1,0)</f>
        <v>0</v>
      </c>
    </row>
    <row r="93" spans="1:23" s="36" customFormat="1" x14ac:dyDescent="0.3">
      <c r="A93" s="6"/>
      <c r="B93" s="17">
        <f>B92+1</f>
        <v>2</v>
      </c>
      <c r="C93" s="18">
        <v>44201</v>
      </c>
      <c r="D93" s="19" t="s">
        <v>18</v>
      </c>
      <c r="E93" s="19" t="s">
        <v>181</v>
      </c>
      <c r="F93" s="35">
        <v>1720</v>
      </c>
      <c r="G93" s="35">
        <v>1705</v>
      </c>
      <c r="H93" s="35">
        <v>-15</v>
      </c>
      <c r="I93" s="20">
        <v>500</v>
      </c>
      <c r="J93" s="21">
        <f t="shared" si="11"/>
        <v>-7500</v>
      </c>
      <c r="K93" s="7"/>
      <c r="L93" s="36" t="s">
        <v>21</v>
      </c>
      <c r="V93" s="36">
        <f t="shared" ref="V93:V144" si="12">IF($J93&gt;0,1,0)</f>
        <v>0</v>
      </c>
      <c r="W93" s="36">
        <f t="shared" ref="W93:W144" si="13">IF($J93&lt;0,1,0)</f>
        <v>1</v>
      </c>
    </row>
    <row r="94" spans="1:23" s="36" customFormat="1" x14ac:dyDescent="0.3">
      <c r="A94" s="6"/>
      <c r="B94" s="17">
        <f t="shared" ref="B94:B144" si="14">B93+1</f>
        <v>3</v>
      </c>
      <c r="C94" s="18">
        <v>44202</v>
      </c>
      <c r="D94" s="19" t="s">
        <v>69</v>
      </c>
      <c r="E94" s="19" t="s">
        <v>86</v>
      </c>
      <c r="F94" s="35">
        <v>5120</v>
      </c>
      <c r="G94" s="35">
        <v>5077</v>
      </c>
      <c r="H94" s="35">
        <v>43</v>
      </c>
      <c r="I94" s="20">
        <v>250</v>
      </c>
      <c r="J94" s="21">
        <f t="shared" si="11"/>
        <v>10750</v>
      </c>
      <c r="K94" s="7"/>
      <c r="V94" s="36">
        <f t="shared" si="12"/>
        <v>1</v>
      </c>
      <c r="W94" s="36">
        <f t="shared" si="13"/>
        <v>0</v>
      </c>
    </row>
    <row r="95" spans="1:23" s="36" customFormat="1" x14ac:dyDescent="0.3">
      <c r="A95" s="6"/>
      <c r="B95" s="17">
        <f t="shared" si="14"/>
        <v>4</v>
      </c>
      <c r="C95" s="18">
        <v>44202</v>
      </c>
      <c r="D95" s="19" t="s">
        <v>18</v>
      </c>
      <c r="E95" s="19" t="s">
        <v>181</v>
      </c>
      <c r="F95" s="35">
        <v>1725</v>
      </c>
      <c r="G95" s="35">
        <v>1740</v>
      </c>
      <c r="H95" s="35">
        <v>15</v>
      </c>
      <c r="I95" s="20">
        <v>500</v>
      </c>
      <c r="J95" s="21">
        <f t="shared" si="11"/>
        <v>7500</v>
      </c>
      <c r="K95" s="7"/>
      <c r="V95" s="36">
        <f t="shared" si="12"/>
        <v>1</v>
      </c>
      <c r="W95" s="36">
        <f t="shared" si="13"/>
        <v>0</v>
      </c>
    </row>
    <row r="96" spans="1:23" s="36" customFormat="1" x14ac:dyDescent="0.3">
      <c r="A96" s="6"/>
      <c r="B96" s="17">
        <f t="shared" si="14"/>
        <v>5</v>
      </c>
      <c r="C96" s="18">
        <v>44203</v>
      </c>
      <c r="D96" s="19" t="s">
        <v>18</v>
      </c>
      <c r="E96" s="19" t="s">
        <v>181</v>
      </c>
      <c r="F96" s="35">
        <v>1765</v>
      </c>
      <c r="G96" s="35">
        <v>1772</v>
      </c>
      <c r="H96" s="35">
        <v>7</v>
      </c>
      <c r="I96" s="20">
        <v>500</v>
      </c>
      <c r="J96" s="21">
        <f t="shared" si="11"/>
        <v>3500</v>
      </c>
      <c r="K96" s="7"/>
      <c r="V96" s="36">
        <f t="shared" si="12"/>
        <v>1</v>
      </c>
      <c r="W96" s="36">
        <f t="shared" si="13"/>
        <v>0</v>
      </c>
    </row>
    <row r="97" spans="1:23" s="36" customFormat="1" x14ac:dyDescent="0.3">
      <c r="A97" s="6"/>
      <c r="B97" s="17">
        <f t="shared" si="14"/>
        <v>6</v>
      </c>
      <c r="C97" s="18">
        <v>44203</v>
      </c>
      <c r="D97" s="19" t="s">
        <v>69</v>
      </c>
      <c r="E97" s="19" t="s">
        <v>93</v>
      </c>
      <c r="F97" s="20">
        <v>1426</v>
      </c>
      <c r="G97" s="35">
        <v>1436</v>
      </c>
      <c r="H97" s="35">
        <v>-10</v>
      </c>
      <c r="I97" s="20">
        <v>550</v>
      </c>
      <c r="J97" s="21">
        <f t="shared" si="11"/>
        <v>-5500</v>
      </c>
      <c r="K97" s="7"/>
      <c r="V97" s="36">
        <f t="shared" si="12"/>
        <v>0</v>
      </c>
      <c r="W97" s="36">
        <f t="shared" si="13"/>
        <v>1</v>
      </c>
    </row>
    <row r="98" spans="1:23" s="36" customFormat="1" x14ac:dyDescent="0.3">
      <c r="A98" s="6"/>
      <c r="B98" s="17">
        <f t="shared" si="14"/>
        <v>7</v>
      </c>
      <c r="C98" s="18">
        <v>44204</v>
      </c>
      <c r="D98" s="19" t="s">
        <v>69</v>
      </c>
      <c r="E98" s="19" t="s">
        <v>75</v>
      </c>
      <c r="F98" s="35">
        <v>542.5</v>
      </c>
      <c r="G98" s="35">
        <v>539.25</v>
      </c>
      <c r="H98" s="35">
        <v>3.25</v>
      </c>
      <c r="I98" s="20">
        <v>1375</v>
      </c>
      <c r="J98" s="21">
        <f t="shared" si="11"/>
        <v>4468.75</v>
      </c>
      <c r="K98" s="7"/>
      <c r="V98" s="36">
        <f t="shared" si="12"/>
        <v>1</v>
      </c>
      <c r="W98" s="36">
        <f t="shared" si="13"/>
        <v>0</v>
      </c>
    </row>
    <row r="99" spans="1:23" s="36" customFormat="1" x14ac:dyDescent="0.3">
      <c r="A99" s="6"/>
      <c r="B99" s="17">
        <f t="shared" si="14"/>
        <v>8</v>
      </c>
      <c r="C99" s="18">
        <v>44204</v>
      </c>
      <c r="D99" s="19" t="s">
        <v>18</v>
      </c>
      <c r="E99" s="19" t="s">
        <v>181</v>
      </c>
      <c r="F99" s="35">
        <v>1750</v>
      </c>
      <c r="G99" s="35">
        <v>1735</v>
      </c>
      <c r="H99" s="35">
        <v>-15</v>
      </c>
      <c r="I99" s="20">
        <v>500</v>
      </c>
      <c r="J99" s="21">
        <f t="shared" si="11"/>
        <v>-7500</v>
      </c>
      <c r="K99" s="7"/>
      <c r="V99" s="36">
        <f t="shared" si="12"/>
        <v>0</v>
      </c>
      <c r="W99" s="36">
        <f t="shared" si="13"/>
        <v>1</v>
      </c>
    </row>
    <row r="100" spans="1:23" s="36" customFormat="1" x14ac:dyDescent="0.3">
      <c r="A100" s="6"/>
      <c r="B100" s="17">
        <f t="shared" si="14"/>
        <v>9</v>
      </c>
      <c r="C100" s="18">
        <v>44207</v>
      </c>
      <c r="D100" s="19" t="s">
        <v>69</v>
      </c>
      <c r="E100" s="19" t="s">
        <v>86</v>
      </c>
      <c r="F100" s="35">
        <v>5050</v>
      </c>
      <c r="G100" s="35">
        <v>4990</v>
      </c>
      <c r="H100" s="35">
        <v>60</v>
      </c>
      <c r="I100" s="20">
        <v>250</v>
      </c>
      <c r="J100" s="21">
        <f t="shared" si="11"/>
        <v>15000</v>
      </c>
      <c r="K100" s="7"/>
      <c r="V100" s="36">
        <f t="shared" si="12"/>
        <v>1</v>
      </c>
      <c r="W100" s="36">
        <f t="shared" si="13"/>
        <v>0</v>
      </c>
    </row>
    <row r="101" spans="1:23" s="36" customFormat="1" x14ac:dyDescent="0.3">
      <c r="A101" s="6"/>
      <c r="B101" s="17">
        <f t="shared" si="14"/>
        <v>10</v>
      </c>
      <c r="C101" s="18">
        <v>44207</v>
      </c>
      <c r="D101" s="19" t="s">
        <v>69</v>
      </c>
      <c r="E101" s="19" t="s">
        <v>111</v>
      </c>
      <c r="F101" s="35">
        <v>285</v>
      </c>
      <c r="G101" s="35">
        <v>281</v>
      </c>
      <c r="H101" s="35">
        <v>4</v>
      </c>
      <c r="I101" s="20">
        <v>3000</v>
      </c>
      <c r="J101" s="21">
        <f t="shared" si="11"/>
        <v>12000</v>
      </c>
      <c r="K101" s="7"/>
      <c r="V101" s="36">
        <f t="shared" si="12"/>
        <v>1</v>
      </c>
      <c r="W101" s="36">
        <f t="shared" si="13"/>
        <v>0</v>
      </c>
    </row>
    <row r="102" spans="1:23" s="36" customFormat="1" x14ac:dyDescent="0.3">
      <c r="A102" s="6"/>
      <c r="B102" s="17">
        <f t="shared" si="14"/>
        <v>11</v>
      </c>
      <c r="C102" s="18">
        <v>44208</v>
      </c>
      <c r="D102" s="19" t="s">
        <v>69</v>
      </c>
      <c r="E102" s="19" t="s">
        <v>110</v>
      </c>
      <c r="F102" s="19">
        <v>1815</v>
      </c>
      <c r="G102" s="35">
        <v>1808.8</v>
      </c>
      <c r="H102" s="35">
        <v>6.2</v>
      </c>
      <c r="I102" s="20">
        <v>500</v>
      </c>
      <c r="J102" s="21">
        <f t="shared" si="11"/>
        <v>3100</v>
      </c>
      <c r="K102" s="7"/>
      <c r="V102" s="36">
        <f t="shared" si="12"/>
        <v>1</v>
      </c>
      <c r="W102" s="36">
        <f t="shared" si="13"/>
        <v>0</v>
      </c>
    </row>
    <row r="103" spans="1:23" s="36" customFormat="1" x14ac:dyDescent="0.3">
      <c r="A103" s="6"/>
      <c r="B103" s="17">
        <f t="shared" si="14"/>
        <v>12</v>
      </c>
      <c r="C103" s="18">
        <v>44208</v>
      </c>
      <c r="D103" s="19" t="s">
        <v>18</v>
      </c>
      <c r="E103" s="19" t="s">
        <v>86</v>
      </c>
      <c r="F103" s="35">
        <v>5040</v>
      </c>
      <c r="G103" s="35">
        <v>5010</v>
      </c>
      <c r="H103" s="35">
        <v>-30</v>
      </c>
      <c r="I103" s="20">
        <v>250</v>
      </c>
      <c r="J103" s="21">
        <f t="shared" si="11"/>
        <v>-7500</v>
      </c>
      <c r="K103" s="7"/>
      <c r="V103" s="36">
        <f t="shared" si="12"/>
        <v>0</v>
      </c>
      <c r="W103" s="36">
        <f t="shared" si="13"/>
        <v>1</v>
      </c>
    </row>
    <row r="104" spans="1:23" s="36" customFormat="1" x14ac:dyDescent="0.3">
      <c r="A104" s="6"/>
      <c r="B104" s="17">
        <f t="shared" si="14"/>
        <v>13</v>
      </c>
      <c r="C104" s="18">
        <v>44209</v>
      </c>
      <c r="D104" s="19" t="s">
        <v>69</v>
      </c>
      <c r="E104" s="19" t="s">
        <v>86</v>
      </c>
      <c r="F104" s="35">
        <v>5030</v>
      </c>
      <c r="G104" s="35">
        <v>4970</v>
      </c>
      <c r="H104" s="35">
        <v>60</v>
      </c>
      <c r="I104" s="20">
        <v>250</v>
      </c>
      <c r="J104" s="21">
        <f t="shared" si="11"/>
        <v>15000</v>
      </c>
      <c r="K104" s="7"/>
      <c r="V104" s="36">
        <f t="shared" si="12"/>
        <v>1</v>
      </c>
      <c r="W104" s="36">
        <f t="shared" si="13"/>
        <v>0</v>
      </c>
    </row>
    <row r="105" spans="1:23" s="36" customFormat="1" x14ac:dyDescent="0.3">
      <c r="A105" s="6"/>
      <c r="B105" s="17">
        <f t="shared" si="14"/>
        <v>14</v>
      </c>
      <c r="C105" s="18">
        <v>44209</v>
      </c>
      <c r="D105" s="19" t="s">
        <v>18</v>
      </c>
      <c r="E105" s="19" t="s">
        <v>70</v>
      </c>
      <c r="F105" s="77">
        <v>688</v>
      </c>
      <c r="G105" s="35">
        <v>690</v>
      </c>
      <c r="H105" s="78">
        <v>2</v>
      </c>
      <c r="I105" s="20">
        <v>1200</v>
      </c>
      <c r="J105" s="21">
        <f t="shared" si="11"/>
        <v>2400</v>
      </c>
      <c r="K105" s="7"/>
      <c r="V105" s="36">
        <f t="shared" si="12"/>
        <v>1</v>
      </c>
      <c r="W105" s="36">
        <f t="shared" si="13"/>
        <v>0</v>
      </c>
    </row>
    <row r="106" spans="1:23" s="36" customFormat="1" x14ac:dyDescent="0.3">
      <c r="A106" s="6"/>
      <c r="B106" s="17">
        <f t="shared" si="14"/>
        <v>15</v>
      </c>
      <c r="C106" s="18">
        <v>44211</v>
      </c>
      <c r="D106" s="19" t="s">
        <v>18</v>
      </c>
      <c r="E106" s="19" t="s">
        <v>201</v>
      </c>
      <c r="F106" s="35">
        <v>943</v>
      </c>
      <c r="G106" s="35">
        <v>958</v>
      </c>
      <c r="H106" s="78">
        <v>15</v>
      </c>
      <c r="I106" s="20">
        <v>650</v>
      </c>
      <c r="J106" s="21">
        <f t="shared" si="11"/>
        <v>9750</v>
      </c>
      <c r="K106" s="7"/>
      <c r="V106" s="36">
        <f t="shared" si="12"/>
        <v>1</v>
      </c>
      <c r="W106" s="36">
        <f t="shared" si="13"/>
        <v>0</v>
      </c>
    </row>
    <row r="107" spans="1:23" s="36" customFormat="1" x14ac:dyDescent="0.3">
      <c r="A107" s="6"/>
      <c r="B107" s="17">
        <f t="shared" si="14"/>
        <v>16</v>
      </c>
      <c r="C107" s="18">
        <v>44211</v>
      </c>
      <c r="D107" s="19" t="s">
        <v>69</v>
      </c>
      <c r="E107" s="19" t="s">
        <v>93</v>
      </c>
      <c r="F107" s="35">
        <v>1457</v>
      </c>
      <c r="G107" s="35">
        <v>1452.75</v>
      </c>
      <c r="H107" s="78">
        <v>4.25</v>
      </c>
      <c r="I107" s="20">
        <v>550</v>
      </c>
      <c r="J107" s="21">
        <f t="shared" si="11"/>
        <v>2337.5</v>
      </c>
      <c r="K107" s="7"/>
      <c r="V107" s="36">
        <f t="shared" si="12"/>
        <v>1</v>
      </c>
      <c r="W107" s="36">
        <f t="shared" si="13"/>
        <v>0</v>
      </c>
    </row>
    <row r="108" spans="1:23" s="36" customFormat="1" x14ac:dyDescent="0.3">
      <c r="A108" s="6"/>
      <c r="B108" s="17">
        <f t="shared" si="14"/>
        <v>17</v>
      </c>
      <c r="C108" s="18">
        <v>44214</v>
      </c>
      <c r="D108" s="19" t="s">
        <v>69</v>
      </c>
      <c r="E108" s="19" t="s">
        <v>86</v>
      </c>
      <c r="F108" s="35">
        <v>4815</v>
      </c>
      <c r="G108" s="35">
        <v>4755</v>
      </c>
      <c r="H108" s="35">
        <v>60</v>
      </c>
      <c r="I108" s="20">
        <v>250</v>
      </c>
      <c r="J108" s="21">
        <f t="shared" si="11"/>
        <v>15000</v>
      </c>
      <c r="K108" s="7"/>
      <c r="V108" s="36">
        <f t="shared" si="12"/>
        <v>1</v>
      </c>
      <c r="W108" s="36">
        <f t="shared" si="13"/>
        <v>0</v>
      </c>
    </row>
    <row r="109" spans="1:23" s="36" customFormat="1" x14ac:dyDescent="0.3">
      <c r="A109" s="6"/>
      <c r="B109" s="17">
        <f t="shared" si="14"/>
        <v>18</v>
      </c>
      <c r="C109" s="18">
        <v>44215</v>
      </c>
      <c r="D109" s="19" t="s">
        <v>18</v>
      </c>
      <c r="E109" s="19" t="s">
        <v>181</v>
      </c>
      <c r="F109" s="35">
        <v>1645</v>
      </c>
      <c r="G109" s="35">
        <v>1675</v>
      </c>
      <c r="H109" s="35">
        <v>30</v>
      </c>
      <c r="I109" s="20">
        <v>500</v>
      </c>
      <c r="J109" s="21">
        <f t="shared" si="11"/>
        <v>15000</v>
      </c>
      <c r="K109" s="7"/>
      <c r="V109" s="36">
        <f t="shared" si="12"/>
        <v>1</v>
      </c>
      <c r="W109" s="36">
        <f t="shared" si="13"/>
        <v>0</v>
      </c>
    </row>
    <row r="110" spans="1:23" s="36" customFormat="1" x14ac:dyDescent="0.3">
      <c r="A110" s="6"/>
      <c r="B110" s="17">
        <f t="shared" si="14"/>
        <v>19</v>
      </c>
      <c r="C110" s="18">
        <v>44215</v>
      </c>
      <c r="D110" s="19" t="s">
        <v>69</v>
      </c>
      <c r="E110" s="19" t="s">
        <v>204</v>
      </c>
      <c r="F110" s="35">
        <v>993</v>
      </c>
      <c r="G110" s="35">
        <v>990</v>
      </c>
      <c r="H110" s="35">
        <v>3</v>
      </c>
      <c r="I110" s="20">
        <v>700</v>
      </c>
      <c r="J110" s="21">
        <f t="shared" si="11"/>
        <v>2100</v>
      </c>
      <c r="K110" s="7"/>
    </row>
    <row r="111" spans="1:23" s="36" customFormat="1" x14ac:dyDescent="0.3">
      <c r="A111" s="6"/>
      <c r="B111" s="17">
        <f t="shared" si="14"/>
        <v>20</v>
      </c>
      <c r="C111" s="18">
        <v>44216</v>
      </c>
      <c r="D111" s="19" t="s">
        <v>18</v>
      </c>
      <c r="E111" s="19" t="s">
        <v>86</v>
      </c>
      <c r="F111" s="35">
        <v>4970</v>
      </c>
      <c r="G111" s="35">
        <v>5030</v>
      </c>
      <c r="H111" s="35">
        <v>60</v>
      </c>
      <c r="I111" s="20">
        <v>250</v>
      </c>
      <c r="J111" s="21">
        <f t="shared" si="11"/>
        <v>15000</v>
      </c>
      <c r="K111" s="7"/>
    </row>
    <row r="112" spans="1:23" s="36" customFormat="1" x14ac:dyDescent="0.3">
      <c r="A112" s="6"/>
      <c r="B112" s="17">
        <f t="shared" si="14"/>
        <v>21</v>
      </c>
      <c r="C112" s="18">
        <v>44216</v>
      </c>
      <c r="D112" s="19" t="s">
        <v>18</v>
      </c>
      <c r="E112" s="19" t="s">
        <v>127</v>
      </c>
      <c r="F112" s="35">
        <v>1693</v>
      </c>
      <c r="G112" s="35">
        <v>1702</v>
      </c>
      <c r="H112" s="35">
        <v>9</v>
      </c>
      <c r="I112" s="20">
        <v>400</v>
      </c>
      <c r="J112" s="21">
        <f t="shared" si="11"/>
        <v>3600</v>
      </c>
      <c r="K112" s="7"/>
    </row>
    <row r="113" spans="1:23" s="36" customFormat="1" x14ac:dyDescent="0.3">
      <c r="A113" s="6"/>
      <c r="B113" s="17">
        <f t="shared" si="14"/>
        <v>22</v>
      </c>
      <c r="C113" s="18">
        <v>44217</v>
      </c>
      <c r="D113" s="19" t="s">
        <v>18</v>
      </c>
      <c r="E113" s="19" t="s">
        <v>181</v>
      </c>
      <c r="F113" s="35">
        <v>1700</v>
      </c>
      <c r="G113" s="35">
        <v>1727</v>
      </c>
      <c r="H113" s="35">
        <v>27</v>
      </c>
      <c r="I113" s="20">
        <v>500</v>
      </c>
      <c r="J113" s="21">
        <f t="shared" si="11"/>
        <v>13500</v>
      </c>
      <c r="K113" s="7"/>
    </row>
    <row r="114" spans="1:23" s="36" customFormat="1" x14ac:dyDescent="0.3">
      <c r="A114" s="6"/>
      <c r="B114" s="17">
        <f t="shared" si="14"/>
        <v>23</v>
      </c>
      <c r="C114" s="18">
        <v>44217</v>
      </c>
      <c r="D114" s="19" t="s">
        <v>69</v>
      </c>
      <c r="E114" s="19" t="s">
        <v>80</v>
      </c>
      <c r="F114" s="35">
        <v>1392</v>
      </c>
      <c r="G114" s="35">
        <v>1372</v>
      </c>
      <c r="H114" s="35">
        <v>20</v>
      </c>
      <c r="I114" s="20">
        <v>550</v>
      </c>
      <c r="J114" s="21">
        <f t="shared" si="11"/>
        <v>11000</v>
      </c>
      <c r="K114" s="7"/>
    </row>
    <row r="115" spans="1:23" s="36" customFormat="1" x14ac:dyDescent="0.3">
      <c r="A115" s="6"/>
      <c r="B115" s="17">
        <f t="shared" si="14"/>
        <v>24</v>
      </c>
      <c r="C115" s="18">
        <v>44218</v>
      </c>
      <c r="D115" s="19" t="s">
        <v>18</v>
      </c>
      <c r="E115" s="19" t="s">
        <v>181</v>
      </c>
      <c r="F115" s="35">
        <v>1667</v>
      </c>
      <c r="G115" s="35">
        <v>1657</v>
      </c>
      <c r="H115" s="35">
        <v>-10</v>
      </c>
      <c r="I115" s="20">
        <v>500</v>
      </c>
      <c r="J115" s="21">
        <f t="shared" si="11"/>
        <v>-5000</v>
      </c>
      <c r="K115" s="7"/>
    </row>
    <row r="116" spans="1:23" s="36" customFormat="1" x14ac:dyDescent="0.3">
      <c r="A116" s="6"/>
      <c r="B116" s="17">
        <f t="shared" si="14"/>
        <v>25</v>
      </c>
      <c r="C116" s="18">
        <v>44218</v>
      </c>
      <c r="D116" s="19" t="s">
        <v>69</v>
      </c>
      <c r="E116" s="19" t="s">
        <v>75</v>
      </c>
      <c r="F116" s="35">
        <v>546</v>
      </c>
      <c r="G116" s="35">
        <v>538</v>
      </c>
      <c r="H116" s="35">
        <v>8</v>
      </c>
      <c r="I116" s="20">
        <v>1375</v>
      </c>
      <c r="J116" s="21">
        <f t="shared" si="11"/>
        <v>11000</v>
      </c>
      <c r="K116" s="7"/>
    </row>
    <row r="117" spans="1:23" s="36" customFormat="1" x14ac:dyDescent="0.3">
      <c r="A117" s="6"/>
      <c r="B117" s="17">
        <f t="shared" si="14"/>
        <v>26</v>
      </c>
      <c r="C117" s="18">
        <v>44221</v>
      </c>
      <c r="D117" s="19" t="s">
        <v>18</v>
      </c>
      <c r="E117" s="19" t="s">
        <v>181</v>
      </c>
      <c r="F117" s="35">
        <v>1635</v>
      </c>
      <c r="G117" s="35">
        <v>1620</v>
      </c>
      <c r="H117" s="35">
        <v>-15</v>
      </c>
      <c r="I117" s="20">
        <v>500</v>
      </c>
      <c r="J117" s="21">
        <f t="shared" si="11"/>
        <v>-7500</v>
      </c>
      <c r="K117" s="7"/>
    </row>
    <row r="118" spans="1:23" s="36" customFormat="1" x14ac:dyDescent="0.3">
      <c r="A118" s="6"/>
      <c r="B118" s="17">
        <f t="shared" si="14"/>
        <v>27</v>
      </c>
      <c r="C118" s="18">
        <v>44221</v>
      </c>
      <c r="D118" s="19" t="s">
        <v>69</v>
      </c>
      <c r="E118" s="19" t="s">
        <v>86</v>
      </c>
      <c r="F118" s="35">
        <v>4975</v>
      </c>
      <c r="G118" s="35">
        <v>4915</v>
      </c>
      <c r="H118" s="35">
        <v>60</v>
      </c>
      <c r="I118" s="20">
        <v>250</v>
      </c>
      <c r="J118" s="21">
        <f t="shared" si="11"/>
        <v>15000</v>
      </c>
      <c r="K118" s="7"/>
    </row>
    <row r="119" spans="1:23" s="36" customFormat="1" x14ac:dyDescent="0.3">
      <c r="A119" s="6"/>
      <c r="B119" s="17">
        <f t="shared" si="14"/>
        <v>28</v>
      </c>
      <c r="C119" s="18">
        <v>44222</v>
      </c>
      <c r="D119" s="19" t="s">
        <v>69</v>
      </c>
      <c r="E119" s="19" t="s">
        <v>86</v>
      </c>
      <c r="F119" s="35">
        <v>4850</v>
      </c>
      <c r="G119" s="35">
        <v>4820</v>
      </c>
      <c r="H119" s="35">
        <v>30</v>
      </c>
      <c r="I119" s="20">
        <v>250</v>
      </c>
      <c r="J119" s="21">
        <f t="shared" si="11"/>
        <v>7500</v>
      </c>
      <c r="K119" s="7"/>
    </row>
    <row r="120" spans="1:23" s="36" customFormat="1" x14ac:dyDescent="0.3">
      <c r="A120" s="6"/>
      <c r="B120" s="17">
        <f t="shared" si="14"/>
        <v>29</v>
      </c>
      <c r="C120" s="18">
        <v>44224</v>
      </c>
      <c r="D120" s="19" t="s">
        <v>18</v>
      </c>
      <c r="E120" s="19" t="s">
        <v>111</v>
      </c>
      <c r="F120" s="35">
        <v>275.5</v>
      </c>
      <c r="G120" s="35">
        <v>277.5</v>
      </c>
      <c r="H120" s="35">
        <v>2</v>
      </c>
      <c r="I120" s="20">
        <v>300</v>
      </c>
      <c r="J120" s="21">
        <f t="shared" si="11"/>
        <v>600</v>
      </c>
      <c r="K120" s="7"/>
      <c r="V120" s="36">
        <f t="shared" si="12"/>
        <v>1</v>
      </c>
      <c r="W120" s="36">
        <f t="shared" si="13"/>
        <v>0</v>
      </c>
    </row>
    <row r="121" spans="1:23" s="36" customFormat="1" x14ac:dyDescent="0.3">
      <c r="A121" s="6"/>
      <c r="B121" s="17">
        <f t="shared" si="14"/>
        <v>30</v>
      </c>
      <c r="C121" s="18">
        <v>44224</v>
      </c>
      <c r="D121" s="19" t="s">
        <v>69</v>
      </c>
      <c r="E121" s="19" t="s">
        <v>86</v>
      </c>
      <c r="F121" s="35">
        <v>4890</v>
      </c>
      <c r="G121" s="35">
        <v>4830</v>
      </c>
      <c r="H121" s="35">
        <v>60</v>
      </c>
      <c r="I121" s="20">
        <v>300</v>
      </c>
      <c r="J121" s="21">
        <f t="shared" si="11"/>
        <v>18000</v>
      </c>
      <c r="K121" s="7"/>
      <c r="V121" s="36">
        <f t="shared" si="12"/>
        <v>1</v>
      </c>
      <c r="W121" s="36">
        <f t="shared" si="13"/>
        <v>0</v>
      </c>
    </row>
    <row r="122" spans="1:23" s="36" customFormat="1" x14ac:dyDescent="0.3">
      <c r="A122" s="6"/>
      <c r="B122" s="17">
        <f t="shared" si="14"/>
        <v>31</v>
      </c>
      <c r="C122" s="18">
        <v>44225</v>
      </c>
      <c r="D122" s="19" t="s">
        <v>69</v>
      </c>
      <c r="E122" s="19" t="s">
        <v>80</v>
      </c>
      <c r="F122" s="35">
        <v>1356</v>
      </c>
      <c r="G122" s="35">
        <v>1336</v>
      </c>
      <c r="H122" s="35">
        <v>20</v>
      </c>
      <c r="I122" s="20">
        <v>550</v>
      </c>
      <c r="J122" s="21">
        <f t="shared" si="11"/>
        <v>11000</v>
      </c>
      <c r="K122" s="7"/>
      <c r="V122" s="36">
        <f t="shared" si="12"/>
        <v>1</v>
      </c>
      <c r="W122" s="36">
        <f t="shared" si="13"/>
        <v>0</v>
      </c>
    </row>
    <row r="123" spans="1:23" s="36" customFormat="1" x14ac:dyDescent="0.3">
      <c r="A123" s="6"/>
      <c r="B123" s="17">
        <f t="shared" si="14"/>
        <v>32</v>
      </c>
      <c r="C123" s="18">
        <v>44225</v>
      </c>
      <c r="D123" s="19" t="s">
        <v>18</v>
      </c>
      <c r="E123" s="19" t="s">
        <v>181</v>
      </c>
      <c r="F123" s="35">
        <v>1595</v>
      </c>
      <c r="G123" s="35">
        <v>1625</v>
      </c>
      <c r="H123" s="35">
        <v>30</v>
      </c>
      <c r="I123" s="20">
        <v>500</v>
      </c>
      <c r="J123" s="21">
        <f t="shared" si="11"/>
        <v>15000</v>
      </c>
      <c r="K123" s="7"/>
      <c r="V123" s="36">
        <f t="shared" si="12"/>
        <v>1</v>
      </c>
      <c r="W123" s="36">
        <f t="shared" si="13"/>
        <v>0</v>
      </c>
    </row>
    <row r="124" spans="1:23" s="36" customFormat="1" x14ac:dyDescent="0.3">
      <c r="A124" s="6"/>
      <c r="B124" s="17">
        <f t="shared" si="14"/>
        <v>33</v>
      </c>
      <c r="C124" s="18"/>
      <c r="D124" s="19"/>
      <c r="E124" s="19"/>
      <c r="F124" s="35"/>
      <c r="G124" s="35"/>
      <c r="H124" s="35"/>
      <c r="I124" s="20"/>
      <c r="J124" s="21">
        <f t="shared" si="11"/>
        <v>0</v>
      </c>
      <c r="K124" s="7"/>
      <c r="V124" s="36">
        <f t="shared" si="12"/>
        <v>0</v>
      </c>
      <c r="W124" s="36">
        <f t="shared" si="13"/>
        <v>0</v>
      </c>
    </row>
    <row r="125" spans="1:23" s="36" customFormat="1" hidden="1" x14ac:dyDescent="0.3">
      <c r="A125" s="6"/>
      <c r="B125" s="17">
        <f t="shared" si="14"/>
        <v>34</v>
      </c>
      <c r="C125" s="18"/>
      <c r="D125" s="19"/>
      <c r="E125" s="19"/>
      <c r="F125" s="35"/>
      <c r="G125" s="35"/>
      <c r="H125" s="35"/>
      <c r="I125" s="20"/>
      <c r="J125" s="21">
        <f t="shared" si="11"/>
        <v>0</v>
      </c>
      <c r="K125" s="7"/>
      <c r="V125" s="36">
        <f t="shared" si="12"/>
        <v>0</v>
      </c>
      <c r="W125" s="36">
        <f t="shared" si="13"/>
        <v>0</v>
      </c>
    </row>
    <row r="126" spans="1:23" s="36" customFormat="1" hidden="1" x14ac:dyDescent="0.3">
      <c r="A126" s="6"/>
      <c r="B126" s="17">
        <f t="shared" si="14"/>
        <v>35</v>
      </c>
      <c r="C126" s="18"/>
      <c r="D126" s="19"/>
      <c r="E126" s="19"/>
      <c r="F126" s="35"/>
      <c r="G126" s="35"/>
      <c r="H126" s="35"/>
      <c r="I126" s="20"/>
      <c r="J126" s="21">
        <f t="shared" si="11"/>
        <v>0</v>
      </c>
      <c r="K126" s="7"/>
      <c r="V126" s="36">
        <f t="shared" si="12"/>
        <v>0</v>
      </c>
      <c r="W126" s="36">
        <f t="shared" si="13"/>
        <v>0</v>
      </c>
    </row>
    <row r="127" spans="1:23" s="36" customFormat="1" hidden="1" x14ac:dyDescent="0.3">
      <c r="A127" s="6"/>
      <c r="B127" s="17">
        <f t="shared" si="14"/>
        <v>36</v>
      </c>
      <c r="C127" s="18"/>
      <c r="D127" s="19"/>
      <c r="E127" s="19"/>
      <c r="F127" s="35"/>
      <c r="G127" s="35"/>
      <c r="H127" s="35"/>
      <c r="I127" s="20"/>
      <c r="J127" s="21">
        <f t="shared" si="11"/>
        <v>0</v>
      </c>
      <c r="K127" s="7"/>
      <c r="V127" s="36">
        <f t="shared" si="12"/>
        <v>0</v>
      </c>
      <c r="W127" s="36">
        <f t="shared" si="13"/>
        <v>0</v>
      </c>
    </row>
    <row r="128" spans="1:23" s="36" customFormat="1" hidden="1" x14ac:dyDescent="0.3">
      <c r="A128" s="6"/>
      <c r="B128" s="17">
        <f t="shared" si="14"/>
        <v>37</v>
      </c>
      <c r="C128" s="18"/>
      <c r="D128" s="19"/>
      <c r="E128" s="19"/>
      <c r="F128" s="35"/>
      <c r="G128" s="35"/>
      <c r="H128" s="35"/>
      <c r="I128" s="20"/>
      <c r="J128" s="21">
        <f t="shared" si="11"/>
        <v>0</v>
      </c>
      <c r="K128" s="7"/>
      <c r="V128" s="36">
        <f t="shared" si="12"/>
        <v>0</v>
      </c>
      <c r="W128" s="36">
        <f t="shared" si="13"/>
        <v>0</v>
      </c>
    </row>
    <row r="129" spans="1:23" s="36" customFormat="1" hidden="1" x14ac:dyDescent="0.3">
      <c r="A129" s="6"/>
      <c r="B129" s="17">
        <f t="shared" si="14"/>
        <v>38</v>
      </c>
      <c r="C129" s="18"/>
      <c r="D129" s="19"/>
      <c r="E129" s="19"/>
      <c r="F129" s="35"/>
      <c r="G129" s="35"/>
      <c r="H129" s="35"/>
      <c r="I129" s="20"/>
      <c r="J129" s="21">
        <f t="shared" si="11"/>
        <v>0</v>
      </c>
      <c r="K129" s="7"/>
      <c r="V129" s="36">
        <f t="shared" si="12"/>
        <v>0</v>
      </c>
      <c r="W129" s="36">
        <f t="shared" si="13"/>
        <v>0</v>
      </c>
    </row>
    <row r="130" spans="1:23" s="36" customFormat="1" hidden="1" x14ac:dyDescent="0.3">
      <c r="A130" s="6"/>
      <c r="B130" s="17">
        <f t="shared" si="14"/>
        <v>39</v>
      </c>
      <c r="C130" s="18"/>
      <c r="D130" s="19"/>
      <c r="E130" s="19"/>
      <c r="F130" s="35"/>
      <c r="G130" s="35"/>
      <c r="H130" s="35"/>
      <c r="I130" s="20"/>
      <c r="J130" s="21">
        <f t="shared" si="11"/>
        <v>0</v>
      </c>
      <c r="K130" s="7"/>
    </row>
    <row r="131" spans="1:23" s="36" customFormat="1" hidden="1" x14ac:dyDescent="0.3">
      <c r="A131" s="6"/>
      <c r="B131" s="17">
        <f t="shared" si="14"/>
        <v>40</v>
      </c>
      <c r="C131" s="18"/>
      <c r="D131" s="19"/>
      <c r="E131" s="19"/>
      <c r="F131" s="35"/>
      <c r="G131" s="35"/>
      <c r="H131" s="35"/>
      <c r="I131" s="20"/>
      <c r="J131" s="21">
        <f t="shared" si="11"/>
        <v>0</v>
      </c>
      <c r="K131" s="7"/>
    </row>
    <row r="132" spans="1:23" s="36" customFormat="1" hidden="1" x14ac:dyDescent="0.3">
      <c r="A132" s="6"/>
      <c r="B132" s="17">
        <f t="shared" si="14"/>
        <v>41</v>
      </c>
      <c r="C132" s="18"/>
      <c r="D132" s="19"/>
      <c r="E132" s="19"/>
      <c r="F132" s="35"/>
      <c r="G132" s="35"/>
      <c r="H132" s="35"/>
      <c r="I132" s="20"/>
      <c r="J132" s="21">
        <f t="shared" si="11"/>
        <v>0</v>
      </c>
      <c r="K132" s="7"/>
    </row>
    <row r="133" spans="1:23" s="36" customFormat="1" hidden="1" x14ac:dyDescent="0.3">
      <c r="A133" s="6"/>
      <c r="B133" s="17">
        <f t="shared" si="14"/>
        <v>42</v>
      </c>
      <c r="C133" s="18"/>
      <c r="D133" s="19"/>
      <c r="E133" s="19"/>
      <c r="F133" s="35"/>
      <c r="G133" s="35"/>
      <c r="H133" s="35"/>
      <c r="I133" s="20"/>
      <c r="J133" s="21">
        <f t="shared" si="11"/>
        <v>0</v>
      </c>
      <c r="K133" s="7"/>
    </row>
    <row r="134" spans="1:23" s="36" customFormat="1" hidden="1" x14ac:dyDescent="0.3">
      <c r="A134" s="6"/>
      <c r="B134" s="17">
        <f t="shared" si="14"/>
        <v>43</v>
      </c>
      <c r="C134" s="18"/>
      <c r="D134" s="19"/>
      <c r="E134" s="19"/>
      <c r="F134" s="35"/>
      <c r="G134" s="35"/>
      <c r="H134" s="35"/>
      <c r="I134" s="20"/>
      <c r="J134" s="21">
        <f t="shared" si="11"/>
        <v>0</v>
      </c>
      <c r="K134" s="7"/>
    </row>
    <row r="135" spans="1:23" s="36" customFormat="1" hidden="1" x14ac:dyDescent="0.3">
      <c r="A135" s="6"/>
      <c r="B135" s="17">
        <f t="shared" si="14"/>
        <v>44</v>
      </c>
      <c r="C135" s="18"/>
      <c r="D135" s="19"/>
      <c r="E135" s="19"/>
      <c r="F135" s="35"/>
      <c r="G135" s="35"/>
      <c r="H135" s="35"/>
      <c r="I135" s="20"/>
      <c r="J135" s="21">
        <f t="shared" si="11"/>
        <v>0</v>
      </c>
      <c r="K135" s="7"/>
    </row>
    <row r="136" spans="1:23" s="36" customFormat="1" hidden="1" x14ac:dyDescent="0.3">
      <c r="A136" s="6"/>
      <c r="B136" s="17">
        <f t="shared" si="14"/>
        <v>45</v>
      </c>
      <c r="C136" s="18"/>
      <c r="D136" s="19"/>
      <c r="E136" s="19"/>
      <c r="F136" s="35"/>
      <c r="G136" s="35"/>
      <c r="H136" s="35"/>
      <c r="I136" s="20"/>
      <c r="J136" s="21">
        <f t="shared" si="11"/>
        <v>0</v>
      </c>
      <c r="K136" s="7"/>
    </row>
    <row r="137" spans="1:23" s="36" customFormat="1" hidden="1" x14ac:dyDescent="0.3">
      <c r="A137" s="6"/>
      <c r="B137" s="17">
        <f t="shared" si="14"/>
        <v>46</v>
      </c>
      <c r="C137" s="18"/>
      <c r="D137" s="19"/>
      <c r="E137" s="19"/>
      <c r="F137" s="35"/>
      <c r="G137" s="35"/>
      <c r="H137" s="35"/>
      <c r="I137" s="20"/>
      <c r="J137" s="21">
        <f t="shared" si="11"/>
        <v>0</v>
      </c>
      <c r="K137" s="7"/>
    </row>
    <row r="138" spans="1:23" s="36" customFormat="1" hidden="1" x14ac:dyDescent="0.3">
      <c r="A138" s="6"/>
      <c r="B138" s="17">
        <f t="shared" si="14"/>
        <v>47</v>
      </c>
      <c r="C138" s="18"/>
      <c r="D138" s="19"/>
      <c r="E138" s="19"/>
      <c r="F138" s="35"/>
      <c r="G138" s="35"/>
      <c r="H138" s="35"/>
      <c r="I138" s="20"/>
      <c r="J138" s="21">
        <f t="shared" si="11"/>
        <v>0</v>
      </c>
      <c r="K138" s="7"/>
      <c r="V138" s="36">
        <f t="shared" si="12"/>
        <v>0</v>
      </c>
      <c r="W138" s="36">
        <f t="shared" si="13"/>
        <v>0</v>
      </c>
    </row>
    <row r="139" spans="1:23" s="36" customFormat="1" hidden="1" x14ac:dyDescent="0.3">
      <c r="A139" s="6"/>
      <c r="B139" s="17">
        <f t="shared" si="14"/>
        <v>48</v>
      </c>
      <c r="C139" s="18"/>
      <c r="D139" s="19"/>
      <c r="E139" s="19"/>
      <c r="F139" s="35"/>
      <c r="G139" s="35"/>
      <c r="H139" s="35"/>
      <c r="I139" s="20"/>
      <c r="J139" s="21">
        <f t="shared" si="11"/>
        <v>0</v>
      </c>
      <c r="K139" s="7"/>
    </row>
    <row r="140" spans="1:23" s="36" customFormat="1" hidden="1" x14ac:dyDescent="0.3">
      <c r="A140" s="6"/>
      <c r="B140" s="17">
        <f t="shared" si="14"/>
        <v>49</v>
      </c>
      <c r="C140" s="18"/>
      <c r="D140" s="19"/>
      <c r="E140" s="19"/>
      <c r="F140" s="35"/>
      <c r="G140" s="35"/>
      <c r="H140" s="35"/>
      <c r="I140" s="20"/>
      <c r="J140" s="21">
        <f t="shared" si="11"/>
        <v>0</v>
      </c>
      <c r="K140" s="7"/>
    </row>
    <row r="141" spans="1:23" s="36" customFormat="1" hidden="1" x14ac:dyDescent="0.3">
      <c r="A141" s="6"/>
      <c r="B141" s="17">
        <f t="shared" si="14"/>
        <v>50</v>
      </c>
      <c r="C141" s="18"/>
      <c r="D141" s="19"/>
      <c r="E141" s="19"/>
      <c r="F141" s="35"/>
      <c r="G141" s="35"/>
      <c r="H141" s="35"/>
      <c r="I141" s="20"/>
      <c r="J141" s="21">
        <f t="shared" si="11"/>
        <v>0</v>
      </c>
      <c r="K141" s="7"/>
    </row>
    <row r="142" spans="1:23" s="36" customFormat="1" hidden="1" x14ac:dyDescent="0.3">
      <c r="A142" s="6"/>
      <c r="B142" s="17">
        <f t="shared" si="14"/>
        <v>51</v>
      </c>
      <c r="C142" s="18"/>
      <c r="D142" s="19"/>
      <c r="E142" s="19"/>
      <c r="F142" s="35"/>
      <c r="G142" s="35"/>
      <c r="H142" s="35"/>
      <c r="I142" s="20"/>
      <c r="J142" s="21">
        <f t="shared" si="11"/>
        <v>0</v>
      </c>
      <c r="K142" s="7"/>
    </row>
    <row r="143" spans="1:23" s="36" customFormat="1" hidden="1" x14ac:dyDescent="0.3">
      <c r="A143" s="6"/>
      <c r="B143" s="17">
        <f t="shared" si="14"/>
        <v>52</v>
      </c>
      <c r="C143" s="18"/>
      <c r="D143" s="19"/>
      <c r="E143" s="19"/>
      <c r="F143" s="35"/>
      <c r="G143" s="35"/>
      <c r="H143" s="35"/>
      <c r="I143" s="20"/>
      <c r="J143" s="21">
        <f t="shared" si="11"/>
        <v>0</v>
      </c>
      <c r="K143" s="7"/>
    </row>
    <row r="144" spans="1:23" s="36" customFormat="1" ht="15" thickBot="1" x14ac:dyDescent="0.35">
      <c r="A144" s="6"/>
      <c r="B144" s="17">
        <f t="shared" si="14"/>
        <v>53</v>
      </c>
      <c r="C144" s="79"/>
      <c r="D144" s="80"/>
      <c r="E144" s="80"/>
      <c r="F144" s="81"/>
      <c r="G144" s="81"/>
      <c r="H144" s="80"/>
      <c r="I144" s="81"/>
      <c r="J144" s="82">
        <f t="shared" si="11"/>
        <v>0</v>
      </c>
      <c r="K144" s="7"/>
      <c r="V144" s="36">
        <f t="shared" si="12"/>
        <v>0</v>
      </c>
      <c r="W144" s="36">
        <f t="shared" si="13"/>
        <v>0</v>
      </c>
    </row>
    <row r="145" spans="1:23" s="36" customFormat="1" ht="24" thickBot="1" x14ac:dyDescent="0.5">
      <c r="A145" s="6"/>
      <c r="B145" s="165" t="s">
        <v>22</v>
      </c>
      <c r="C145" s="166"/>
      <c r="D145" s="166"/>
      <c r="E145" s="166"/>
      <c r="F145" s="166"/>
      <c r="G145" s="166"/>
      <c r="H145" s="167"/>
      <c r="I145" s="83" t="s">
        <v>23</v>
      </c>
      <c r="J145" s="84">
        <f>SUM(J92:J144)</f>
        <v>211106.25</v>
      </c>
      <c r="K145" s="7"/>
      <c r="L145" s="5"/>
      <c r="M145" s="5"/>
      <c r="N145" s="5"/>
      <c r="O145" s="5"/>
      <c r="P145" s="5"/>
      <c r="Q145" s="5"/>
      <c r="R145" s="5"/>
      <c r="V145" s="36">
        <f>SUM(V92:V144)</f>
        <v>18</v>
      </c>
      <c r="W145" s="36">
        <f>SUM(W92:W144)</f>
        <v>4</v>
      </c>
    </row>
    <row r="146" spans="1:23" s="36" customFormat="1" ht="30" customHeight="1" thickBot="1" x14ac:dyDescent="0.35">
      <c r="A146" s="30"/>
      <c r="B146" s="31"/>
      <c r="C146" s="31"/>
      <c r="D146" s="31"/>
      <c r="E146" s="31"/>
      <c r="F146" s="31"/>
      <c r="G146" s="31"/>
      <c r="H146" s="32"/>
      <c r="I146" s="31"/>
      <c r="J146" s="32"/>
      <c r="K146" s="33"/>
      <c r="L146" s="5"/>
      <c r="M146" s="5"/>
      <c r="N146" s="5"/>
      <c r="O146" s="5"/>
      <c r="P146" s="5"/>
      <c r="Q146" s="5"/>
      <c r="R146" s="5"/>
    </row>
    <row r="147" spans="1:23" ht="15" thickBot="1" x14ac:dyDescent="0.35"/>
    <row r="148" spans="1:23" s="36" customFormat="1" ht="30" customHeight="1" thickBot="1" x14ac:dyDescent="0.35">
      <c r="A148" s="1"/>
      <c r="B148" s="2"/>
      <c r="C148" s="2"/>
      <c r="D148" s="2"/>
      <c r="E148" s="2"/>
      <c r="F148" s="2"/>
      <c r="G148" s="2"/>
      <c r="H148" s="3"/>
      <c r="I148" s="2"/>
      <c r="J148" s="3"/>
      <c r="K148" s="4"/>
    </row>
    <row r="149" spans="1:23" s="36" customFormat="1" ht="25.2" thickBot="1" x14ac:dyDescent="0.35">
      <c r="A149" s="6" t="s">
        <v>1</v>
      </c>
      <c r="B149" s="119" t="s">
        <v>2</v>
      </c>
      <c r="C149" s="120"/>
      <c r="D149" s="120"/>
      <c r="E149" s="120"/>
      <c r="F149" s="120"/>
      <c r="G149" s="120"/>
      <c r="H149" s="120"/>
      <c r="I149" s="120"/>
      <c r="J149" s="121"/>
      <c r="K149" s="7"/>
    </row>
    <row r="150" spans="1:23" s="36" customFormat="1" ht="16.2" thickBot="1" x14ac:dyDescent="0.35">
      <c r="A150" s="6"/>
      <c r="B150" s="168" t="s">
        <v>187</v>
      </c>
      <c r="C150" s="169"/>
      <c r="D150" s="169"/>
      <c r="E150" s="169"/>
      <c r="F150" s="169"/>
      <c r="G150" s="169"/>
      <c r="H150" s="169"/>
      <c r="I150" s="169"/>
      <c r="J150" s="170"/>
      <c r="K150" s="7"/>
      <c r="L150" s="22"/>
    </row>
    <row r="151" spans="1:23" s="36" customFormat="1" ht="16.2" thickBot="1" x14ac:dyDescent="0.35">
      <c r="A151" s="6"/>
      <c r="B151" s="106" t="s">
        <v>215</v>
      </c>
      <c r="C151" s="107"/>
      <c r="D151" s="107"/>
      <c r="E151" s="107"/>
      <c r="F151" s="107"/>
      <c r="G151" s="107"/>
      <c r="H151" s="107"/>
      <c r="I151" s="107"/>
      <c r="J151" s="108"/>
      <c r="K151" s="7"/>
    </row>
    <row r="152" spans="1:23" s="22" customFormat="1" ht="15" thickBot="1" x14ac:dyDescent="0.35">
      <c r="A152" s="69"/>
      <c r="B152" s="70" t="s">
        <v>9</v>
      </c>
      <c r="C152" s="71" t="s">
        <v>10</v>
      </c>
      <c r="D152" s="72" t="s">
        <v>11</v>
      </c>
      <c r="E152" s="72" t="s">
        <v>12</v>
      </c>
      <c r="F152" s="73" t="s">
        <v>65</v>
      </c>
      <c r="G152" s="73" t="s">
        <v>66</v>
      </c>
      <c r="H152" s="74" t="s">
        <v>67</v>
      </c>
      <c r="I152" s="73" t="s">
        <v>68</v>
      </c>
      <c r="J152" s="75" t="s">
        <v>17</v>
      </c>
      <c r="K152" s="76"/>
      <c r="L152" s="36"/>
      <c r="M152" s="36"/>
      <c r="N152" s="36"/>
      <c r="O152" s="36" t="s">
        <v>21</v>
      </c>
      <c r="P152" s="36"/>
      <c r="Q152" s="36"/>
      <c r="R152" s="36"/>
      <c r="V152" s="5" t="s">
        <v>5</v>
      </c>
      <c r="W152" s="5" t="s">
        <v>6</v>
      </c>
    </row>
    <row r="153" spans="1:23" s="36" customFormat="1" x14ac:dyDescent="0.3">
      <c r="A153" s="6"/>
      <c r="B153" s="14">
        <v>1</v>
      </c>
      <c r="C153" s="18">
        <v>44216</v>
      </c>
      <c r="D153" s="19" t="s">
        <v>18</v>
      </c>
      <c r="E153" s="19" t="s">
        <v>205</v>
      </c>
      <c r="F153" s="35">
        <v>90</v>
      </c>
      <c r="G153" s="35">
        <v>120</v>
      </c>
      <c r="H153" s="35">
        <v>30</v>
      </c>
      <c r="I153" s="20">
        <v>300</v>
      </c>
      <c r="J153" s="16">
        <f t="shared" ref="J153:J195" si="15">I153*H153</f>
        <v>9000</v>
      </c>
      <c r="K153" s="7"/>
      <c r="V153" s="36">
        <f>IF($J153&gt;0,1,0)</f>
        <v>1</v>
      </c>
      <c r="W153" s="36">
        <f>IF($J153&lt;0,1,0)</f>
        <v>0</v>
      </c>
    </row>
    <row r="154" spans="1:23" s="36" customFormat="1" x14ac:dyDescent="0.3">
      <c r="A154" s="6"/>
      <c r="B154" s="17">
        <f>B153+1</f>
        <v>2</v>
      </c>
      <c r="C154" s="18">
        <v>44216</v>
      </c>
      <c r="D154" s="19" t="s">
        <v>18</v>
      </c>
      <c r="E154" s="19" t="s">
        <v>205</v>
      </c>
      <c r="F154" s="35">
        <v>75</v>
      </c>
      <c r="G154" s="35">
        <v>90</v>
      </c>
      <c r="H154" s="35">
        <v>15</v>
      </c>
      <c r="I154" s="20">
        <v>300</v>
      </c>
      <c r="J154" s="21">
        <f t="shared" si="15"/>
        <v>4500</v>
      </c>
      <c r="K154" s="7"/>
      <c r="L154" s="36" t="s">
        <v>21</v>
      </c>
      <c r="V154" s="36">
        <f t="shared" ref="V154:V195" si="16">IF($J154&gt;0,1,0)</f>
        <v>1</v>
      </c>
      <c r="W154" s="36">
        <f t="shared" ref="W154:W195" si="17">IF($J154&lt;0,1,0)</f>
        <v>0</v>
      </c>
    </row>
    <row r="155" spans="1:23" s="36" customFormat="1" x14ac:dyDescent="0.3">
      <c r="A155" s="6"/>
      <c r="B155" s="17">
        <f t="shared" ref="B155:B195" si="18">B154+1</f>
        <v>3</v>
      </c>
      <c r="C155" s="18">
        <v>44217</v>
      </c>
      <c r="D155" s="19" t="s">
        <v>18</v>
      </c>
      <c r="E155" s="19" t="s">
        <v>206</v>
      </c>
      <c r="F155" s="35">
        <v>45</v>
      </c>
      <c r="G155" s="35">
        <v>55</v>
      </c>
      <c r="H155" s="35">
        <v>10</v>
      </c>
      <c r="I155" s="20">
        <v>300</v>
      </c>
      <c r="J155" s="21">
        <f t="shared" si="15"/>
        <v>3000</v>
      </c>
      <c r="K155" s="7"/>
      <c r="V155" s="36">
        <f t="shared" si="16"/>
        <v>1</v>
      </c>
      <c r="W155" s="36">
        <f t="shared" si="17"/>
        <v>0</v>
      </c>
    </row>
    <row r="156" spans="1:23" s="36" customFormat="1" x14ac:dyDescent="0.3">
      <c r="A156" s="6"/>
      <c r="B156" s="17">
        <f t="shared" si="18"/>
        <v>4</v>
      </c>
      <c r="C156" s="18">
        <v>44218</v>
      </c>
      <c r="D156" s="19" t="s">
        <v>18</v>
      </c>
      <c r="E156" s="19" t="s">
        <v>207</v>
      </c>
      <c r="F156" s="35">
        <v>100</v>
      </c>
      <c r="G156" s="35">
        <v>85</v>
      </c>
      <c r="H156" s="35">
        <v>-15</v>
      </c>
      <c r="I156" s="20">
        <v>300</v>
      </c>
      <c r="J156" s="21">
        <f t="shared" si="15"/>
        <v>-4500</v>
      </c>
      <c r="K156" s="7"/>
      <c r="V156" s="36">
        <f t="shared" si="16"/>
        <v>0</v>
      </c>
      <c r="W156" s="36">
        <f t="shared" si="17"/>
        <v>1</v>
      </c>
    </row>
    <row r="157" spans="1:23" s="36" customFormat="1" x14ac:dyDescent="0.3">
      <c r="A157" s="6"/>
      <c r="B157" s="17">
        <f t="shared" si="18"/>
        <v>5</v>
      </c>
      <c r="C157" s="18">
        <v>44221</v>
      </c>
      <c r="D157" s="19" t="s">
        <v>18</v>
      </c>
      <c r="E157" s="19" t="s">
        <v>212</v>
      </c>
      <c r="F157" s="35">
        <v>90</v>
      </c>
      <c r="G157" s="35">
        <v>107.65</v>
      </c>
      <c r="H157" s="35">
        <v>17.649999999999999</v>
      </c>
      <c r="I157" s="20">
        <v>300</v>
      </c>
      <c r="J157" s="21">
        <f t="shared" si="15"/>
        <v>5295</v>
      </c>
      <c r="K157" s="7"/>
      <c r="V157" s="36">
        <f t="shared" si="16"/>
        <v>1</v>
      </c>
      <c r="W157" s="36">
        <f t="shared" si="17"/>
        <v>0</v>
      </c>
    </row>
    <row r="158" spans="1:23" s="36" customFormat="1" x14ac:dyDescent="0.3">
      <c r="A158" s="6"/>
      <c r="B158" s="17">
        <f t="shared" si="18"/>
        <v>6</v>
      </c>
      <c r="C158" s="18">
        <v>44221</v>
      </c>
      <c r="D158" s="19" t="s">
        <v>18</v>
      </c>
      <c r="E158" s="19" t="s">
        <v>213</v>
      </c>
      <c r="F158" s="20">
        <v>80</v>
      </c>
      <c r="G158" s="35">
        <v>89.5</v>
      </c>
      <c r="H158" s="35">
        <v>9.5</v>
      </c>
      <c r="I158" s="20">
        <v>300</v>
      </c>
      <c r="J158" s="21">
        <f t="shared" si="15"/>
        <v>2850</v>
      </c>
      <c r="K158" s="7"/>
      <c r="V158" s="36">
        <f t="shared" si="16"/>
        <v>1</v>
      </c>
      <c r="W158" s="36">
        <f t="shared" si="17"/>
        <v>0</v>
      </c>
    </row>
    <row r="159" spans="1:23" s="36" customFormat="1" x14ac:dyDescent="0.3">
      <c r="A159" s="6"/>
      <c r="B159" s="17">
        <f t="shared" si="18"/>
        <v>7</v>
      </c>
      <c r="C159" s="18">
        <v>44221</v>
      </c>
      <c r="D159" s="19" t="s">
        <v>18</v>
      </c>
      <c r="E159" s="19" t="s">
        <v>214</v>
      </c>
      <c r="F159" s="35">
        <v>85</v>
      </c>
      <c r="G159" s="35">
        <v>88</v>
      </c>
      <c r="H159" s="35">
        <v>3</v>
      </c>
      <c r="I159" s="20">
        <v>300</v>
      </c>
      <c r="J159" s="21">
        <f t="shared" si="15"/>
        <v>900</v>
      </c>
      <c r="K159" s="7"/>
      <c r="V159" s="36">
        <f t="shared" si="16"/>
        <v>1</v>
      </c>
      <c r="W159" s="36">
        <f t="shared" si="17"/>
        <v>0</v>
      </c>
    </row>
    <row r="160" spans="1:23" s="36" customFormat="1" x14ac:dyDescent="0.3">
      <c r="A160" s="6"/>
      <c r="B160" s="17">
        <f t="shared" si="18"/>
        <v>8</v>
      </c>
      <c r="C160" s="18">
        <v>44222</v>
      </c>
      <c r="D160" s="19" t="s">
        <v>18</v>
      </c>
      <c r="E160" s="19" t="s">
        <v>216</v>
      </c>
      <c r="F160" s="35">
        <v>75</v>
      </c>
      <c r="G160" s="35">
        <v>105</v>
      </c>
      <c r="H160" s="35">
        <v>30</v>
      </c>
      <c r="I160" s="20">
        <v>300</v>
      </c>
      <c r="J160" s="21">
        <f t="shared" si="15"/>
        <v>9000</v>
      </c>
      <c r="K160" s="7"/>
      <c r="V160" s="36">
        <f t="shared" si="16"/>
        <v>1</v>
      </c>
      <c r="W160" s="36">
        <f t="shared" si="17"/>
        <v>0</v>
      </c>
    </row>
    <row r="161" spans="1:23" s="36" customFormat="1" x14ac:dyDescent="0.3">
      <c r="A161" s="6"/>
      <c r="B161" s="17">
        <f t="shared" si="18"/>
        <v>9</v>
      </c>
      <c r="C161" s="18">
        <v>44222</v>
      </c>
      <c r="D161" s="19" t="s">
        <v>18</v>
      </c>
      <c r="E161" s="19" t="s">
        <v>217</v>
      </c>
      <c r="F161" s="35">
        <v>85</v>
      </c>
      <c r="G161" s="35">
        <v>106</v>
      </c>
      <c r="H161" s="35">
        <v>21</v>
      </c>
      <c r="I161" s="20">
        <v>300</v>
      </c>
      <c r="J161" s="21">
        <f t="shared" si="15"/>
        <v>6300</v>
      </c>
      <c r="K161" s="7"/>
      <c r="V161" s="36">
        <f t="shared" si="16"/>
        <v>1</v>
      </c>
      <c r="W161" s="36">
        <f t="shared" si="17"/>
        <v>0</v>
      </c>
    </row>
    <row r="162" spans="1:23" s="36" customFormat="1" x14ac:dyDescent="0.3">
      <c r="A162" s="6"/>
      <c r="B162" s="17">
        <f t="shared" si="18"/>
        <v>10</v>
      </c>
      <c r="C162" s="18">
        <v>44224</v>
      </c>
      <c r="D162" s="19" t="s">
        <v>18</v>
      </c>
      <c r="E162" s="19" t="s">
        <v>219</v>
      </c>
      <c r="F162" s="35">
        <v>85</v>
      </c>
      <c r="G162" s="35">
        <v>115</v>
      </c>
      <c r="H162" s="35">
        <v>30</v>
      </c>
      <c r="I162" s="20">
        <v>300</v>
      </c>
      <c r="J162" s="21">
        <f t="shared" si="15"/>
        <v>9000</v>
      </c>
      <c r="K162" s="7"/>
      <c r="V162" s="36">
        <f t="shared" si="16"/>
        <v>1</v>
      </c>
      <c r="W162" s="36">
        <f t="shared" si="17"/>
        <v>0</v>
      </c>
    </row>
    <row r="163" spans="1:23" s="36" customFormat="1" x14ac:dyDescent="0.3">
      <c r="A163" s="6"/>
      <c r="B163" s="17">
        <f t="shared" si="18"/>
        <v>11</v>
      </c>
      <c r="C163" s="18">
        <v>44224</v>
      </c>
      <c r="D163" s="19" t="s">
        <v>18</v>
      </c>
      <c r="E163" s="19" t="s">
        <v>219</v>
      </c>
      <c r="F163" s="19">
        <v>85</v>
      </c>
      <c r="G163" s="35">
        <v>99</v>
      </c>
      <c r="H163" s="35">
        <v>14</v>
      </c>
      <c r="I163" s="20">
        <v>300</v>
      </c>
      <c r="J163" s="21">
        <f t="shared" si="15"/>
        <v>4200</v>
      </c>
      <c r="K163" s="7"/>
      <c r="V163" s="36">
        <f t="shared" si="16"/>
        <v>1</v>
      </c>
      <c r="W163" s="36">
        <f t="shared" si="17"/>
        <v>0</v>
      </c>
    </row>
    <row r="164" spans="1:23" s="36" customFormat="1" x14ac:dyDescent="0.3">
      <c r="A164" s="6"/>
      <c r="B164" s="17">
        <f t="shared" si="18"/>
        <v>12</v>
      </c>
      <c r="C164" s="18">
        <v>44225</v>
      </c>
      <c r="D164" s="19" t="s">
        <v>18</v>
      </c>
      <c r="E164" s="19" t="s">
        <v>221</v>
      </c>
      <c r="F164" s="35">
        <v>190</v>
      </c>
      <c r="G164" s="35">
        <v>215</v>
      </c>
      <c r="H164" s="35">
        <v>25</v>
      </c>
      <c r="I164" s="20">
        <v>300</v>
      </c>
      <c r="J164" s="21">
        <f t="shared" si="15"/>
        <v>7500</v>
      </c>
      <c r="K164" s="7"/>
      <c r="V164" s="36">
        <f t="shared" si="16"/>
        <v>1</v>
      </c>
      <c r="W164" s="36">
        <f t="shared" si="17"/>
        <v>0</v>
      </c>
    </row>
    <row r="165" spans="1:23" s="36" customFormat="1" x14ac:dyDescent="0.3">
      <c r="A165" s="6"/>
      <c r="B165" s="17">
        <f t="shared" si="18"/>
        <v>13</v>
      </c>
      <c r="C165" s="18">
        <v>44225</v>
      </c>
      <c r="D165" s="19" t="s">
        <v>18</v>
      </c>
      <c r="E165" s="19" t="s">
        <v>222</v>
      </c>
      <c r="F165" s="35">
        <v>170</v>
      </c>
      <c r="G165" s="35">
        <v>150</v>
      </c>
      <c r="H165" s="35">
        <v>-20</v>
      </c>
      <c r="I165" s="20">
        <v>300</v>
      </c>
      <c r="J165" s="21">
        <f t="shared" si="15"/>
        <v>-6000</v>
      </c>
      <c r="K165" s="7"/>
      <c r="V165" s="36">
        <f t="shared" si="16"/>
        <v>0</v>
      </c>
      <c r="W165" s="36">
        <f t="shared" si="17"/>
        <v>1</v>
      </c>
    </row>
    <row r="166" spans="1:23" s="36" customFormat="1" x14ac:dyDescent="0.3">
      <c r="A166" s="6"/>
      <c r="B166" s="17">
        <f t="shared" si="18"/>
        <v>14</v>
      </c>
      <c r="C166" s="18"/>
      <c r="D166" s="19"/>
      <c r="E166" s="19"/>
      <c r="F166" s="77"/>
      <c r="G166" s="35"/>
      <c r="H166" s="78"/>
      <c r="I166" s="20"/>
      <c r="J166" s="21">
        <f t="shared" si="15"/>
        <v>0</v>
      </c>
      <c r="K166" s="7"/>
      <c r="V166" s="36">
        <f t="shared" si="16"/>
        <v>0</v>
      </c>
      <c r="W166" s="36">
        <f t="shared" si="17"/>
        <v>0</v>
      </c>
    </row>
    <row r="167" spans="1:23" s="36" customFormat="1" x14ac:dyDescent="0.3">
      <c r="A167" s="6"/>
      <c r="B167" s="17">
        <f t="shared" si="18"/>
        <v>15</v>
      </c>
      <c r="C167" s="18"/>
      <c r="D167" s="19"/>
      <c r="E167" s="19"/>
      <c r="F167" s="35"/>
      <c r="G167" s="35"/>
      <c r="H167" s="78"/>
      <c r="I167" s="20"/>
      <c r="J167" s="21">
        <f t="shared" si="15"/>
        <v>0</v>
      </c>
      <c r="K167" s="7"/>
      <c r="V167" s="36">
        <f t="shared" si="16"/>
        <v>0</v>
      </c>
      <c r="W167" s="36">
        <f t="shared" si="17"/>
        <v>0</v>
      </c>
    </row>
    <row r="168" spans="1:23" s="36" customFormat="1" x14ac:dyDescent="0.3">
      <c r="A168" s="6"/>
      <c r="B168" s="17">
        <f t="shared" si="18"/>
        <v>16</v>
      </c>
      <c r="C168" s="18"/>
      <c r="D168" s="19"/>
      <c r="E168" s="19"/>
      <c r="F168" s="35"/>
      <c r="G168" s="35"/>
      <c r="H168" s="78"/>
      <c r="I168" s="20"/>
      <c r="J168" s="21">
        <f t="shared" si="15"/>
        <v>0</v>
      </c>
      <c r="K168" s="7"/>
      <c r="V168" s="36">
        <f t="shared" si="16"/>
        <v>0</v>
      </c>
      <c r="W168" s="36">
        <f t="shared" si="17"/>
        <v>0</v>
      </c>
    </row>
    <row r="169" spans="1:23" s="36" customFormat="1" x14ac:dyDescent="0.3">
      <c r="A169" s="6"/>
      <c r="B169" s="17">
        <f t="shared" si="18"/>
        <v>17</v>
      </c>
      <c r="C169" s="18"/>
      <c r="D169" s="19"/>
      <c r="E169" s="19"/>
      <c r="F169" s="35"/>
      <c r="G169" s="35"/>
      <c r="H169" s="35"/>
      <c r="I169" s="20"/>
      <c r="J169" s="21">
        <f t="shared" si="15"/>
        <v>0</v>
      </c>
      <c r="K169" s="7"/>
      <c r="V169" s="36">
        <f t="shared" si="16"/>
        <v>0</v>
      </c>
      <c r="W169" s="36">
        <f t="shared" si="17"/>
        <v>0</v>
      </c>
    </row>
    <row r="170" spans="1:23" s="36" customFormat="1" x14ac:dyDescent="0.3">
      <c r="A170" s="6"/>
      <c r="B170" s="17">
        <f t="shared" si="18"/>
        <v>18</v>
      </c>
      <c r="C170" s="18"/>
      <c r="D170" s="19"/>
      <c r="E170" s="19"/>
      <c r="F170" s="35"/>
      <c r="G170" s="35"/>
      <c r="H170" s="35"/>
      <c r="I170" s="20"/>
      <c r="J170" s="21">
        <f t="shared" si="15"/>
        <v>0</v>
      </c>
      <c r="K170" s="7"/>
      <c r="V170" s="36">
        <f t="shared" si="16"/>
        <v>0</v>
      </c>
      <c r="W170" s="36">
        <f t="shared" si="17"/>
        <v>0</v>
      </c>
    </row>
    <row r="171" spans="1:23" s="36" customFormat="1" x14ac:dyDescent="0.3">
      <c r="A171" s="6"/>
      <c r="B171" s="17">
        <f t="shared" si="18"/>
        <v>19</v>
      </c>
      <c r="C171" s="18"/>
      <c r="D171" s="19"/>
      <c r="E171" s="19"/>
      <c r="F171" s="35"/>
      <c r="G171" s="35"/>
      <c r="H171" s="35"/>
      <c r="I171" s="20"/>
      <c r="J171" s="21">
        <f t="shared" si="15"/>
        <v>0</v>
      </c>
      <c r="K171" s="7"/>
      <c r="V171" s="36">
        <f t="shared" si="16"/>
        <v>0</v>
      </c>
      <c r="W171" s="36">
        <f t="shared" si="17"/>
        <v>0</v>
      </c>
    </row>
    <row r="172" spans="1:23" s="36" customFormat="1" x14ac:dyDescent="0.3">
      <c r="A172" s="6"/>
      <c r="B172" s="17">
        <f t="shared" si="18"/>
        <v>20</v>
      </c>
      <c r="C172" s="18"/>
      <c r="D172" s="19"/>
      <c r="E172" s="19"/>
      <c r="F172" s="35"/>
      <c r="G172" s="35"/>
      <c r="H172" s="35"/>
      <c r="I172" s="20"/>
      <c r="J172" s="21">
        <f t="shared" si="15"/>
        <v>0</v>
      </c>
      <c r="K172" s="7"/>
      <c r="V172" s="36">
        <f t="shared" si="16"/>
        <v>0</v>
      </c>
      <c r="W172" s="36">
        <f t="shared" si="17"/>
        <v>0</v>
      </c>
    </row>
    <row r="173" spans="1:23" s="36" customFormat="1" x14ac:dyDescent="0.3">
      <c r="A173" s="6"/>
      <c r="B173" s="17">
        <f t="shared" si="18"/>
        <v>21</v>
      </c>
      <c r="C173" s="18"/>
      <c r="D173" s="19"/>
      <c r="E173" s="19"/>
      <c r="F173" s="35"/>
      <c r="G173" s="35"/>
      <c r="H173" s="35"/>
      <c r="I173" s="20"/>
      <c r="J173" s="21">
        <f t="shared" si="15"/>
        <v>0</v>
      </c>
      <c r="K173" s="7"/>
      <c r="V173" s="36">
        <f t="shared" si="16"/>
        <v>0</v>
      </c>
      <c r="W173" s="36">
        <f t="shared" si="17"/>
        <v>0</v>
      </c>
    </row>
    <row r="174" spans="1:23" s="36" customFormat="1" x14ac:dyDescent="0.3">
      <c r="A174" s="6"/>
      <c r="B174" s="17">
        <f t="shared" si="18"/>
        <v>22</v>
      </c>
      <c r="C174" s="18"/>
      <c r="D174" s="19"/>
      <c r="E174" s="19"/>
      <c r="F174" s="35"/>
      <c r="G174" s="35"/>
      <c r="H174" s="35"/>
      <c r="I174" s="20"/>
      <c r="J174" s="21">
        <f t="shared" si="15"/>
        <v>0</v>
      </c>
      <c r="K174" s="7"/>
      <c r="V174" s="36">
        <f t="shared" si="16"/>
        <v>0</v>
      </c>
      <c r="W174" s="36">
        <f t="shared" si="17"/>
        <v>0</v>
      </c>
    </row>
    <row r="175" spans="1:23" s="36" customFormat="1" x14ac:dyDescent="0.3">
      <c r="A175" s="6"/>
      <c r="B175" s="17">
        <f t="shared" si="18"/>
        <v>23</v>
      </c>
      <c r="C175" s="18"/>
      <c r="D175" s="19"/>
      <c r="E175" s="19"/>
      <c r="F175" s="35"/>
      <c r="G175" s="35"/>
      <c r="H175" s="35"/>
      <c r="I175" s="20"/>
      <c r="J175" s="21">
        <f t="shared" si="15"/>
        <v>0</v>
      </c>
      <c r="K175" s="7"/>
      <c r="V175" s="36">
        <f t="shared" si="16"/>
        <v>0</v>
      </c>
      <c r="W175" s="36">
        <f t="shared" si="17"/>
        <v>0</v>
      </c>
    </row>
    <row r="176" spans="1:23" s="36" customFormat="1" hidden="1" x14ac:dyDescent="0.3">
      <c r="A176" s="6"/>
      <c r="B176" s="17">
        <f t="shared" si="18"/>
        <v>24</v>
      </c>
      <c r="C176" s="18"/>
      <c r="D176" s="19"/>
      <c r="E176" s="19"/>
      <c r="F176" s="35"/>
      <c r="G176" s="35"/>
      <c r="H176" s="35"/>
      <c r="I176" s="20"/>
      <c r="J176" s="21">
        <f t="shared" si="15"/>
        <v>0</v>
      </c>
      <c r="K176" s="7"/>
      <c r="V176" s="36">
        <f t="shared" si="16"/>
        <v>0</v>
      </c>
      <c r="W176" s="36">
        <f t="shared" si="17"/>
        <v>0</v>
      </c>
    </row>
    <row r="177" spans="1:23" s="36" customFormat="1" hidden="1" x14ac:dyDescent="0.3">
      <c r="A177" s="6"/>
      <c r="B177" s="17">
        <f t="shared" si="18"/>
        <v>25</v>
      </c>
      <c r="C177" s="18"/>
      <c r="D177" s="19"/>
      <c r="E177" s="19"/>
      <c r="F177" s="35"/>
      <c r="G177" s="35"/>
      <c r="H177" s="35"/>
      <c r="I177" s="20"/>
      <c r="J177" s="21">
        <f t="shared" si="15"/>
        <v>0</v>
      </c>
      <c r="K177" s="7"/>
      <c r="V177" s="36">
        <f t="shared" si="16"/>
        <v>0</v>
      </c>
      <c r="W177" s="36">
        <f t="shared" si="17"/>
        <v>0</v>
      </c>
    </row>
    <row r="178" spans="1:23" s="36" customFormat="1" hidden="1" x14ac:dyDescent="0.3">
      <c r="A178" s="6"/>
      <c r="B178" s="17">
        <f t="shared" si="18"/>
        <v>26</v>
      </c>
      <c r="C178" s="18"/>
      <c r="D178" s="19"/>
      <c r="E178" s="19"/>
      <c r="F178" s="35"/>
      <c r="G178" s="35"/>
      <c r="H178" s="35"/>
      <c r="I178" s="20"/>
      <c r="J178" s="21">
        <f t="shared" si="15"/>
        <v>0</v>
      </c>
      <c r="K178" s="7"/>
      <c r="V178" s="36">
        <f t="shared" si="16"/>
        <v>0</v>
      </c>
      <c r="W178" s="36">
        <f t="shared" si="17"/>
        <v>0</v>
      </c>
    </row>
    <row r="179" spans="1:23" s="36" customFormat="1" hidden="1" x14ac:dyDescent="0.3">
      <c r="A179" s="6"/>
      <c r="B179" s="17">
        <f t="shared" si="18"/>
        <v>27</v>
      </c>
      <c r="C179" s="18"/>
      <c r="D179" s="19"/>
      <c r="E179" s="19"/>
      <c r="F179" s="35"/>
      <c r="G179" s="35"/>
      <c r="H179" s="35"/>
      <c r="I179" s="20"/>
      <c r="J179" s="21">
        <f t="shared" si="15"/>
        <v>0</v>
      </c>
      <c r="K179" s="7"/>
      <c r="V179" s="36">
        <f t="shared" si="16"/>
        <v>0</v>
      </c>
      <c r="W179" s="36">
        <f t="shared" si="17"/>
        <v>0</v>
      </c>
    </row>
    <row r="180" spans="1:23" s="36" customFormat="1" hidden="1" x14ac:dyDescent="0.3">
      <c r="A180" s="6"/>
      <c r="B180" s="17">
        <f t="shared" si="18"/>
        <v>28</v>
      </c>
      <c r="C180" s="18"/>
      <c r="D180" s="19"/>
      <c r="E180" s="19"/>
      <c r="F180" s="35"/>
      <c r="G180" s="35"/>
      <c r="H180" s="35"/>
      <c r="I180" s="20"/>
      <c r="J180" s="21">
        <f t="shared" si="15"/>
        <v>0</v>
      </c>
      <c r="K180" s="7"/>
      <c r="V180" s="36">
        <f t="shared" si="16"/>
        <v>0</v>
      </c>
      <c r="W180" s="36">
        <f t="shared" si="17"/>
        <v>0</v>
      </c>
    </row>
    <row r="181" spans="1:23" s="36" customFormat="1" hidden="1" x14ac:dyDescent="0.3">
      <c r="A181" s="6"/>
      <c r="B181" s="17">
        <f t="shared" si="18"/>
        <v>29</v>
      </c>
      <c r="C181" s="18"/>
      <c r="D181" s="19"/>
      <c r="E181" s="19"/>
      <c r="F181" s="35"/>
      <c r="G181" s="35"/>
      <c r="H181" s="35"/>
      <c r="I181" s="20"/>
      <c r="J181" s="21">
        <f t="shared" si="15"/>
        <v>0</v>
      </c>
      <c r="K181" s="7"/>
    </row>
    <row r="182" spans="1:23" s="36" customFormat="1" hidden="1" x14ac:dyDescent="0.3">
      <c r="A182" s="6"/>
      <c r="B182" s="17">
        <f t="shared" si="18"/>
        <v>30</v>
      </c>
      <c r="C182" s="18"/>
      <c r="D182" s="19"/>
      <c r="E182" s="19"/>
      <c r="F182" s="35"/>
      <c r="G182" s="35"/>
      <c r="H182" s="35"/>
      <c r="I182" s="20"/>
      <c r="J182" s="21">
        <f t="shared" si="15"/>
        <v>0</v>
      </c>
      <c r="K182" s="7"/>
    </row>
    <row r="183" spans="1:23" s="36" customFormat="1" hidden="1" x14ac:dyDescent="0.3">
      <c r="A183" s="6"/>
      <c r="B183" s="17">
        <f t="shared" si="18"/>
        <v>31</v>
      </c>
      <c r="C183" s="18"/>
      <c r="D183" s="19"/>
      <c r="E183" s="19"/>
      <c r="F183" s="35"/>
      <c r="G183" s="35"/>
      <c r="H183" s="35"/>
      <c r="I183" s="20"/>
      <c r="J183" s="21">
        <f t="shared" si="15"/>
        <v>0</v>
      </c>
      <c r="K183" s="7"/>
    </row>
    <row r="184" spans="1:23" s="36" customFormat="1" hidden="1" x14ac:dyDescent="0.3">
      <c r="A184" s="6"/>
      <c r="B184" s="17">
        <f t="shared" si="18"/>
        <v>32</v>
      </c>
      <c r="C184" s="18"/>
      <c r="D184" s="19"/>
      <c r="E184" s="19"/>
      <c r="F184" s="35"/>
      <c r="G184" s="35"/>
      <c r="H184" s="35"/>
      <c r="I184" s="20"/>
      <c r="J184" s="21">
        <f t="shared" si="15"/>
        <v>0</v>
      </c>
      <c r="K184" s="7"/>
    </row>
    <row r="185" spans="1:23" s="36" customFormat="1" hidden="1" x14ac:dyDescent="0.3">
      <c r="A185" s="6"/>
      <c r="B185" s="17">
        <f t="shared" si="18"/>
        <v>33</v>
      </c>
      <c r="C185" s="18"/>
      <c r="D185" s="19"/>
      <c r="E185" s="19"/>
      <c r="F185" s="35"/>
      <c r="G185" s="35"/>
      <c r="H185" s="35"/>
      <c r="I185" s="20"/>
      <c r="J185" s="21">
        <f t="shared" si="15"/>
        <v>0</v>
      </c>
      <c r="K185" s="7"/>
    </row>
    <row r="186" spans="1:23" s="36" customFormat="1" hidden="1" x14ac:dyDescent="0.3">
      <c r="A186" s="6"/>
      <c r="B186" s="17">
        <f t="shared" si="18"/>
        <v>34</v>
      </c>
      <c r="C186" s="18"/>
      <c r="D186" s="19"/>
      <c r="E186" s="19"/>
      <c r="F186" s="35"/>
      <c r="G186" s="35"/>
      <c r="H186" s="35"/>
      <c r="I186" s="20"/>
      <c r="J186" s="21">
        <f t="shared" si="15"/>
        <v>0</v>
      </c>
      <c r="K186" s="7"/>
    </row>
    <row r="187" spans="1:23" s="36" customFormat="1" hidden="1" x14ac:dyDescent="0.3">
      <c r="A187" s="6"/>
      <c r="B187" s="17">
        <f t="shared" si="18"/>
        <v>35</v>
      </c>
      <c r="C187" s="18"/>
      <c r="D187" s="19"/>
      <c r="E187" s="19"/>
      <c r="F187" s="35"/>
      <c r="G187" s="35"/>
      <c r="H187" s="35"/>
      <c r="I187" s="20"/>
      <c r="J187" s="21">
        <f t="shared" si="15"/>
        <v>0</v>
      </c>
      <c r="K187" s="7"/>
    </row>
    <row r="188" spans="1:23" s="36" customFormat="1" hidden="1" x14ac:dyDescent="0.3">
      <c r="A188" s="6"/>
      <c r="B188" s="17">
        <f t="shared" si="18"/>
        <v>36</v>
      </c>
      <c r="C188" s="18"/>
      <c r="D188" s="19"/>
      <c r="E188" s="19"/>
      <c r="F188" s="35"/>
      <c r="G188" s="35"/>
      <c r="H188" s="35"/>
      <c r="I188" s="20"/>
      <c r="J188" s="21">
        <f t="shared" si="15"/>
        <v>0</v>
      </c>
      <c r="K188" s="7"/>
    </row>
    <row r="189" spans="1:23" s="36" customFormat="1" hidden="1" x14ac:dyDescent="0.3">
      <c r="A189" s="6"/>
      <c r="B189" s="17">
        <f t="shared" si="18"/>
        <v>37</v>
      </c>
      <c r="C189" s="18"/>
      <c r="D189" s="19"/>
      <c r="E189" s="19"/>
      <c r="F189" s="35"/>
      <c r="G189" s="35"/>
      <c r="H189" s="35"/>
      <c r="I189" s="20"/>
      <c r="J189" s="21">
        <f t="shared" si="15"/>
        <v>0</v>
      </c>
      <c r="K189" s="7"/>
      <c r="V189" s="36">
        <f t="shared" si="16"/>
        <v>0</v>
      </c>
      <c r="W189" s="36">
        <f t="shared" si="17"/>
        <v>0</v>
      </c>
    </row>
    <row r="190" spans="1:23" s="36" customFormat="1" hidden="1" x14ac:dyDescent="0.3">
      <c r="A190" s="6"/>
      <c r="B190" s="17">
        <f t="shared" si="18"/>
        <v>38</v>
      </c>
      <c r="C190" s="18"/>
      <c r="D190" s="19"/>
      <c r="E190" s="19"/>
      <c r="F190" s="35"/>
      <c r="G190" s="35"/>
      <c r="H190" s="35"/>
      <c r="I190" s="20"/>
      <c r="J190" s="21">
        <f t="shared" si="15"/>
        <v>0</v>
      </c>
      <c r="K190" s="7"/>
    </row>
    <row r="191" spans="1:23" s="36" customFormat="1" hidden="1" x14ac:dyDescent="0.3">
      <c r="A191" s="6"/>
      <c r="B191" s="17">
        <f t="shared" si="18"/>
        <v>39</v>
      </c>
      <c r="C191" s="18"/>
      <c r="D191" s="19"/>
      <c r="E191" s="19"/>
      <c r="F191" s="35"/>
      <c r="G191" s="35"/>
      <c r="H191" s="35"/>
      <c r="I191" s="20"/>
      <c r="J191" s="21">
        <f t="shared" si="15"/>
        <v>0</v>
      </c>
      <c r="K191" s="7"/>
    </row>
    <row r="192" spans="1:23" s="36" customFormat="1" hidden="1" x14ac:dyDescent="0.3">
      <c r="A192" s="6"/>
      <c r="B192" s="17">
        <f t="shared" si="18"/>
        <v>40</v>
      </c>
      <c r="C192" s="18"/>
      <c r="D192" s="19"/>
      <c r="E192" s="19"/>
      <c r="F192" s="35"/>
      <c r="G192" s="35"/>
      <c r="H192" s="35"/>
      <c r="I192" s="20"/>
      <c r="J192" s="21">
        <f t="shared" si="15"/>
        <v>0</v>
      </c>
      <c r="K192" s="7"/>
    </row>
    <row r="193" spans="1:23" s="36" customFormat="1" hidden="1" x14ac:dyDescent="0.3">
      <c r="A193" s="6"/>
      <c r="B193" s="17">
        <f t="shared" si="18"/>
        <v>41</v>
      </c>
      <c r="C193" s="18"/>
      <c r="D193" s="19"/>
      <c r="E193" s="19"/>
      <c r="F193" s="35"/>
      <c r="G193" s="35"/>
      <c r="H193" s="35"/>
      <c r="I193" s="20"/>
      <c r="J193" s="21">
        <f t="shared" si="15"/>
        <v>0</v>
      </c>
      <c r="K193" s="7"/>
    </row>
    <row r="194" spans="1:23" s="36" customFormat="1" hidden="1" x14ac:dyDescent="0.3">
      <c r="A194" s="6"/>
      <c r="B194" s="17">
        <f t="shared" si="18"/>
        <v>42</v>
      </c>
      <c r="C194" s="18"/>
      <c r="D194" s="19"/>
      <c r="E194" s="19"/>
      <c r="F194" s="35"/>
      <c r="G194" s="35"/>
      <c r="H194" s="35"/>
      <c r="I194" s="20"/>
      <c r="J194" s="21">
        <f t="shared" si="15"/>
        <v>0</v>
      </c>
      <c r="K194" s="7"/>
    </row>
    <row r="195" spans="1:23" s="36" customFormat="1" ht="15" thickBot="1" x14ac:dyDescent="0.35">
      <c r="A195" s="6"/>
      <c r="B195" s="17">
        <f t="shared" si="18"/>
        <v>43</v>
      </c>
      <c r="C195" s="79"/>
      <c r="D195" s="80"/>
      <c r="E195" s="80"/>
      <c r="F195" s="81"/>
      <c r="G195" s="81"/>
      <c r="H195" s="80"/>
      <c r="I195" s="81"/>
      <c r="J195" s="82">
        <f t="shared" si="15"/>
        <v>0</v>
      </c>
      <c r="K195" s="7"/>
      <c r="V195" s="36">
        <f t="shared" si="16"/>
        <v>0</v>
      </c>
      <c r="W195" s="36">
        <f t="shared" si="17"/>
        <v>0</v>
      </c>
    </row>
    <row r="196" spans="1:23" s="36" customFormat="1" ht="24" thickBot="1" x14ac:dyDescent="0.5">
      <c r="A196" s="6"/>
      <c r="B196" s="165" t="s">
        <v>22</v>
      </c>
      <c r="C196" s="166"/>
      <c r="D196" s="166"/>
      <c r="E196" s="166"/>
      <c r="F196" s="166"/>
      <c r="G196" s="166"/>
      <c r="H196" s="167"/>
      <c r="I196" s="83" t="s">
        <v>23</v>
      </c>
      <c r="J196" s="84">
        <f>SUM(J153:J195)</f>
        <v>51045</v>
      </c>
      <c r="K196" s="7"/>
      <c r="L196" s="5"/>
      <c r="M196" s="5"/>
      <c r="N196" s="5"/>
      <c r="O196" s="5"/>
      <c r="P196" s="5"/>
      <c r="Q196" s="5"/>
      <c r="R196" s="5"/>
      <c r="V196" s="36">
        <f>SUM(V153:V195)</f>
        <v>11</v>
      </c>
      <c r="W196" s="36">
        <f>SUM(W153:W195)</f>
        <v>2</v>
      </c>
    </row>
    <row r="197" spans="1:23" s="36" customFormat="1" ht="30" customHeight="1" thickBot="1" x14ac:dyDescent="0.35">
      <c r="A197" s="30"/>
      <c r="B197" s="31"/>
      <c r="C197" s="31"/>
      <c r="D197" s="31"/>
      <c r="E197" s="31"/>
      <c r="F197" s="31"/>
      <c r="G197" s="31"/>
      <c r="H197" s="32"/>
      <c r="I197" s="31"/>
      <c r="J197" s="32"/>
      <c r="K197" s="33"/>
      <c r="L197" s="5"/>
      <c r="M197" s="5"/>
      <c r="N197" s="5"/>
      <c r="O197" s="5"/>
      <c r="P197" s="5"/>
      <c r="Q197" s="5"/>
      <c r="R197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B150:J150"/>
    <mergeCell ref="B151:J151"/>
    <mergeCell ref="B196:H196"/>
    <mergeCell ref="N6:N7"/>
    <mergeCell ref="M6:M7"/>
    <mergeCell ref="M8:M9"/>
    <mergeCell ref="N8:N9"/>
    <mergeCell ref="M10:M11"/>
    <mergeCell ref="N10:N11"/>
    <mergeCell ref="B145:H145"/>
    <mergeCell ref="M12:O14"/>
    <mergeCell ref="B84:H84"/>
    <mergeCell ref="B88:J88"/>
    <mergeCell ref="B89:J89"/>
    <mergeCell ref="B90:J90"/>
    <mergeCell ref="O6:O7"/>
    <mergeCell ref="P6:P7"/>
    <mergeCell ref="Q6:Q7"/>
    <mergeCell ref="R6:R7"/>
    <mergeCell ref="B149:J149"/>
    <mergeCell ref="R10:R11"/>
    <mergeCell ref="O8:O9"/>
    <mergeCell ref="P8:P9"/>
    <mergeCell ref="Q8:Q9"/>
    <mergeCell ref="R8:R9"/>
    <mergeCell ref="O10:O11"/>
    <mergeCell ref="P10:P11"/>
    <mergeCell ref="Q10:Q11"/>
    <mergeCell ref="P12:R14"/>
  </mergeCells>
  <hyperlinks>
    <hyperlink ref="B84" r:id="rId1" xr:uid="{00000000-0004-0000-0600-000000000000}"/>
    <hyperlink ref="B145" r:id="rId2" xr:uid="{00000000-0004-0000-0600-000001000000}"/>
    <hyperlink ref="B196" r:id="rId3" xr:uid="{00000000-0004-0000-0600-000002000000}"/>
    <hyperlink ref="M1" location="MASTER!A1" display="Back" xr:uid="{00000000-0004-0000-0600-000003000000}"/>
  </hyperlinks>
  <pageMargins left="0" right="0" top="0" bottom="0" header="0" footer="0"/>
  <pageSetup paperSize="9"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200"/>
  <sheetViews>
    <sheetView topLeftCell="A148" workbookViewId="0">
      <selection activeCell="A194" sqref="A194:XFD199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44228</v>
      </c>
      <c r="C3" s="104"/>
      <c r="D3" s="104"/>
      <c r="E3" s="104"/>
      <c r="F3" s="104"/>
      <c r="G3" s="104"/>
      <c r="H3" s="104"/>
      <c r="I3" s="104"/>
      <c r="J3" s="105"/>
      <c r="K3" s="7"/>
      <c r="M3" s="123"/>
      <c r="N3" s="161"/>
      <c r="O3" s="125"/>
      <c r="P3" s="125"/>
      <c r="Q3" s="125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55" t="s">
        <v>107</v>
      </c>
      <c r="N4" s="192">
        <v>46</v>
      </c>
      <c r="O4" s="193">
        <v>46</v>
      </c>
      <c r="P4" s="193">
        <v>0</v>
      </c>
      <c r="Q4" s="194">
        <v>0</v>
      </c>
      <c r="R4" s="178">
        <f>O4/N4</f>
        <v>1</v>
      </c>
    </row>
    <row r="5" spans="1:23" ht="15" thickBot="1" x14ac:dyDescent="0.35">
      <c r="A5" s="6"/>
      <c r="B5" s="8" t="s">
        <v>9</v>
      </c>
      <c r="C5" s="71" t="s">
        <v>10</v>
      </c>
      <c r="D5" s="72" t="s">
        <v>11</v>
      </c>
      <c r="E5" s="72" t="s">
        <v>12</v>
      </c>
      <c r="F5" s="73" t="s">
        <v>13</v>
      </c>
      <c r="G5" s="73" t="s">
        <v>14</v>
      </c>
      <c r="H5" s="74" t="s">
        <v>15</v>
      </c>
      <c r="I5" s="73" t="s">
        <v>16</v>
      </c>
      <c r="J5" s="75" t="s">
        <v>17</v>
      </c>
      <c r="K5" s="7"/>
      <c r="M5" s="156"/>
      <c r="N5" s="185"/>
      <c r="O5" s="173"/>
      <c r="P5" s="173"/>
      <c r="Q5" s="175"/>
      <c r="R5" s="177"/>
      <c r="V5" s="5" t="s">
        <v>5</v>
      </c>
      <c r="W5" s="5" t="s">
        <v>6</v>
      </c>
    </row>
    <row r="6" spans="1:23" ht="15" customHeight="1" x14ac:dyDescent="0.3">
      <c r="A6" s="6"/>
      <c r="B6" s="14">
        <v>1</v>
      </c>
      <c r="C6" s="85">
        <v>44229</v>
      </c>
      <c r="D6" s="86" t="s">
        <v>18</v>
      </c>
      <c r="E6" s="86" t="s">
        <v>238</v>
      </c>
      <c r="F6" s="86">
        <v>300</v>
      </c>
      <c r="G6" s="86">
        <v>333</v>
      </c>
      <c r="H6" s="87">
        <v>33</v>
      </c>
      <c r="I6" s="86">
        <v>100</v>
      </c>
      <c r="J6" s="21">
        <f t="shared" ref="J6:J74" si="0">H6*I6</f>
        <v>3300</v>
      </c>
      <c r="K6" s="7"/>
      <c r="M6" s="155" t="s">
        <v>108</v>
      </c>
      <c r="N6" s="184">
        <v>40</v>
      </c>
      <c r="O6" s="172">
        <v>32</v>
      </c>
      <c r="P6" s="172">
        <v>8</v>
      </c>
      <c r="Q6" s="174">
        <v>0</v>
      </c>
      <c r="R6" s="176">
        <f t="shared" ref="R6" si="1">O6/N6</f>
        <v>0.8</v>
      </c>
    </row>
    <row r="7" spans="1:23" x14ac:dyDescent="0.3">
      <c r="A7" s="6"/>
      <c r="B7" s="17">
        <v>2</v>
      </c>
      <c r="C7" s="85">
        <v>44230</v>
      </c>
      <c r="D7" s="86" t="s">
        <v>18</v>
      </c>
      <c r="E7" s="86" t="s">
        <v>239</v>
      </c>
      <c r="F7" s="86">
        <v>160</v>
      </c>
      <c r="G7" s="86">
        <v>190</v>
      </c>
      <c r="H7" s="87">
        <v>30</v>
      </c>
      <c r="I7" s="86">
        <v>100</v>
      </c>
      <c r="J7" s="21">
        <f t="shared" si="0"/>
        <v>3000</v>
      </c>
      <c r="K7" s="7"/>
      <c r="M7" s="186"/>
      <c r="N7" s="185"/>
      <c r="O7" s="173"/>
      <c r="P7" s="173"/>
      <c r="Q7" s="175"/>
      <c r="R7" s="177"/>
    </row>
    <row r="8" spans="1:23" x14ac:dyDescent="0.3">
      <c r="A8" s="6"/>
      <c r="B8" s="17">
        <v>3</v>
      </c>
      <c r="C8" s="85">
        <v>44230</v>
      </c>
      <c r="D8" s="86" t="s">
        <v>18</v>
      </c>
      <c r="E8" s="86" t="s">
        <v>239</v>
      </c>
      <c r="F8" s="86">
        <v>150</v>
      </c>
      <c r="G8" s="86">
        <v>210</v>
      </c>
      <c r="H8" s="87">
        <v>60</v>
      </c>
      <c r="I8" s="86">
        <v>100</v>
      </c>
      <c r="J8" s="21">
        <f t="shared" si="0"/>
        <v>6000</v>
      </c>
      <c r="K8" s="7"/>
      <c r="M8" s="187" t="s">
        <v>194</v>
      </c>
      <c r="N8" s="184">
        <v>37</v>
      </c>
      <c r="O8" s="172">
        <v>32</v>
      </c>
      <c r="P8" s="172">
        <v>5</v>
      </c>
      <c r="Q8" s="174">
        <v>0</v>
      </c>
      <c r="R8" s="176">
        <f t="shared" ref="R8:R10" si="2">O8/N8</f>
        <v>0.86486486486486491</v>
      </c>
      <c r="V8" s="5">
        <f ca="1">SUM(V8:V89)</f>
        <v>4</v>
      </c>
      <c r="W8" s="5">
        <f>IF($J97&lt;0,1,0)</f>
        <v>0</v>
      </c>
    </row>
    <row r="9" spans="1:23" ht="15" thickBot="1" x14ac:dyDescent="0.35">
      <c r="A9" s="6"/>
      <c r="B9" s="17">
        <v>4</v>
      </c>
      <c r="C9" s="85">
        <v>44231</v>
      </c>
      <c r="D9" s="86" t="s">
        <v>18</v>
      </c>
      <c r="E9" s="86" t="s">
        <v>240</v>
      </c>
      <c r="F9" s="86">
        <v>180</v>
      </c>
      <c r="G9" s="86">
        <v>205</v>
      </c>
      <c r="H9" s="87">
        <v>25</v>
      </c>
      <c r="I9" s="86">
        <v>100</v>
      </c>
      <c r="J9" s="21">
        <f t="shared" si="0"/>
        <v>2500</v>
      </c>
      <c r="K9" s="7"/>
      <c r="M9" s="188"/>
      <c r="N9" s="189"/>
      <c r="O9" s="180"/>
      <c r="P9" s="180"/>
      <c r="Q9" s="181"/>
      <c r="R9" s="179"/>
      <c r="V9" s="5">
        <f>IF($J98&gt;0,1,0)</f>
        <v>1</v>
      </c>
      <c r="W9" s="5">
        <f>IF($J98&lt;0,1,0)</f>
        <v>0</v>
      </c>
    </row>
    <row r="10" spans="1:23" ht="16.5" customHeight="1" x14ac:dyDescent="0.3">
      <c r="A10" s="6"/>
      <c r="B10" s="17">
        <v>5</v>
      </c>
      <c r="C10" s="85">
        <v>44231</v>
      </c>
      <c r="D10" s="86" t="s">
        <v>18</v>
      </c>
      <c r="E10" s="86" t="s">
        <v>241</v>
      </c>
      <c r="F10" s="86">
        <v>70</v>
      </c>
      <c r="G10" s="86">
        <v>170</v>
      </c>
      <c r="H10" s="87">
        <v>100</v>
      </c>
      <c r="I10" s="86">
        <v>100</v>
      </c>
      <c r="J10" s="21">
        <f t="shared" si="0"/>
        <v>10000</v>
      </c>
      <c r="K10" s="7"/>
      <c r="M10" s="190" t="s">
        <v>19</v>
      </c>
      <c r="N10" s="182">
        <f>SUM(N4:N9)</f>
        <v>123</v>
      </c>
      <c r="O10" s="182">
        <f>SUM(O4:O9)</f>
        <v>110</v>
      </c>
      <c r="P10" s="182">
        <f>SUM(P4:P9)</f>
        <v>13</v>
      </c>
      <c r="Q10" s="182">
        <f>SUM(Q4:Q9)</f>
        <v>0</v>
      </c>
      <c r="R10" s="178">
        <f t="shared" si="2"/>
        <v>0.89430894308943087</v>
      </c>
      <c r="V10" s="5">
        <f>IF($J99&gt;0,1,0)</f>
        <v>0</v>
      </c>
      <c r="W10" s="5">
        <f>IF($J99&lt;0,1,0)</f>
        <v>1</v>
      </c>
    </row>
    <row r="11" spans="1:23" ht="15.75" customHeight="1" thickBot="1" x14ac:dyDescent="0.35">
      <c r="A11" s="6"/>
      <c r="B11" s="17">
        <v>6</v>
      </c>
      <c r="C11" s="85">
        <v>44232</v>
      </c>
      <c r="D11" s="86" t="s">
        <v>18</v>
      </c>
      <c r="E11" s="86" t="s">
        <v>242</v>
      </c>
      <c r="F11" s="86">
        <v>470</v>
      </c>
      <c r="G11" s="86">
        <v>500</v>
      </c>
      <c r="H11" s="87">
        <v>30</v>
      </c>
      <c r="I11" s="86">
        <v>100</v>
      </c>
      <c r="J11" s="21">
        <f t="shared" si="0"/>
        <v>3000</v>
      </c>
      <c r="K11" s="7"/>
      <c r="M11" s="191"/>
      <c r="N11" s="183"/>
      <c r="O11" s="183"/>
      <c r="P11" s="183"/>
      <c r="Q11" s="183"/>
      <c r="R11" s="179"/>
      <c r="V11" s="5">
        <f>IF($J100&gt;0,1,0)</f>
        <v>1</v>
      </c>
      <c r="W11" s="5">
        <f>IF($J100&lt;0,1,0)</f>
        <v>0</v>
      </c>
    </row>
    <row r="12" spans="1:23" ht="15" customHeight="1" x14ac:dyDescent="0.3">
      <c r="A12" s="6"/>
      <c r="B12" s="17">
        <v>7</v>
      </c>
      <c r="C12" s="85">
        <v>44232</v>
      </c>
      <c r="D12" s="86" t="s">
        <v>18</v>
      </c>
      <c r="E12" s="86" t="s">
        <v>243</v>
      </c>
      <c r="F12" s="86">
        <v>450</v>
      </c>
      <c r="G12" s="86">
        <v>520</v>
      </c>
      <c r="H12" s="87">
        <v>50</v>
      </c>
      <c r="I12" s="86">
        <v>100</v>
      </c>
      <c r="J12" s="21">
        <f t="shared" si="0"/>
        <v>5000</v>
      </c>
      <c r="K12" s="7"/>
      <c r="M12" s="126" t="s">
        <v>20</v>
      </c>
      <c r="N12" s="127"/>
      <c r="O12" s="128"/>
      <c r="P12" s="135">
        <f>R10</f>
        <v>0.89430894308943087</v>
      </c>
      <c r="Q12" s="136"/>
      <c r="R12" s="137"/>
      <c r="V12" s="5">
        <f>IF($J101&gt;0,1,0)</f>
        <v>1</v>
      </c>
      <c r="W12" s="5">
        <f>IF($J101&lt;0,1,0)</f>
        <v>0</v>
      </c>
    </row>
    <row r="13" spans="1:23" ht="15" customHeight="1" x14ac:dyDescent="0.3">
      <c r="A13" s="6"/>
      <c r="B13" s="17">
        <v>8</v>
      </c>
      <c r="C13" s="85">
        <v>44235</v>
      </c>
      <c r="D13" s="86" t="s">
        <v>18</v>
      </c>
      <c r="E13" s="86" t="s">
        <v>247</v>
      </c>
      <c r="F13" s="86">
        <v>290</v>
      </c>
      <c r="G13" s="86">
        <v>320</v>
      </c>
      <c r="H13" s="87">
        <v>30</v>
      </c>
      <c r="I13" s="86">
        <v>100</v>
      </c>
      <c r="J13" s="21">
        <f t="shared" si="0"/>
        <v>3000</v>
      </c>
      <c r="K13" s="7"/>
      <c r="M13" s="129"/>
      <c r="N13" s="130"/>
      <c r="O13" s="131"/>
      <c r="P13" s="138"/>
      <c r="Q13" s="139"/>
      <c r="R13" s="140"/>
      <c r="V13" s="5">
        <f t="shared" ref="V13:V15" si="3">IF($J11&gt;0,1,0)</f>
        <v>1</v>
      </c>
      <c r="W13" s="5">
        <f t="shared" ref="W13:W15" si="4">IF($J11&lt;0,1,0)</f>
        <v>0</v>
      </c>
    </row>
    <row r="14" spans="1:23" ht="15.75" customHeight="1" thickBot="1" x14ac:dyDescent="0.35">
      <c r="A14" s="6"/>
      <c r="B14" s="17">
        <v>9</v>
      </c>
      <c r="C14" s="85">
        <v>44235</v>
      </c>
      <c r="D14" s="86" t="s">
        <v>18</v>
      </c>
      <c r="E14" s="86" t="s">
        <v>248</v>
      </c>
      <c r="F14" s="86">
        <v>240</v>
      </c>
      <c r="G14" s="86">
        <v>281</v>
      </c>
      <c r="H14" s="87">
        <v>41</v>
      </c>
      <c r="I14" s="86">
        <v>100</v>
      </c>
      <c r="J14" s="21">
        <f t="shared" si="0"/>
        <v>4100</v>
      </c>
      <c r="K14" s="7"/>
      <c r="M14" s="132"/>
      <c r="N14" s="133"/>
      <c r="O14" s="134"/>
      <c r="P14" s="141"/>
      <c r="Q14" s="142"/>
      <c r="R14" s="143"/>
      <c r="V14" s="5">
        <f t="shared" si="3"/>
        <v>1</v>
      </c>
      <c r="W14" s="5">
        <f t="shared" si="4"/>
        <v>0</v>
      </c>
    </row>
    <row r="15" spans="1:23" x14ac:dyDescent="0.3">
      <c r="A15" s="6"/>
      <c r="B15" s="17">
        <v>10</v>
      </c>
      <c r="C15" s="85">
        <v>44236</v>
      </c>
      <c r="D15" s="86" t="s">
        <v>18</v>
      </c>
      <c r="E15" s="86" t="s">
        <v>252</v>
      </c>
      <c r="F15" s="86">
        <v>220</v>
      </c>
      <c r="G15" s="86">
        <v>320</v>
      </c>
      <c r="H15" s="87">
        <v>100</v>
      </c>
      <c r="I15" s="86">
        <v>100</v>
      </c>
      <c r="J15" s="21">
        <f t="shared" si="0"/>
        <v>10000</v>
      </c>
      <c r="K15" s="7"/>
      <c r="M15" s="21"/>
      <c r="V15" s="5">
        <f t="shared" si="3"/>
        <v>1</v>
      </c>
      <c r="W15" s="5">
        <f t="shared" si="4"/>
        <v>0</v>
      </c>
    </row>
    <row r="16" spans="1:23" x14ac:dyDescent="0.3">
      <c r="A16" s="6"/>
      <c r="B16" s="17">
        <v>11</v>
      </c>
      <c r="C16" s="18">
        <v>44236</v>
      </c>
      <c r="D16" s="19" t="s">
        <v>18</v>
      </c>
      <c r="E16" s="19" t="s">
        <v>248</v>
      </c>
      <c r="F16" s="35">
        <v>190</v>
      </c>
      <c r="G16" s="35">
        <v>260</v>
      </c>
      <c r="H16" s="35">
        <v>50</v>
      </c>
      <c r="I16" s="20">
        <v>100</v>
      </c>
      <c r="J16" s="21">
        <f t="shared" si="0"/>
        <v>5000</v>
      </c>
      <c r="K16" s="7"/>
      <c r="V16" s="5">
        <f t="shared" ref="V16" si="5">IF($J16&gt;0,1,0)</f>
        <v>1</v>
      </c>
      <c r="W16" s="5">
        <f t="shared" ref="W16" si="6">IF($J16&lt;0,1,0)</f>
        <v>0</v>
      </c>
    </row>
    <row r="17" spans="1:23" x14ac:dyDescent="0.3">
      <c r="A17" s="6"/>
      <c r="B17" s="17">
        <v>12</v>
      </c>
      <c r="C17" s="18">
        <v>44237</v>
      </c>
      <c r="D17" s="19" t="s">
        <v>18</v>
      </c>
      <c r="E17" s="19" t="s">
        <v>253</v>
      </c>
      <c r="F17" s="35">
        <v>190</v>
      </c>
      <c r="G17" s="35">
        <v>217</v>
      </c>
      <c r="H17" s="35">
        <v>27</v>
      </c>
      <c r="I17" s="20">
        <v>100</v>
      </c>
      <c r="J17" s="21">
        <f t="shared" si="0"/>
        <v>2700</v>
      </c>
      <c r="K17" s="7"/>
      <c r="V17" s="5">
        <f>IF($J17&gt;0,1,0)</f>
        <v>1</v>
      </c>
      <c r="W17" s="5">
        <f>IF($J17&lt;0,1,0)</f>
        <v>0</v>
      </c>
    </row>
    <row r="18" spans="1:23" hidden="1" x14ac:dyDescent="0.3">
      <c r="A18" s="6"/>
      <c r="B18" s="17">
        <v>13</v>
      </c>
      <c r="C18" s="18"/>
      <c r="D18" s="19"/>
      <c r="E18" s="19"/>
      <c r="F18" s="35"/>
      <c r="G18" s="35"/>
      <c r="H18" s="35"/>
      <c r="I18" s="20"/>
      <c r="J18" s="21">
        <f t="shared" si="0"/>
        <v>0</v>
      </c>
      <c r="K18" s="7"/>
      <c r="V18" s="5">
        <f t="shared" ref="V18:V88" si="7">IF($J18&gt;0,1,0)</f>
        <v>0</v>
      </c>
      <c r="W18" s="5">
        <f t="shared" ref="W18:W89" si="8">IF($J18&lt;0,1,0)</f>
        <v>0</v>
      </c>
    </row>
    <row r="19" spans="1:23" hidden="1" x14ac:dyDescent="0.3">
      <c r="A19" s="6"/>
      <c r="B19" s="17">
        <v>14</v>
      </c>
      <c r="C19" s="18"/>
      <c r="D19" s="19"/>
      <c r="E19" s="19"/>
      <c r="F19" s="35"/>
      <c r="G19" s="35"/>
      <c r="H19" s="35"/>
      <c r="I19" s="20"/>
      <c r="J19" s="21">
        <f t="shared" si="0"/>
        <v>0</v>
      </c>
      <c r="K19" s="7"/>
      <c r="V19" s="5">
        <f t="shared" si="7"/>
        <v>0</v>
      </c>
      <c r="W19" s="5">
        <f t="shared" si="8"/>
        <v>0</v>
      </c>
    </row>
    <row r="20" spans="1:23" hidden="1" x14ac:dyDescent="0.3">
      <c r="A20" s="6"/>
      <c r="B20" s="17">
        <v>15</v>
      </c>
      <c r="C20" s="18"/>
      <c r="D20" s="19"/>
      <c r="E20" s="19"/>
      <c r="F20" s="35"/>
      <c r="G20" s="35"/>
      <c r="H20" s="35"/>
      <c r="I20" s="20"/>
      <c r="J20" s="21">
        <f t="shared" si="0"/>
        <v>0</v>
      </c>
      <c r="K20" s="7"/>
      <c r="V20" s="5">
        <f t="shared" si="7"/>
        <v>0</v>
      </c>
      <c r="W20" s="5">
        <f t="shared" si="8"/>
        <v>0</v>
      </c>
    </row>
    <row r="21" spans="1:23" hidden="1" x14ac:dyDescent="0.3">
      <c r="A21" s="6"/>
      <c r="B21" s="17">
        <v>16</v>
      </c>
      <c r="C21" s="18"/>
      <c r="D21" s="19"/>
      <c r="E21" s="19"/>
      <c r="F21" s="35"/>
      <c r="G21" s="35"/>
      <c r="H21" s="35"/>
      <c r="I21" s="20"/>
      <c r="J21" s="21">
        <f t="shared" si="0"/>
        <v>0</v>
      </c>
      <c r="K21" s="7"/>
      <c r="O21" s="22"/>
      <c r="P21" s="22"/>
      <c r="Q21" s="22"/>
      <c r="R21" s="22"/>
      <c r="V21" s="5">
        <f t="shared" si="7"/>
        <v>0</v>
      </c>
      <c r="W21" s="5">
        <f t="shared" si="8"/>
        <v>0</v>
      </c>
    </row>
    <row r="22" spans="1:23" hidden="1" x14ac:dyDescent="0.3">
      <c r="A22" s="6"/>
      <c r="B22" s="17">
        <v>17</v>
      </c>
      <c r="C22" s="18"/>
      <c r="D22" s="19"/>
      <c r="E22" s="19"/>
      <c r="F22" s="35"/>
      <c r="G22" s="35"/>
      <c r="H22" s="35"/>
      <c r="I22" s="20"/>
      <c r="J22" s="21">
        <f t="shared" si="0"/>
        <v>0</v>
      </c>
      <c r="K22" s="7"/>
      <c r="V22" s="5">
        <f t="shared" si="7"/>
        <v>0</v>
      </c>
      <c r="W22" s="5">
        <f t="shared" si="8"/>
        <v>0</v>
      </c>
    </row>
    <row r="23" spans="1:23" hidden="1" x14ac:dyDescent="0.3">
      <c r="A23" s="6"/>
      <c r="B23" s="17">
        <v>18</v>
      </c>
      <c r="C23" s="18"/>
      <c r="D23" s="19"/>
      <c r="E23" s="19"/>
      <c r="F23" s="35"/>
      <c r="G23" s="35"/>
      <c r="H23" s="35"/>
      <c r="I23" s="20"/>
      <c r="J23" s="21">
        <f t="shared" si="0"/>
        <v>0</v>
      </c>
      <c r="K23" s="7"/>
      <c r="V23" s="5">
        <f t="shared" si="7"/>
        <v>0</v>
      </c>
      <c r="W23" s="5">
        <f t="shared" si="8"/>
        <v>0</v>
      </c>
    </row>
    <row r="24" spans="1:23" hidden="1" x14ac:dyDescent="0.3">
      <c r="A24" s="6"/>
      <c r="B24" s="17">
        <v>19</v>
      </c>
      <c r="C24" s="18"/>
      <c r="D24" s="19"/>
      <c r="E24" s="19"/>
      <c r="F24" s="35"/>
      <c r="G24" s="35"/>
      <c r="H24" s="35"/>
      <c r="I24" s="20"/>
      <c r="J24" s="21">
        <f t="shared" si="0"/>
        <v>0</v>
      </c>
      <c r="K24" s="7"/>
      <c r="V24" s="5">
        <f t="shared" si="7"/>
        <v>0</v>
      </c>
      <c r="W24" s="5">
        <f t="shared" si="8"/>
        <v>0</v>
      </c>
    </row>
    <row r="25" spans="1:23" hidden="1" x14ac:dyDescent="0.3">
      <c r="A25" s="6"/>
      <c r="B25" s="17">
        <v>20</v>
      </c>
      <c r="C25" s="18"/>
      <c r="D25" s="19"/>
      <c r="E25" s="19"/>
      <c r="F25" s="35"/>
      <c r="G25" s="35"/>
      <c r="H25" s="35"/>
      <c r="I25" s="20"/>
      <c r="J25" s="21">
        <f t="shared" si="0"/>
        <v>0</v>
      </c>
      <c r="K25" s="7"/>
      <c r="V25" s="5">
        <f t="shared" si="7"/>
        <v>0</v>
      </c>
      <c r="W25" s="5">
        <f t="shared" si="8"/>
        <v>0</v>
      </c>
    </row>
    <row r="26" spans="1:23" hidden="1" x14ac:dyDescent="0.3">
      <c r="A26" s="6"/>
      <c r="B26" s="17">
        <v>21</v>
      </c>
      <c r="C26" s="18"/>
      <c r="D26" s="19"/>
      <c r="E26" s="19"/>
      <c r="F26" s="35"/>
      <c r="G26" s="35"/>
      <c r="H26" s="35"/>
      <c r="I26" s="20"/>
      <c r="J26" s="21">
        <f t="shared" si="0"/>
        <v>0</v>
      </c>
      <c r="K26" s="7"/>
      <c r="V26" s="5">
        <f t="shared" si="7"/>
        <v>0</v>
      </c>
      <c r="W26" s="5">
        <f t="shared" si="8"/>
        <v>0</v>
      </c>
    </row>
    <row r="27" spans="1:23" hidden="1" x14ac:dyDescent="0.3">
      <c r="A27" s="6"/>
      <c r="B27" s="17">
        <v>22</v>
      </c>
      <c r="C27" s="18"/>
      <c r="D27" s="19"/>
      <c r="E27" s="19"/>
      <c r="F27" s="35"/>
      <c r="G27" s="35"/>
      <c r="H27" s="19"/>
      <c r="I27" s="20"/>
      <c r="J27" s="21">
        <f t="shared" si="0"/>
        <v>0</v>
      </c>
      <c r="K27" s="7"/>
      <c r="V27" s="5">
        <f t="shared" si="7"/>
        <v>0</v>
      </c>
      <c r="W27" s="5">
        <f t="shared" si="8"/>
        <v>0</v>
      </c>
    </row>
    <row r="28" spans="1:23" hidden="1" x14ac:dyDescent="0.3">
      <c r="A28" s="6"/>
      <c r="B28" s="17">
        <v>23</v>
      </c>
      <c r="C28" s="18"/>
      <c r="D28" s="19"/>
      <c r="E28" s="19"/>
      <c r="F28" s="35"/>
      <c r="G28" s="35"/>
      <c r="H28" s="19"/>
      <c r="I28" s="20"/>
      <c r="J28" s="21">
        <f t="shared" si="0"/>
        <v>0</v>
      </c>
      <c r="K28" s="7"/>
      <c r="V28" s="5">
        <f t="shared" si="7"/>
        <v>0</v>
      </c>
      <c r="W28" s="5">
        <f t="shared" si="8"/>
        <v>0</v>
      </c>
    </row>
    <row r="29" spans="1:23" hidden="1" x14ac:dyDescent="0.3">
      <c r="A29" s="6"/>
      <c r="B29" s="17">
        <v>24</v>
      </c>
      <c r="C29" s="18"/>
      <c r="D29" s="19"/>
      <c r="E29" s="19"/>
      <c r="F29" s="20"/>
      <c r="G29" s="20"/>
      <c r="H29" s="19"/>
      <c r="I29" s="20"/>
      <c r="J29" s="21">
        <f t="shared" si="0"/>
        <v>0</v>
      </c>
      <c r="K29" s="7"/>
      <c r="V29" s="5">
        <f t="shared" si="7"/>
        <v>0</v>
      </c>
      <c r="W29" s="5">
        <f t="shared" si="8"/>
        <v>0</v>
      </c>
    </row>
    <row r="30" spans="1:23" x14ac:dyDescent="0.3">
      <c r="A30" s="6"/>
      <c r="B30" s="17">
        <v>25</v>
      </c>
      <c r="C30" s="24">
        <v>44237</v>
      </c>
      <c r="D30" s="25" t="s">
        <v>18</v>
      </c>
      <c r="E30" s="25" t="s">
        <v>253</v>
      </c>
      <c r="F30" s="26">
        <v>140</v>
      </c>
      <c r="G30" s="61">
        <v>240</v>
      </c>
      <c r="H30" s="61">
        <v>100</v>
      </c>
      <c r="I30" s="26">
        <v>100</v>
      </c>
      <c r="J30" s="21">
        <f t="shared" si="0"/>
        <v>10000</v>
      </c>
      <c r="K30" s="7"/>
      <c r="V30" s="5">
        <f t="shared" si="7"/>
        <v>1</v>
      </c>
      <c r="W30" s="5">
        <f t="shared" si="8"/>
        <v>0</v>
      </c>
    </row>
    <row r="31" spans="1:23" x14ac:dyDescent="0.3">
      <c r="A31" s="6"/>
      <c r="B31" s="17">
        <v>26</v>
      </c>
      <c r="C31" s="24">
        <v>44238</v>
      </c>
      <c r="D31" s="25" t="s">
        <v>18</v>
      </c>
      <c r="E31" s="25" t="s">
        <v>259</v>
      </c>
      <c r="F31" s="26">
        <v>150</v>
      </c>
      <c r="G31" s="61">
        <v>180</v>
      </c>
      <c r="H31" s="61">
        <v>30</v>
      </c>
      <c r="I31" s="26">
        <v>100</v>
      </c>
      <c r="J31" s="21">
        <f t="shared" si="0"/>
        <v>3000</v>
      </c>
      <c r="K31" s="7"/>
      <c r="V31" s="5">
        <f t="shared" si="7"/>
        <v>1</v>
      </c>
      <c r="W31" s="5">
        <f t="shared" si="8"/>
        <v>0</v>
      </c>
    </row>
    <row r="32" spans="1:23" x14ac:dyDescent="0.3">
      <c r="A32" s="6"/>
      <c r="B32" s="17">
        <v>27</v>
      </c>
      <c r="C32" s="24">
        <v>44239</v>
      </c>
      <c r="D32" s="25" t="s">
        <v>18</v>
      </c>
      <c r="E32" s="25" t="s">
        <v>260</v>
      </c>
      <c r="F32" s="26">
        <v>240</v>
      </c>
      <c r="G32" s="61">
        <v>340</v>
      </c>
      <c r="H32" s="61">
        <v>100</v>
      </c>
      <c r="I32" s="26">
        <v>100</v>
      </c>
      <c r="J32" s="21">
        <f t="shared" si="0"/>
        <v>10000</v>
      </c>
      <c r="K32" s="7"/>
      <c r="V32" s="5">
        <f t="shared" si="7"/>
        <v>1</v>
      </c>
      <c r="W32" s="5">
        <f t="shared" si="8"/>
        <v>0</v>
      </c>
    </row>
    <row r="33" spans="1:23" x14ac:dyDescent="0.3">
      <c r="A33" s="6"/>
      <c r="B33" s="17">
        <v>28</v>
      </c>
      <c r="C33" s="24">
        <v>44239</v>
      </c>
      <c r="D33" s="25" t="s">
        <v>18</v>
      </c>
      <c r="E33" s="25" t="s">
        <v>248</v>
      </c>
      <c r="F33" s="26">
        <v>230</v>
      </c>
      <c r="G33" s="61">
        <v>279</v>
      </c>
      <c r="H33" s="61">
        <v>49</v>
      </c>
      <c r="I33" s="26">
        <v>100</v>
      </c>
      <c r="J33" s="21">
        <f t="shared" si="0"/>
        <v>4900</v>
      </c>
      <c r="K33" s="7"/>
      <c r="V33" s="5">
        <f t="shared" si="7"/>
        <v>1</v>
      </c>
      <c r="W33" s="5">
        <f t="shared" si="8"/>
        <v>0</v>
      </c>
    </row>
    <row r="34" spans="1:23" x14ac:dyDescent="0.3">
      <c r="A34" s="6"/>
      <c r="B34" s="17">
        <v>29</v>
      </c>
      <c r="C34" s="24">
        <v>44242</v>
      </c>
      <c r="D34" s="25" t="s">
        <v>18</v>
      </c>
      <c r="E34" s="25" t="s">
        <v>261</v>
      </c>
      <c r="F34" s="26">
        <v>230</v>
      </c>
      <c r="G34" s="61">
        <v>330</v>
      </c>
      <c r="H34" s="61">
        <v>100</v>
      </c>
      <c r="I34" s="26">
        <v>100</v>
      </c>
      <c r="J34" s="21">
        <f t="shared" si="0"/>
        <v>10000</v>
      </c>
      <c r="K34" s="7"/>
      <c r="V34" s="5">
        <f t="shared" si="7"/>
        <v>1</v>
      </c>
      <c r="W34" s="5">
        <f t="shared" si="8"/>
        <v>0</v>
      </c>
    </row>
    <row r="35" spans="1:23" x14ac:dyDescent="0.3">
      <c r="A35" s="6"/>
      <c r="B35" s="17">
        <v>30</v>
      </c>
      <c r="C35" s="24">
        <v>44242</v>
      </c>
      <c r="D35" s="25" t="s">
        <v>18</v>
      </c>
      <c r="E35" s="25" t="s">
        <v>262</v>
      </c>
      <c r="F35" s="26">
        <v>200</v>
      </c>
      <c r="G35" s="61">
        <v>300</v>
      </c>
      <c r="H35" s="61">
        <v>100</v>
      </c>
      <c r="I35" s="26">
        <v>100</v>
      </c>
      <c r="J35" s="21">
        <f t="shared" si="0"/>
        <v>10000</v>
      </c>
      <c r="K35" s="7"/>
      <c r="V35" s="5">
        <f t="shared" si="7"/>
        <v>1</v>
      </c>
      <c r="W35" s="5">
        <f t="shared" si="8"/>
        <v>0</v>
      </c>
    </row>
    <row r="36" spans="1:23" x14ac:dyDescent="0.3">
      <c r="A36" s="6"/>
      <c r="B36" s="17">
        <v>31</v>
      </c>
      <c r="C36" s="24">
        <v>44243</v>
      </c>
      <c r="D36" s="25" t="s">
        <v>18</v>
      </c>
      <c r="E36" s="25" t="s">
        <v>266</v>
      </c>
      <c r="F36" s="26">
        <v>200</v>
      </c>
      <c r="G36" s="61">
        <v>229</v>
      </c>
      <c r="H36" s="61">
        <v>29</v>
      </c>
      <c r="I36" s="26">
        <v>100</v>
      </c>
      <c r="J36" s="21">
        <f t="shared" si="0"/>
        <v>2900</v>
      </c>
      <c r="K36" s="7"/>
      <c r="V36" s="5">
        <f t="shared" si="7"/>
        <v>1</v>
      </c>
      <c r="W36" s="5">
        <f t="shared" si="8"/>
        <v>0</v>
      </c>
    </row>
    <row r="37" spans="1:23" x14ac:dyDescent="0.3">
      <c r="A37" s="6"/>
      <c r="B37" s="17">
        <v>32</v>
      </c>
      <c r="C37" s="24">
        <v>44243</v>
      </c>
      <c r="D37" s="25" t="s">
        <v>18</v>
      </c>
      <c r="E37" s="25" t="s">
        <v>267</v>
      </c>
      <c r="F37" s="26">
        <v>180</v>
      </c>
      <c r="G37" s="61">
        <v>194</v>
      </c>
      <c r="H37" s="61">
        <v>14</v>
      </c>
      <c r="I37" s="26">
        <v>100</v>
      </c>
      <c r="J37" s="21">
        <f t="shared" si="0"/>
        <v>1400</v>
      </c>
      <c r="K37" s="7"/>
      <c r="V37" s="5">
        <f t="shared" si="7"/>
        <v>1</v>
      </c>
      <c r="W37" s="5">
        <f t="shared" si="8"/>
        <v>0</v>
      </c>
    </row>
    <row r="38" spans="1:23" x14ac:dyDescent="0.3">
      <c r="A38" s="6"/>
      <c r="B38" s="17">
        <v>33</v>
      </c>
      <c r="C38" s="24">
        <v>44244</v>
      </c>
      <c r="D38" s="25" t="s">
        <v>18</v>
      </c>
      <c r="E38" s="25" t="s">
        <v>268</v>
      </c>
      <c r="F38" s="26">
        <v>170</v>
      </c>
      <c r="G38" s="61">
        <v>270</v>
      </c>
      <c r="H38" s="61">
        <v>100</v>
      </c>
      <c r="I38" s="26">
        <v>100</v>
      </c>
      <c r="J38" s="21">
        <f t="shared" si="0"/>
        <v>10000</v>
      </c>
      <c r="K38" s="7"/>
      <c r="V38" s="5">
        <f t="shared" si="7"/>
        <v>1</v>
      </c>
      <c r="W38" s="5">
        <f t="shared" si="8"/>
        <v>0</v>
      </c>
    </row>
    <row r="39" spans="1:23" x14ac:dyDescent="0.3">
      <c r="A39" s="6"/>
      <c r="B39" s="17">
        <v>34</v>
      </c>
      <c r="C39" s="24">
        <v>44244</v>
      </c>
      <c r="D39" s="25" t="s">
        <v>18</v>
      </c>
      <c r="E39" s="25" t="s">
        <v>269</v>
      </c>
      <c r="F39" s="26">
        <v>150</v>
      </c>
      <c r="G39" s="61">
        <v>165</v>
      </c>
      <c r="H39" s="61">
        <v>15</v>
      </c>
      <c r="I39" s="26">
        <v>100</v>
      </c>
      <c r="J39" s="21">
        <f t="shared" si="0"/>
        <v>1500</v>
      </c>
      <c r="K39" s="7"/>
      <c r="V39" s="5">
        <f t="shared" si="7"/>
        <v>1</v>
      </c>
      <c r="W39" s="5">
        <f t="shared" si="8"/>
        <v>0</v>
      </c>
    </row>
    <row r="40" spans="1:23" x14ac:dyDescent="0.3">
      <c r="A40" s="6"/>
      <c r="B40" s="17">
        <v>35</v>
      </c>
      <c r="C40" s="24">
        <v>44245</v>
      </c>
      <c r="D40" s="25" t="s">
        <v>18</v>
      </c>
      <c r="E40" s="25" t="s">
        <v>271</v>
      </c>
      <c r="F40" s="26">
        <v>110</v>
      </c>
      <c r="G40" s="61">
        <v>208</v>
      </c>
      <c r="H40" s="61">
        <v>98</v>
      </c>
      <c r="I40" s="26">
        <v>100</v>
      </c>
      <c r="J40" s="21">
        <f t="shared" si="0"/>
        <v>9800</v>
      </c>
      <c r="K40" s="7"/>
      <c r="V40" s="5">
        <f t="shared" si="7"/>
        <v>1</v>
      </c>
      <c r="W40" s="5">
        <f t="shared" si="8"/>
        <v>0</v>
      </c>
    </row>
    <row r="41" spans="1:23" x14ac:dyDescent="0.3">
      <c r="A41" s="6"/>
      <c r="B41" s="17">
        <v>36</v>
      </c>
      <c r="C41" s="24">
        <v>44245</v>
      </c>
      <c r="D41" s="25" t="s">
        <v>18</v>
      </c>
      <c r="E41" s="25" t="s">
        <v>247</v>
      </c>
      <c r="F41" s="26">
        <v>120</v>
      </c>
      <c r="G41" s="61">
        <v>132</v>
      </c>
      <c r="H41" s="61">
        <v>12</v>
      </c>
      <c r="I41" s="26">
        <v>100</v>
      </c>
      <c r="J41" s="21">
        <f t="shared" si="0"/>
        <v>1200</v>
      </c>
      <c r="K41" s="7"/>
      <c r="V41" s="5">
        <f t="shared" si="7"/>
        <v>1</v>
      </c>
      <c r="W41" s="5">
        <f t="shared" si="8"/>
        <v>0</v>
      </c>
    </row>
    <row r="42" spans="1:23" x14ac:dyDescent="0.3">
      <c r="A42" s="6"/>
      <c r="B42" s="17">
        <v>37</v>
      </c>
      <c r="C42" s="24">
        <v>44246</v>
      </c>
      <c r="D42" s="25" t="s">
        <v>18</v>
      </c>
      <c r="E42" s="25" t="s">
        <v>247</v>
      </c>
      <c r="F42" s="26">
        <v>250</v>
      </c>
      <c r="G42" s="61">
        <v>284</v>
      </c>
      <c r="H42" s="61">
        <v>34</v>
      </c>
      <c r="I42" s="26">
        <v>100</v>
      </c>
      <c r="J42" s="21">
        <f t="shared" si="0"/>
        <v>3400</v>
      </c>
      <c r="K42" s="7"/>
      <c r="V42" s="5">
        <f t="shared" si="7"/>
        <v>1</v>
      </c>
      <c r="W42" s="5">
        <f t="shared" si="8"/>
        <v>0</v>
      </c>
    </row>
    <row r="43" spans="1:23" x14ac:dyDescent="0.3">
      <c r="A43" s="6"/>
      <c r="B43" s="17">
        <v>38</v>
      </c>
      <c r="C43" s="24">
        <v>44246</v>
      </c>
      <c r="D43" s="25" t="s">
        <v>18</v>
      </c>
      <c r="E43" s="25" t="s">
        <v>259</v>
      </c>
      <c r="F43" s="26">
        <v>260</v>
      </c>
      <c r="G43" s="61">
        <v>360</v>
      </c>
      <c r="H43" s="61">
        <v>100</v>
      </c>
      <c r="I43" s="26">
        <v>100</v>
      </c>
      <c r="J43" s="21">
        <f t="shared" si="0"/>
        <v>10000</v>
      </c>
      <c r="K43" s="7"/>
      <c r="V43" s="5">
        <f t="shared" si="7"/>
        <v>1</v>
      </c>
      <c r="W43" s="5">
        <f t="shared" si="8"/>
        <v>0</v>
      </c>
    </row>
    <row r="44" spans="1:23" x14ac:dyDescent="0.3">
      <c r="A44" s="6"/>
      <c r="B44" s="17">
        <v>39</v>
      </c>
      <c r="C44" s="24">
        <v>44249</v>
      </c>
      <c r="D44" s="25" t="s">
        <v>18</v>
      </c>
      <c r="E44" s="25" t="s">
        <v>275</v>
      </c>
      <c r="F44" s="26">
        <v>200</v>
      </c>
      <c r="G44" s="61">
        <v>262</v>
      </c>
      <c r="H44" s="61">
        <v>62</v>
      </c>
      <c r="I44" s="26">
        <v>100</v>
      </c>
      <c r="J44" s="21">
        <f t="shared" si="0"/>
        <v>6200</v>
      </c>
      <c r="K44" s="7"/>
      <c r="V44" s="5">
        <f t="shared" si="7"/>
        <v>1</v>
      </c>
      <c r="W44" s="5">
        <f t="shared" si="8"/>
        <v>0</v>
      </c>
    </row>
    <row r="45" spans="1:23" x14ac:dyDescent="0.3">
      <c r="A45" s="6"/>
      <c r="B45" s="17">
        <v>40</v>
      </c>
      <c r="C45" s="24">
        <v>44249</v>
      </c>
      <c r="D45" s="25" t="s">
        <v>18</v>
      </c>
      <c r="E45" s="25" t="s">
        <v>276</v>
      </c>
      <c r="F45" s="26">
        <v>220</v>
      </c>
      <c r="G45" s="61">
        <v>320</v>
      </c>
      <c r="H45" s="61">
        <v>100</v>
      </c>
      <c r="I45" s="26">
        <v>100</v>
      </c>
      <c r="J45" s="21">
        <f t="shared" si="0"/>
        <v>10000</v>
      </c>
      <c r="K45" s="7"/>
      <c r="V45" s="5">
        <f t="shared" si="7"/>
        <v>1</v>
      </c>
      <c r="W45" s="5">
        <f t="shared" si="8"/>
        <v>0</v>
      </c>
    </row>
    <row r="46" spans="1:23" x14ac:dyDescent="0.3">
      <c r="A46" s="6"/>
      <c r="B46" s="17">
        <v>41</v>
      </c>
      <c r="C46" s="24">
        <v>44250</v>
      </c>
      <c r="D46" s="25" t="s">
        <v>18</v>
      </c>
      <c r="E46" s="25" t="s">
        <v>273</v>
      </c>
      <c r="F46" s="26">
        <v>220</v>
      </c>
      <c r="G46" s="61">
        <v>250</v>
      </c>
      <c r="H46" s="61">
        <v>50</v>
      </c>
      <c r="I46" s="26">
        <v>100</v>
      </c>
      <c r="J46" s="21">
        <f t="shared" si="0"/>
        <v>5000</v>
      </c>
      <c r="K46" s="7"/>
    </row>
    <row r="47" spans="1:23" x14ac:dyDescent="0.3">
      <c r="A47" s="6"/>
      <c r="B47" s="17">
        <v>42</v>
      </c>
      <c r="C47" s="24">
        <v>44250</v>
      </c>
      <c r="D47" s="25" t="s">
        <v>18</v>
      </c>
      <c r="E47" s="25" t="s">
        <v>274</v>
      </c>
      <c r="F47" s="26">
        <v>200</v>
      </c>
      <c r="G47" s="61">
        <v>250</v>
      </c>
      <c r="H47" s="61">
        <v>50</v>
      </c>
      <c r="I47" s="26">
        <v>100</v>
      </c>
      <c r="J47" s="21">
        <f t="shared" si="0"/>
        <v>5000</v>
      </c>
      <c r="K47" s="7"/>
    </row>
    <row r="48" spans="1:23" x14ac:dyDescent="0.3">
      <c r="A48" s="6"/>
      <c r="B48" s="17">
        <v>43</v>
      </c>
      <c r="C48" s="24">
        <v>44251</v>
      </c>
      <c r="D48" s="25" t="s">
        <v>18</v>
      </c>
      <c r="E48" s="25" t="s">
        <v>278</v>
      </c>
      <c r="F48" s="26">
        <v>150</v>
      </c>
      <c r="G48" s="61">
        <v>250</v>
      </c>
      <c r="H48" s="61">
        <v>100</v>
      </c>
      <c r="I48" s="26">
        <v>100</v>
      </c>
      <c r="J48" s="21">
        <f t="shared" si="0"/>
        <v>10000</v>
      </c>
      <c r="K48" s="7"/>
    </row>
    <row r="49" spans="1:23" x14ac:dyDescent="0.3">
      <c r="A49" s="6"/>
      <c r="B49" s="17">
        <v>44</v>
      </c>
      <c r="C49" s="24">
        <v>44252</v>
      </c>
      <c r="D49" s="25" t="s">
        <v>18</v>
      </c>
      <c r="E49" s="25" t="s">
        <v>282</v>
      </c>
      <c r="F49" s="26">
        <v>150</v>
      </c>
      <c r="G49" s="61">
        <v>182</v>
      </c>
      <c r="H49" s="61">
        <v>32</v>
      </c>
      <c r="I49" s="26">
        <v>100</v>
      </c>
      <c r="J49" s="21">
        <f t="shared" si="0"/>
        <v>3200</v>
      </c>
      <c r="K49" s="7"/>
    </row>
    <row r="50" spans="1:23" x14ac:dyDescent="0.3">
      <c r="A50" s="6"/>
      <c r="B50" s="17">
        <v>45</v>
      </c>
      <c r="C50" s="24">
        <v>44253</v>
      </c>
      <c r="D50" s="25" t="s">
        <v>18</v>
      </c>
      <c r="E50" s="25" t="s">
        <v>283</v>
      </c>
      <c r="F50" s="26">
        <v>140</v>
      </c>
      <c r="G50" s="61">
        <v>205</v>
      </c>
      <c r="H50" s="61">
        <v>65</v>
      </c>
      <c r="I50" s="26">
        <v>100</v>
      </c>
      <c r="J50" s="21">
        <f t="shared" si="0"/>
        <v>6500</v>
      </c>
      <c r="K50" s="7"/>
    </row>
    <row r="51" spans="1:23" x14ac:dyDescent="0.3">
      <c r="A51" s="6"/>
      <c r="B51" s="17">
        <v>46</v>
      </c>
      <c r="C51" s="24">
        <v>44253</v>
      </c>
      <c r="D51" s="25" t="s">
        <v>18</v>
      </c>
      <c r="E51" s="25" t="s">
        <v>284</v>
      </c>
      <c r="F51" s="26">
        <v>440</v>
      </c>
      <c r="G51" s="61">
        <v>540</v>
      </c>
      <c r="H51" s="61">
        <v>100</v>
      </c>
      <c r="I51" s="26">
        <v>100</v>
      </c>
      <c r="J51" s="21">
        <f t="shared" si="0"/>
        <v>10000</v>
      </c>
      <c r="K51" s="7"/>
      <c r="V51" s="5">
        <f t="shared" si="7"/>
        <v>1</v>
      </c>
      <c r="W51" s="5">
        <f t="shared" si="8"/>
        <v>0</v>
      </c>
    </row>
    <row r="52" spans="1:23" x14ac:dyDescent="0.3">
      <c r="A52" s="6"/>
      <c r="B52" s="17">
        <v>47</v>
      </c>
      <c r="C52" s="24"/>
      <c r="D52" s="25"/>
      <c r="E52" s="25"/>
      <c r="F52" s="26"/>
      <c r="G52" s="61"/>
      <c r="H52" s="61"/>
      <c r="I52" s="26"/>
      <c r="J52" s="21">
        <f t="shared" si="0"/>
        <v>0</v>
      </c>
      <c r="K52" s="7"/>
      <c r="V52" s="5">
        <f t="shared" si="7"/>
        <v>0</v>
      </c>
      <c r="W52" s="5">
        <f t="shared" si="8"/>
        <v>0</v>
      </c>
    </row>
    <row r="53" spans="1:23" x14ac:dyDescent="0.3">
      <c r="A53" s="6"/>
      <c r="B53" s="17">
        <v>48</v>
      </c>
      <c r="C53" s="24"/>
      <c r="D53" s="25"/>
      <c r="E53" s="25"/>
      <c r="F53" s="26"/>
      <c r="G53" s="61"/>
      <c r="H53" s="61"/>
      <c r="I53" s="26"/>
      <c r="J53" s="21">
        <f t="shared" si="0"/>
        <v>0</v>
      </c>
      <c r="K53" s="7"/>
      <c r="V53" s="5">
        <f t="shared" si="7"/>
        <v>0</v>
      </c>
      <c r="W53" s="5">
        <f t="shared" si="8"/>
        <v>0</v>
      </c>
    </row>
    <row r="54" spans="1:23" x14ac:dyDescent="0.3">
      <c r="A54" s="6"/>
      <c r="B54" s="17">
        <v>49</v>
      </c>
      <c r="C54" s="24"/>
      <c r="D54" s="25"/>
      <c r="E54" s="25"/>
      <c r="F54" s="26"/>
      <c r="G54" s="61"/>
      <c r="H54" s="61"/>
      <c r="I54" s="26"/>
      <c r="J54" s="21">
        <f t="shared" si="0"/>
        <v>0</v>
      </c>
      <c r="K54" s="7"/>
      <c r="V54" s="5">
        <f t="shared" si="7"/>
        <v>0</v>
      </c>
      <c r="W54" s="5">
        <f t="shared" si="8"/>
        <v>0</v>
      </c>
    </row>
    <row r="55" spans="1:23" x14ac:dyDescent="0.3">
      <c r="A55" s="6"/>
      <c r="B55" s="17">
        <v>50</v>
      </c>
      <c r="C55" s="24"/>
      <c r="D55" s="25"/>
      <c r="E55" s="25"/>
      <c r="F55" s="26"/>
      <c r="G55" s="61"/>
      <c r="H55" s="61"/>
      <c r="I55" s="26"/>
      <c r="J55" s="21">
        <f t="shared" si="0"/>
        <v>0</v>
      </c>
      <c r="K55" s="7"/>
      <c r="V55" s="5">
        <f t="shared" si="7"/>
        <v>0</v>
      </c>
      <c r="W55" s="5">
        <f t="shared" si="8"/>
        <v>0</v>
      </c>
    </row>
    <row r="56" spans="1:23" x14ac:dyDescent="0.3">
      <c r="A56" s="6"/>
      <c r="B56" s="17">
        <v>51</v>
      </c>
      <c r="C56" s="24"/>
      <c r="D56" s="25"/>
      <c r="E56" s="25"/>
      <c r="F56" s="26"/>
      <c r="G56" s="61"/>
      <c r="H56" s="61"/>
      <c r="I56" s="26"/>
      <c r="J56" s="21">
        <f t="shared" si="0"/>
        <v>0</v>
      </c>
      <c r="K56" s="7"/>
      <c r="V56" s="5">
        <f t="shared" si="7"/>
        <v>0</v>
      </c>
      <c r="W56" s="5">
        <f t="shared" si="8"/>
        <v>0</v>
      </c>
    </row>
    <row r="57" spans="1:23" ht="15" thickBot="1" x14ac:dyDescent="0.35">
      <c r="A57" s="6"/>
      <c r="B57" s="17">
        <v>52</v>
      </c>
      <c r="C57" s="24"/>
      <c r="D57" s="25"/>
      <c r="E57" s="25"/>
      <c r="F57" s="26"/>
      <c r="G57" s="61"/>
      <c r="H57" s="61"/>
      <c r="I57" s="26"/>
      <c r="J57" s="21">
        <f t="shared" si="0"/>
        <v>0</v>
      </c>
      <c r="K57" s="7"/>
      <c r="V57" s="5">
        <f t="shared" si="7"/>
        <v>0</v>
      </c>
      <c r="W57" s="5">
        <f t="shared" si="8"/>
        <v>0</v>
      </c>
    </row>
    <row r="58" spans="1:23" ht="15" hidden="1" thickBot="1" x14ac:dyDescent="0.35">
      <c r="A58" s="6"/>
      <c r="B58" s="23">
        <v>34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7"/>
        <v>0</v>
      </c>
      <c r="W58" s="5">
        <f t="shared" si="8"/>
        <v>0</v>
      </c>
    </row>
    <row r="59" spans="1:23" ht="15" hidden="1" thickBot="1" x14ac:dyDescent="0.35">
      <c r="A59" s="6"/>
      <c r="B59" s="23">
        <v>35</v>
      </c>
      <c r="C59" s="24"/>
      <c r="D59" s="25"/>
      <c r="E59" s="25"/>
      <c r="F59" s="26"/>
      <c r="G59" s="61"/>
      <c r="H59" s="61"/>
      <c r="I59" s="26"/>
      <c r="J59" s="21">
        <f t="shared" si="0"/>
        <v>0</v>
      </c>
      <c r="K59" s="7"/>
      <c r="V59" s="5">
        <f t="shared" si="7"/>
        <v>0</v>
      </c>
      <c r="W59" s="5">
        <f t="shared" si="8"/>
        <v>0</v>
      </c>
    </row>
    <row r="60" spans="1:23" ht="15" hidden="1" thickBot="1" x14ac:dyDescent="0.35">
      <c r="A60" s="6"/>
      <c r="B60" s="23">
        <v>36</v>
      </c>
      <c r="C60" s="24"/>
      <c r="D60" s="25"/>
      <c r="E60" s="25"/>
      <c r="F60" s="26"/>
      <c r="G60" s="61"/>
      <c r="H60" s="61"/>
      <c r="I60" s="26"/>
      <c r="J60" s="21">
        <f t="shared" si="0"/>
        <v>0</v>
      </c>
      <c r="K60" s="7"/>
      <c r="V60" s="5">
        <f t="shared" si="7"/>
        <v>0</v>
      </c>
      <c r="W60" s="5">
        <f t="shared" si="8"/>
        <v>0</v>
      </c>
    </row>
    <row r="61" spans="1:23" ht="15" hidden="1" thickBot="1" x14ac:dyDescent="0.35">
      <c r="A61" s="6"/>
      <c r="B61" s="23">
        <v>37</v>
      </c>
      <c r="C61" s="24"/>
      <c r="D61" s="25"/>
      <c r="E61" s="25"/>
      <c r="F61" s="26"/>
      <c r="G61" s="61"/>
      <c r="H61" s="61"/>
      <c r="I61" s="26"/>
      <c r="J61" s="21">
        <f t="shared" si="0"/>
        <v>0</v>
      </c>
      <c r="K61" s="7"/>
      <c r="V61" s="5">
        <f t="shared" si="7"/>
        <v>0</v>
      </c>
      <c r="W61" s="5">
        <f t="shared" si="8"/>
        <v>0</v>
      </c>
    </row>
    <row r="62" spans="1:23" ht="15" hidden="1" thickBot="1" x14ac:dyDescent="0.35">
      <c r="A62" s="6"/>
      <c r="B62" s="23">
        <v>38</v>
      </c>
      <c r="C62" s="24"/>
      <c r="D62" s="25"/>
      <c r="E62" s="25"/>
      <c r="F62" s="26"/>
      <c r="G62" s="61"/>
      <c r="H62" s="61"/>
      <c r="I62" s="26"/>
      <c r="J62" s="21">
        <f t="shared" si="0"/>
        <v>0</v>
      </c>
      <c r="K62" s="7"/>
      <c r="V62" s="5">
        <f t="shared" si="7"/>
        <v>0</v>
      </c>
      <c r="W62" s="5">
        <f t="shared" si="8"/>
        <v>0</v>
      </c>
    </row>
    <row r="63" spans="1:23" ht="15" hidden="1" thickBot="1" x14ac:dyDescent="0.35">
      <c r="A63" s="6"/>
      <c r="B63" s="23">
        <v>39</v>
      </c>
      <c r="C63" s="24"/>
      <c r="D63" s="25"/>
      <c r="E63" s="25"/>
      <c r="F63" s="26"/>
      <c r="G63" s="61"/>
      <c r="H63" s="61"/>
      <c r="I63" s="26"/>
      <c r="J63" s="21">
        <f t="shared" si="0"/>
        <v>0</v>
      </c>
      <c r="K63" s="7"/>
      <c r="V63" s="5">
        <f t="shared" si="7"/>
        <v>0</v>
      </c>
      <c r="W63" s="5">
        <f t="shared" si="8"/>
        <v>0</v>
      </c>
    </row>
    <row r="64" spans="1:23" ht="15" hidden="1" thickBot="1" x14ac:dyDescent="0.35">
      <c r="A64" s="6"/>
      <c r="B64" s="23">
        <v>40</v>
      </c>
      <c r="C64" s="24"/>
      <c r="D64" s="25"/>
      <c r="E64" s="25"/>
      <c r="F64" s="26"/>
      <c r="G64" s="61"/>
      <c r="H64" s="61"/>
      <c r="I64" s="26"/>
      <c r="J64" s="21">
        <f t="shared" si="0"/>
        <v>0</v>
      </c>
      <c r="K64" s="7"/>
      <c r="V64" s="5">
        <f t="shared" si="7"/>
        <v>0</v>
      </c>
      <c r="W64" s="5">
        <f t="shared" si="8"/>
        <v>0</v>
      </c>
    </row>
    <row r="65" spans="1:23" ht="15" hidden="1" thickBot="1" x14ac:dyDescent="0.35">
      <c r="A65" s="6"/>
      <c r="B65" s="23">
        <v>41</v>
      </c>
      <c r="C65" s="24"/>
      <c r="D65" s="25"/>
      <c r="E65" s="25"/>
      <c r="F65" s="26"/>
      <c r="G65" s="61"/>
      <c r="H65" s="61"/>
      <c r="I65" s="26"/>
      <c r="J65" s="21">
        <f t="shared" si="0"/>
        <v>0</v>
      </c>
      <c r="K65" s="7"/>
      <c r="V65" s="5">
        <f t="shared" si="7"/>
        <v>0</v>
      </c>
      <c r="W65" s="5">
        <f t="shared" si="8"/>
        <v>0</v>
      </c>
    </row>
    <row r="66" spans="1:23" ht="15" hidden="1" thickBot="1" x14ac:dyDescent="0.35">
      <c r="A66" s="6"/>
      <c r="B66" s="23">
        <v>42</v>
      </c>
      <c r="C66" s="24"/>
      <c r="D66" s="25"/>
      <c r="E66" s="25"/>
      <c r="F66" s="26"/>
      <c r="G66" s="61"/>
      <c r="H66" s="61"/>
      <c r="I66" s="26"/>
      <c r="J66" s="21">
        <f t="shared" si="0"/>
        <v>0</v>
      </c>
      <c r="K66" s="7"/>
      <c r="V66" s="5">
        <f t="shared" si="7"/>
        <v>0</v>
      </c>
      <c r="W66" s="5">
        <f t="shared" si="8"/>
        <v>0</v>
      </c>
    </row>
    <row r="67" spans="1:23" ht="15" hidden="1" thickBot="1" x14ac:dyDescent="0.35">
      <c r="A67" s="6"/>
      <c r="B67" s="23">
        <v>43</v>
      </c>
      <c r="C67" s="24"/>
      <c r="D67" s="25"/>
      <c r="E67" s="25"/>
      <c r="F67" s="26"/>
      <c r="G67" s="61"/>
      <c r="H67" s="61"/>
      <c r="I67" s="26"/>
      <c r="J67" s="21">
        <f t="shared" si="0"/>
        <v>0</v>
      </c>
      <c r="K67" s="7"/>
      <c r="V67" s="5">
        <f t="shared" si="7"/>
        <v>0</v>
      </c>
      <c r="W67" s="5">
        <f t="shared" si="8"/>
        <v>0</v>
      </c>
    </row>
    <row r="68" spans="1:23" ht="15" hidden="1" thickBot="1" x14ac:dyDescent="0.35">
      <c r="A68" s="6"/>
      <c r="B68" s="23">
        <v>44</v>
      </c>
      <c r="C68" s="24"/>
      <c r="D68" s="25"/>
      <c r="E68" s="25"/>
      <c r="F68" s="26"/>
      <c r="G68" s="61"/>
      <c r="H68" s="61"/>
      <c r="I68" s="26"/>
      <c r="J68" s="21">
        <f t="shared" si="0"/>
        <v>0</v>
      </c>
      <c r="K68" s="7"/>
      <c r="V68" s="5">
        <f t="shared" si="7"/>
        <v>0</v>
      </c>
      <c r="W68" s="5">
        <f t="shared" si="8"/>
        <v>0</v>
      </c>
    </row>
    <row r="69" spans="1:23" ht="15" hidden="1" thickBot="1" x14ac:dyDescent="0.35">
      <c r="A69" s="6"/>
      <c r="B69" s="23">
        <v>45</v>
      </c>
      <c r="C69" s="24"/>
      <c r="D69" s="25"/>
      <c r="E69" s="25"/>
      <c r="F69" s="26"/>
      <c r="G69" s="61"/>
      <c r="H69" s="61"/>
      <c r="I69" s="26"/>
      <c r="J69" s="21">
        <f t="shared" si="0"/>
        <v>0</v>
      </c>
      <c r="K69" s="7"/>
      <c r="V69" s="5">
        <f t="shared" si="7"/>
        <v>0</v>
      </c>
      <c r="W69" s="5">
        <f t="shared" si="8"/>
        <v>0</v>
      </c>
    </row>
    <row r="70" spans="1:23" ht="15" hidden="1" thickBot="1" x14ac:dyDescent="0.35">
      <c r="A70" s="6"/>
      <c r="B70" s="23">
        <v>46</v>
      </c>
      <c r="C70" s="24"/>
      <c r="D70" s="25"/>
      <c r="E70" s="25"/>
      <c r="F70" s="26"/>
      <c r="G70" s="61"/>
      <c r="H70" s="61"/>
      <c r="I70" s="26"/>
      <c r="J70" s="21">
        <f t="shared" si="0"/>
        <v>0</v>
      </c>
      <c r="K70" s="7"/>
      <c r="V70" s="5">
        <f t="shared" si="7"/>
        <v>0</v>
      </c>
      <c r="W70" s="5">
        <f t="shared" si="8"/>
        <v>0</v>
      </c>
    </row>
    <row r="71" spans="1:23" ht="15" hidden="1" thickBot="1" x14ac:dyDescent="0.35">
      <c r="A71" s="6"/>
      <c r="B71" s="23">
        <v>47</v>
      </c>
      <c r="C71" s="24"/>
      <c r="D71" s="25"/>
      <c r="E71" s="25"/>
      <c r="F71" s="26"/>
      <c r="G71" s="61"/>
      <c r="H71" s="61"/>
      <c r="I71" s="26"/>
      <c r="J71" s="21">
        <f t="shared" si="0"/>
        <v>0</v>
      </c>
      <c r="K71" s="7"/>
      <c r="V71" s="5">
        <f t="shared" si="7"/>
        <v>0</v>
      </c>
      <c r="W71" s="5">
        <f t="shared" si="8"/>
        <v>0</v>
      </c>
    </row>
    <row r="72" spans="1:23" ht="15" hidden="1" thickBot="1" x14ac:dyDescent="0.35">
      <c r="A72" s="6"/>
      <c r="B72" s="23">
        <v>48</v>
      </c>
      <c r="C72" s="24"/>
      <c r="D72" s="25"/>
      <c r="E72" s="25"/>
      <c r="F72" s="26"/>
      <c r="G72" s="61"/>
      <c r="H72" s="61"/>
      <c r="I72" s="26"/>
      <c r="J72" s="21">
        <f t="shared" si="0"/>
        <v>0</v>
      </c>
      <c r="K72" s="7"/>
    </row>
    <row r="73" spans="1:23" ht="15" hidden="1" thickBot="1" x14ac:dyDescent="0.35">
      <c r="A73" s="6"/>
      <c r="B73" s="23">
        <v>49</v>
      </c>
      <c r="C73" s="24"/>
      <c r="D73" s="25"/>
      <c r="E73" s="25"/>
      <c r="F73" s="26"/>
      <c r="G73" s="61"/>
      <c r="H73" s="61"/>
      <c r="I73" s="26"/>
      <c r="J73" s="21">
        <f t="shared" si="0"/>
        <v>0</v>
      </c>
      <c r="K73" s="7"/>
    </row>
    <row r="74" spans="1:23" ht="15" hidden="1" thickBot="1" x14ac:dyDescent="0.35">
      <c r="A74" s="6"/>
      <c r="B74" s="23">
        <v>50</v>
      </c>
      <c r="C74" s="24"/>
      <c r="D74" s="25"/>
      <c r="E74" s="25"/>
      <c r="F74" s="26"/>
      <c r="G74" s="61"/>
      <c r="H74" s="61"/>
      <c r="I74" s="26"/>
      <c r="J74" s="21">
        <f t="shared" si="0"/>
        <v>0</v>
      </c>
      <c r="K74" s="7"/>
    </row>
    <row r="75" spans="1:23" ht="15" hidden="1" thickBot="1" x14ac:dyDescent="0.35">
      <c r="A75" s="6"/>
      <c r="B75" s="23">
        <v>51</v>
      </c>
      <c r="C75" s="24"/>
      <c r="D75" s="25"/>
      <c r="E75" s="25"/>
      <c r="F75" s="26"/>
      <c r="G75" s="61"/>
      <c r="H75" s="61"/>
      <c r="I75" s="26"/>
      <c r="J75" s="21">
        <f t="shared" ref="J75:J88" si="9">H75*I75</f>
        <v>0</v>
      </c>
      <c r="K75" s="7"/>
    </row>
    <row r="76" spans="1:23" ht="15" hidden="1" thickBot="1" x14ac:dyDescent="0.35">
      <c r="A76" s="6"/>
      <c r="B76" s="23">
        <v>52</v>
      </c>
      <c r="C76" s="24"/>
      <c r="D76" s="25"/>
      <c r="E76" s="25"/>
      <c r="F76" s="26"/>
      <c r="G76" s="61"/>
      <c r="H76" s="61"/>
      <c r="I76" s="26"/>
      <c r="J76" s="21">
        <f t="shared" si="9"/>
        <v>0</v>
      </c>
      <c r="K76" s="7"/>
    </row>
    <row r="77" spans="1:23" ht="15" hidden="1" thickBot="1" x14ac:dyDescent="0.35">
      <c r="A77" s="6"/>
      <c r="B77" s="23">
        <v>53</v>
      </c>
      <c r="C77" s="24"/>
      <c r="D77" s="25"/>
      <c r="E77" s="25"/>
      <c r="F77" s="26"/>
      <c r="G77" s="61"/>
      <c r="H77" s="61"/>
      <c r="I77" s="26"/>
      <c r="J77" s="21">
        <f t="shared" si="9"/>
        <v>0</v>
      </c>
      <c r="K77" s="7"/>
    </row>
    <row r="78" spans="1:23" ht="15" hidden="1" thickBot="1" x14ac:dyDescent="0.35">
      <c r="A78" s="6"/>
      <c r="B78" s="23">
        <v>54</v>
      </c>
      <c r="C78" s="24"/>
      <c r="D78" s="25"/>
      <c r="E78" s="25"/>
      <c r="F78" s="26"/>
      <c r="G78" s="61"/>
      <c r="H78" s="61"/>
      <c r="I78" s="26"/>
      <c r="J78" s="21">
        <f t="shared" si="9"/>
        <v>0</v>
      </c>
      <c r="K78" s="7"/>
    </row>
    <row r="79" spans="1:23" ht="15" hidden="1" thickBot="1" x14ac:dyDescent="0.35">
      <c r="A79" s="6"/>
      <c r="B79" s="23">
        <v>55</v>
      </c>
      <c r="C79" s="24"/>
      <c r="D79" s="25"/>
      <c r="E79" s="25"/>
      <c r="F79" s="26"/>
      <c r="G79" s="61"/>
      <c r="H79" s="61"/>
      <c r="I79" s="26"/>
      <c r="J79" s="21">
        <f t="shared" si="9"/>
        <v>0</v>
      </c>
      <c r="K79" s="7"/>
    </row>
    <row r="80" spans="1:23" ht="15" hidden="1" thickBot="1" x14ac:dyDescent="0.35">
      <c r="A80" s="6"/>
      <c r="B80" s="23">
        <v>56</v>
      </c>
      <c r="C80" s="24"/>
      <c r="D80" s="25"/>
      <c r="E80" s="25"/>
      <c r="F80" s="26"/>
      <c r="G80" s="61"/>
      <c r="H80" s="61"/>
      <c r="I80" s="26"/>
      <c r="J80" s="21">
        <f t="shared" si="9"/>
        <v>0</v>
      </c>
      <c r="K80" s="7"/>
    </row>
    <row r="81" spans="1:23" ht="15" hidden="1" thickBot="1" x14ac:dyDescent="0.35">
      <c r="A81" s="6"/>
      <c r="B81" s="23">
        <v>57</v>
      </c>
      <c r="C81" s="24"/>
      <c r="D81" s="25"/>
      <c r="E81" s="25"/>
      <c r="F81" s="26"/>
      <c r="G81" s="61"/>
      <c r="H81" s="61"/>
      <c r="I81" s="26"/>
      <c r="J81" s="21">
        <f t="shared" si="9"/>
        <v>0</v>
      </c>
      <c r="K81" s="7"/>
    </row>
    <row r="82" spans="1:23" ht="15" hidden="1" thickBot="1" x14ac:dyDescent="0.35">
      <c r="A82" s="6"/>
      <c r="B82" s="23">
        <v>58</v>
      </c>
      <c r="C82" s="24"/>
      <c r="D82" s="25"/>
      <c r="E82" s="25"/>
      <c r="F82" s="26"/>
      <c r="G82" s="61"/>
      <c r="H82" s="61"/>
      <c r="I82" s="26"/>
      <c r="J82" s="21">
        <f t="shared" si="9"/>
        <v>0</v>
      </c>
      <c r="K82" s="7"/>
      <c r="V82" s="5">
        <f t="shared" si="7"/>
        <v>0</v>
      </c>
      <c r="W82" s="5">
        <f t="shared" si="8"/>
        <v>0</v>
      </c>
    </row>
    <row r="83" spans="1:23" ht="15" hidden="1" thickBot="1" x14ac:dyDescent="0.35">
      <c r="A83" s="6"/>
      <c r="B83" s="23">
        <v>59</v>
      </c>
      <c r="C83" s="24"/>
      <c r="D83" s="25"/>
      <c r="E83" s="25"/>
      <c r="F83" s="26"/>
      <c r="G83" s="61"/>
      <c r="H83" s="61"/>
      <c r="I83" s="26"/>
      <c r="J83" s="21">
        <f t="shared" si="9"/>
        <v>0</v>
      </c>
      <c r="K83" s="7"/>
      <c r="V83" s="5">
        <f t="shared" si="7"/>
        <v>0</v>
      </c>
      <c r="W83" s="5">
        <f t="shared" si="8"/>
        <v>0</v>
      </c>
    </row>
    <row r="84" spans="1:23" ht="15" hidden="1" thickBot="1" x14ac:dyDescent="0.35">
      <c r="A84" s="6"/>
      <c r="B84" s="23">
        <v>60</v>
      </c>
      <c r="C84" s="24"/>
      <c r="D84" s="25"/>
      <c r="E84" s="25"/>
      <c r="F84" s="61"/>
      <c r="G84" s="61"/>
      <c r="H84" s="61"/>
      <c r="I84" s="26"/>
      <c r="J84" s="21">
        <f t="shared" si="9"/>
        <v>0</v>
      </c>
      <c r="K84" s="7"/>
      <c r="V84" s="5">
        <f t="shared" si="7"/>
        <v>0</v>
      </c>
      <c r="W84" s="5">
        <f t="shared" si="8"/>
        <v>0</v>
      </c>
    </row>
    <row r="85" spans="1:23" ht="15" hidden="1" thickBot="1" x14ac:dyDescent="0.35">
      <c r="A85" s="6"/>
      <c r="B85" s="23">
        <v>61</v>
      </c>
      <c r="C85" s="24"/>
      <c r="D85" s="25"/>
      <c r="E85" s="25"/>
      <c r="F85" s="61"/>
      <c r="G85" s="61"/>
      <c r="H85" s="61"/>
      <c r="I85" s="26"/>
      <c r="J85" s="21">
        <f t="shared" si="9"/>
        <v>0</v>
      </c>
      <c r="K85" s="7"/>
    </row>
    <row r="86" spans="1:23" ht="15" hidden="1" thickBot="1" x14ac:dyDescent="0.35">
      <c r="A86" s="6"/>
      <c r="B86" s="23">
        <v>62</v>
      </c>
      <c r="C86" s="24"/>
      <c r="D86" s="25"/>
      <c r="E86" s="25"/>
      <c r="F86" s="61"/>
      <c r="G86" s="61"/>
      <c r="H86" s="61"/>
      <c r="I86" s="26"/>
      <c r="J86" s="21">
        <f t="shared" si="9"/>
        <v>0</v>
      </c>
      <c r="K86" s="7"/>
    </row>
    <row r="87" spans="1:23" ht="15" hidden="1" thickBot="1" x14ac:dyDescent="0.35">
      <c r="A87" s="6"/>
      <c r="B87" s="23">
        <v>63</v>
      </c>
      <c r="C87" s="24"/>
      <c r="D87" s="25"/>
      <c r="E87" s="25"/>
      <c r="F87" s="61"/>
      <c r="G87" s="61"/>
      <c r="H87" s="61"/>
      <c r="I87" s="26"/>
      <c r="J87" s="21">
        <f t="shared" si="9"/>
        <v>0</v>
      </c>
      <c r="K87" s="7"/>
      <c r="V87" s="5">
        <f t="shared" si="7"/>
        <v>0</v>
      </c>
      <c r="W87" s="5">
        <f t="shared" si="8"/>
        <v>0</v>
      </c>
    </row>
    <row r="88" spans="1:23" ht="15" hidden="1" thickBot="1" x14ac:dyDescent="0.35">
      <c r="A88" s="6"/>
      <c r="B88" s="23">
        <v>64</v>
      </c>
      <c r="C88" s="24"/>
      <c r="D88" s="25"/>
      <c r="E88" s="25"/>
      <c r="F88" s="26"/>
      <c r="G88" s="26"/>
      <c r="H88" s="25"/>
      <c r="I88" s="26"/>
      <c r="J88" s="27">
        <f t="shared" si="9"/>
        <v>0</v>
      </c>
      <c r="K88" s="7"/>
      <c r="V88" s="5">
        <f t="shared" si="7"/>
        <v>0</v>
      </c>
      <c r="W88" s="5">
        <f t="shared" si="8"/>
        <v>0</v>
      </c>
    </row>
    <row r="89" spans="1:23" ht="24" thickBot="1" x14ac:dyDescent="0.5">
      <c r="A89" s="6"/>
      <c r="B89" s="144" t="s">
        <v>22</v>
      </c>
      <c r="C89" s="145"/>
      <c r="D89" s="145"/>
      <c r="E89" s="145"/>
      <c r="F89" s="145"/>
      <c r="G89" s="145"/>
      <c r="H89" s="146"/>
      <c r="I89" s="28" t="s">
        <v>23</v>
      </c>
      <c r="J89" s="29">
        <f>SUM(J6:J88)</f>
        <v>201600</v>
      </c>
      <c r="K89" s="7"/>
      <c r="W89" s="5">
        <f t="shared" si="8"/>
        <v>0</v>
      </c>
    </row>
    <row r="90" spans="1:23" ht="30" customHeight="1" thickBot="1" x14ac:dyDescent="0.35">
      <c r="A90" s="30"/>
      <c r="B90" s="31"/>
      <c r="C90" s="31"/>
      <c r="D90" s="31"/>
      <c r="E90" s="31"/>
      <c r="F90" s="31"/>
      <c r="G90" s="31"/>
      <c r="H90" s="32"/>
      <c r="I90" s="31"/>
      <c r="J90" s="32"/>
      <c r="K90" s="33"/>
      <c r="L90" s="36"/>
      <c r="M90" s="36"/>
      <c r="N90" s="36"/>
      <c r="O90" s="36"/>
      <c r="P90" s="36"/>
      <c r="Q90" s="36"/>
      <c r="R90" s="36"/>
    </row>
    <row r="91" spans="1:23" ht="15" thickBot="1" x14ac:dyDescent="0.35">
      <c r="L91" s="36"/>
      <c r="M91" s="36"/>
      <c r="N91" s="36"/>
      <c r="O91" s="22"/>
      <c r="P91" s="22"/>
      <c r="Q91" s="22"/>
      <c r="R91" s="22"/>
    </row>
    <row r="92" spans="1:23" s="36" customFormat="1" ht="30" customHeight="1" thickBot="1" x14ac:dyDescent="0.35">
      <c r="A92" s="1"/>
      <c r="B92" s="2"/>
      <c r="C92" s="2"/>
      <c r="D92" s="2"/>
      <c r="E92" s="2"/>
      <c r="F92" s="2"/>
      <c r="G92" s="2"/>
      <c r="H92" s="3"/>
      <c r="I92" s="2"/>
      <c r="J92" s="3"/>
      <c r="K92" s="4"/>
    </row>
    <row r="93" spans="1:23" s="36" customFormat="1" ht="25.2" thickBot="1" x14ac:dyDescent="0.35">
      <c r="A93" s="6" t="s">
        <v>1</v>
      </c>
      <c r="B93" s="119" t="s">
        <v>2</v>
      </c>
      <c r="C93" s="120"/>
      <c r="D93" s="120"/>
      <c r="E93" s="120"/>
      <c r="F93" s="120"/>
      <c r="G93" s="120"/>
      <c r="H93" s="120"/>
      <c r="I93" s="120"/>
      <c r="J93" s="121"/>
      <c r="K93" s="7"/>
    </row>
    <row r="94" spans="1:23" s="36" customFormat="1" ht="16.2" thickBot="1" x14ac:dyDescent="0.35">
      <c r="A94" s="6"/>
      <c r="B94" s="168" t="s">
        <v>235</v>
      </c>
      <c r="C94" s="169"/>
      <c r="D94" s="169"/>
      <c r="E94" s="169"/>
      <c r="F94" s="169"/>
      <c r="G94" s="169"/>
      <c r="H94" s="169"/>
      <c r="I94" s="169"/>
      <c r="J94" s="170"/>
      <c r="K94" s="7"/>
      <c r="L94" s="22"/>
    </row>
    <row r="95" spans="1:23" s="36" customFormat="1" ht="16.2" thickBot="1" x14ac:dyDescent="0.35">
      <c r="A95" s="6"/>
      <c r="B95" s="106" t="s">
        <v>90</v>
      </c>
      <c r="C95" s="107"/>
      <c r="D95" s="107"/>
      <c r="E95" s="107"/>
      <c r="F95" s="107"/>
      <c r="G95" s="107"/>
      <c r="H95" s="107"/>
      <c r="I95" s="107"/>
      <c r="J95" s="108"/>
      <c r="K95" s="7"/>
    </row>
    <row r="96" spans="1:23" s="22" customFormat="1" ht="15" thickBot="1" x14ac:dyDescent="0.35">
      <c r="A96" s="69"/>
      <c r="B96" s="70" t="s">
        <v>9</v>
      </c>
      <c r="C96" s="71" t="s">
        <v>10</v>
      </c>
      <c r="D96" s="72" t="s">
        <v>11</v>
      </c>
      <c r="E96" s="72" t="s">
        <v>12</v>
      </c>
      <c r="F96" s="73" t="s">
        <v>65</v>
      </c>
      <c r="G96" s="73" t="s">
        <v>66</v>
      </c>
      <c r="H96" s="74" t="s">
        <v>67</v>
      </c>
      <c r="I96" s="73" t="s">
        <v>68</v>
      </c>
      <c r="J96" s="75" t="s">
        <v>17</v>
      </c>
      <c r="K96" s="76"/>
      <c r="L96" s="36"/>
      <c r="M96" s="36"/>
      <c r="N96" s="36"/>
      <c r="O96" s="36" t="s">
        <v>21</v>
      </c>
      <c r="P96" s="36"/>
      <c r="Q96" s="36"/>
      <c r="R96" s="36"/>
      <c r="V96" s="5" t="s">
        <v>5</v>
      </c>
      <c r="W96" s="5" t="s">
        <v>6</v>
      </c>
    </row>
    <row r="97" spans="1:23" s="36" customFormat="1" x14ac:dyDescent="0.3">
      <c r="A97" s="6"/>
      <c r="B97" s="14">
        <v>1</v>
      </c>
      <c r="C97" s="66">
        <v>44228</v>
      </c>
      <c r="D97" s="67" t="s">
        <v>236</v>
      </c>
      <c r="E97" s="67" t="s">
        <v>181</v>
      </c>
      <c r="F97" s="68">
        <v>1595</v>
      </c>
      <c r="G97" s="68">
        <v>1625</v>
      </c>
      <c r="H97" s="60">
        <v>30</v>
      </c>
      <c r="I97" s="15">
        <v>100</v>
      </c>
      <c r="J97" s="16">
        <f>H97*I97</f>
        <v>3000</v>
      </c>
      <c r="K97" s="7"/>
      <c r="V97" s="36" t="e">
        <f>IF(#REF!&gt;0,1,0)</f>
        <v>#REF!</v>
      </c>
      <c r="W97" s="36" t="e">
        <f>IF(#REF!&lt;0,1,0)</f>
        <v>#REF!</v>
      </c>
    </row>
    <row r="98" spans="1:23" s="36" customFormat="1" x14ac:dyDescent="0.3">
      <c r="A98" s="6"/>
      <c r="B98" s="17">
        <f>B97+1</f>
        <v>2</v>
      </c>
      <c r="C98" s="66">
        <v>44228</v>
      </c>
      <c r="D98" s="67" t="s">
        <v>69</v>
      </c>
      <c r="E98" s="67" t="s">
        <v>237</v>
      </c>
      <c r="F98" s="68">
        <v>4435</v>
      </c>
      <c r="G98" s="68">
        <v>4415</v>
      </c>
      <c r="H98" s="67">
        <v>20</v>
      </c>
      <c r="I98" s="20">
        <v>125</v>
      </c>
      <c r="J98" s="21">
        <f>H98*I98</f>
        <v>2500</v>
      </c>
      <c r="K98" s="7"/>
      <c r="L98" s="36" t="s">
        <v>21</v>
      </c>
      <c r="V98" s="36" t="e">
        <f>IF(#REF!&gt;0,1,0)</f>
        <v>#REF!</v>
      </c>
      <c r="W98" s="36" t="e">
        <f>IF(#REF!&lt;0,1,0)</f>
        <v>#REF!</v>
      </c>
    </row>
    <row r="99" spans="1:23" s="36" customFormat="1" x14ac:dyDescent="0.3">
      <c r="A99" s="6"/>
      <c r="B99" s="17">
        <f t="shared" ref="B99:B149" si="10">B98+1</f>
        <v>3</v>
      </c>
      <c r="C99" s="18">
        <v>44228</v>
      </c>
      <c r="D99" s="19" t="s">
        <v>69</v>
      </c>
      <c r="E99" s="19" t="s">
        <v>71</v>
      </c>
      <c r="F99" s="35">
        <v>1865</v>
      </c>
      <c r="G99" s="35">
        <v>1880</v>
      </c>
      <c r="H99" s="35">
        <v>-15</v>
      </c>
      <c r="I99" s="20">
        <v>250</v>
      </c>
      <c r="J99" s="21">
        <f>H99*I99</f>
        <v>-3750</v>
      </c>
      <c r="K99" s="7"/>
      <c r="V99" s="36" t="e">
        <f>IF(#REF!&gt;0,1,0)</f>
        <v>#REF!</v>
      </c>
      <c r="W99" s="36" t="e">
        <f>IF(#REF!&lt;0,1,0)</f>
        <v>#REF!</v>
      </c>
    </row>
    <row r="100" spans="1:23" s="36" customFormat="1" x14ac:dyDescent="0.3">
      <c r="A100" s="6"/>
      <c r="B100" s="17">
        <f t="shared" si="10"/>
        <v>4</v>
      </c>
      <c r="C100" s="18">
        <v>44229</v>
      </c>
      <c r="D100" s="19" t="s">
        <v>69</v>
      </c>
      <c r="E100" s="19" t="s">
        <v>181</v>
      </c>
      <c r="F100" s="35">
        <v>1615</v>
      </c>
      <c r="G100" s="35">
        <v>1601</v>
      </c>
      <c r="H100" s="35">
        <v>14</v>
      </c>
      <c r="I100" s="20">
        <v>500</v>
      </c>
      <c r="J100" s="21">
        <f>H100*I100</f>
        <v>7000</v>
      </c>
      <c r="K100" s="7"/>
      <c r="V100" s="36" t="e">
        <f>IF(#REF!&gt;0,1,0)</f>
        <v>#REF!</v>
      </c>
      <c r="W100" s="36" t="e">
        <f>IF(#REF!&lt;0,1,0)</f>
        <v>#REF!</v>
      </c>
    </row>
    <row r="101" spans="1:23" s="36" customFormat="1" x14ac:dyDescent="0.3">
      <c r="A101" s="6"/>
      <c r="B101" s="17">
        <f t="shared" si="10"/>
        <v>5</v>
      </c>
      <c r="C101" s="18">
        <v>44229</v>
      </c>
      <c r="D101" s="19" t="s">
        <v>18</v>
      </c>
      <c r="E101" s="19" t="s">
        <v>75</v>
      </c>
      <c r="F101" s="35">
        <v>615</v>
      </c>
      <c r="G101" s="35">
        <v>620</v>
      </c>
      <c r="H101" s="35">
        <v>5</v>
      </c>
      <c r="I101" s="20">
        <v>1375</v>
      </c>
      <c r="J101" s="21">
        <f>H101*I101</f>
        <v>6875</v>
      </c>
      <c r="K101" s="7"/>
      <c r="V101" s="36" t="e">
        <f>IF(#REF!&gt;0,1,0)</f>
        <v>#REF!</v>
      </c>
      <c r="W101" s="36" t="e">
        <f>IF(#REF!&lt;0,1,0)</f>
        <v>#REF!</v>
      </c>
    </row>
    <row r="102" spans="1:23" s="36" customFormat="1" x14ac:dyDescent="0.3">
      <c r="A102" s="6"/>
      <c r="B102" s="17">
        <f t="shared" si="10"/>
        <v>6</v>
      </c>
      <c r="C102" s="18">
        <v>44230</v>
      </c>
      <c r="D102" s="19" t="s">
        <v>18</v>
      </c>
      <c r="E102" s="19" t="s">
        <v>86</v>
      </c>
      <c r="F102" s="20">
        <v>5200</v>
      </c>
      <c r="G102" s="35">
        <v>5260</v>
      </c>
      <c r="H102" s="35">
        <v>60</v>
      </c>
      <c r="I102" s="20">
        <v>250</v>
      </c>
      <c r="J102" s="21">
        <f t="shared" ref="J102:J149" si="11">I102*H102</f>
        <v>15000</v>
      </c>
      <c r="K102" s="7"/>
      <c r="V102" s="36">
        <f t="shared" ref="V102:V149" si="12">IF($J102&gt;0,1,0)</f>
        <v>1</v>
      </c>
      <c r="W102" s="36">
        <f t="shared" ref="W102:W149" si="13">IF($J102&lt;0,1,0)</f>
        <v>0</v>
      </c>
    </row>
    <row r="103" spans="1:23" s="36" customFormat="1" x14ac:dyDescent="0.3">
      <c r="A103" s="6"/>
      <c r="B103" s="17">
        <f t="shared" si="10"/>
        <v>7</v>
      </c>
      <c r="C103" s="18">
        <v>44231</v>
      </c>
      <c r="D103" s="19" t="s">
        <v>18</v>
      </c>
      <c r="E103" s="19" t="s">
        <v>111</v>
      </c>
      <c r="F103" s="35">
        <v>336</v>
      </c>
      <c r="G103" s="35">
        <v>340</v>
      </c>
      <c r="H103" s="35">
        <v>4</v>
      </c>
      <c r="I103" s="20">
        <v>3000</v>
      </c>
      <c r="J103" s="21">
        <f t="shared" si="11"/>
        <v>12000</v>
      </c>
      <c r="K103" s="7"/>
      <c r="V103" s="36">
        <f t="shared" si="12"/>
        <v>1</v>
      </c>
      <c r="W103" s="36">
        <f t="shared" si="13"/>
        <v>0</v>
      </c>
    </row>
    <row r="104" spans="1:23" s="36" customFormat="1" x14ac:dyDescent="0.3">
      <c r="A104" s="6"/>
      <c r="B104" s="17">
        <f t="shared" si="10"/>
        <v>8</v>
      </c>
      <c r="C104" s="18">
        <v>44231</v>
      </c>
      <c r="D104" s="19" t="s">
        <v>18</v>
      </c>
      <c r="E104" s="19" t="s">
        <v>181</v>
      </c>
      <c r="F104" s="35">
        <v>1655</v>
      </c>
      <c r="G104" s="35">
        <v>1662.5</v>
      </c>
      <c r="H104" s="35">
        <v>7.5</v>
      </c>
      <c r="I104" s="20">
        <v>500</v>
      </c>
      <c r="J104" s="21">
        <f t="shared" si="11"/>
        <v>3750</v>
      </c>
      <c r="K104" s="7"/>
      <c r="V104" s="36">
        <f t="shared" si="12"/>
        <v>1</v>
      </c>
      <c r="W104" s="36">
        <f t="shared" si="13"/>
        <v>0</v>
      </c>
    </row>
    <row r="105" spans="1:23" s="36" customFormat="1" x14ac:dyDescent="0.3">
      <c r="A105" s="6"/>
      <c r="B105" s="17">
        <f t="shared" si="10"/>
        <v>9</v>
      </c>
      <c r="C105" s="18">
        <v>44232</v>
      </c>
      <c r="D105" s="19" t="s">
        <v>18</v>
      </c>
      <c r="E105" s="19" t="s">
        <v>86</v>
      </c>
      <c r="F105" s="35">
        <v>5510</v>
      </c>
      <c r="G105" s="35">
        <v>5570</v>
      </c>
      <c r="H105" s="35">
        <v>60</v>
      </c>
      <c r="I105" s="20">
        <v>250</v>
      </c>
      <c r="J105" s="21">
        <f t="shared" si="11"/>
        <v>15000</v>
      </c>
      <c r="K105" s="7"/>
      <c r="V105" s="36">
        <f t="shared" si="12"/>
        <v>1</v>
      </c>
      <c r="W105" s="36">
        <f t="shared" si="13"/>
        <v>0</v>
      </c>
    </row>
    <row r="106" spans="1:23" s="36" customFormat="1" x14ac:dyDescent="0.3">
      <c r="A106" s="6"/>
      <c r="B106" s="17">
        <f t="shared" si="10"/>
        <v>10</v>
      </c>
      <c r="C106" s="18">
        <v>44232</v>
      </c>
      <c r="D106" s="19" t="s">
        <v>18</v>
      </c>
      <c r="E106" s="19" t="s">
        <v>119</v>
      </c>
      <c r="F106" s="35">
        <v>683</v>
      </c>
      <c r="G106" s="35">
        <v>684.8</v>
      </c>
      <c r="H106" s="35">
        <v>1.8</v>
      </c>
      <c r="I106" s="20">
        <v>1700</v>
      </c>
      <c r="J106" s="21">
        <f t="shared" si="11"/>
        <v>3060</v>
      </c>
      <c r="K106" s="7"/>
      <c r="V106" s="36">
        <f t="shared" si="12"/>
        <v>1</v>
      </c>
      <c r="W106" s="36">
        <f t="shared" si="13"/>
        <v>0</v>
      </c>
    </row>
    <row r="107" spans="1:23" s="36" customFormat="1" x14ac:dyDescent="0.3">
      <c r="A107" s="6"/>
      <c r="B107" s="17">
        <f t="shared" si="10"/>
        <v>11</v>
      </c>
      <c r="C107" s="18">
        <v>44235</v>
      </c>
      <c r="D107" s="19" t="s">
        <v>18</v>
      </c>
      <c r="E107" s="19" t="s">
        <v>249</v>
      </c>
      <c r="F107" s="19">
        <v>6450</v>
      </c>
      <c r="G107" s="35">
        <v>6494</v>
      </c>
      <c r="H107" s="35">
        <v>44</v>
      </c>
      <c r="I107" s="20">
        <v>200</v>
      </c>
      <c r="J107" s="21">
        <f t="shared" si="11"/>
        <v>8800</v>
      </c>
      <c r="K107" s="7"/>
      <c r="V107" s="36">
        <f t="shared" si="12"/>
        <v>1</v>
      </c>
      <c r="W107" s="36">
        <f t="shared" si="13"/>
        <v>0</v>
      </c>
    </row>
    <row r="108" spans="1:23" s="36" customFormat="1" x14ac:dyDescent="0.3">
      <c r="A108" s="6"/>
      <c r="B108" s="17">
        <f t="shared" si="10"/>
        <v>12</v>
      </c>
      <c r="C108" s="18">
        <v>44235</v>
      </c>
      <c r="D108" s="19" t="s">
        <v>18</v>
      </c>
      <c r="E108" s="19" t="s">
        <v>86</v>
      </c>
      <c r="F108" s="35">
        <v>5600</v>
      </c>
      <c r="G108" s="35">
        <v>5630</v>
      </c>
      <c r="H108" s="35">
        <v>30</v>
      </c>
      <c r="I108" s="20">
        <v>250</v>
      </c>
      <c r="J108" s="21">
        <f t="shared" si="11"/>
        <v>7500</v>
      </c>
      <c r="K108" s="7"/>
      <c r="V108" s="36">
        <f t="shared" si="12"/>
        <v>1</v>
      </c>
      <c r="W108" s="36">
        <f t="shared" si="13"/>
        <v>0</v>
      </c>
    </row>
    <row r="109" spans="1:23" s="36" customFormat="1" x14ac:dyDescent="0.3">
      <c r="A109" s="6"/>
      <c r="B109" s="17">
        <f t="shared" si="10"/>
        <v>13</v>
      </c>
      <c r="C109" s="18">
        <v>44236</v>
      </c>
      <c r="D109" s="19" t="s">
        <v>18</v>
      </c>
      <c r="E109" s="19" t="s">
        <v>119</v>
      </c>
      <c r="F109" s="35">
        <v>710</v>
      </c>
      <c r="G109" s="35">
        <v>718</v>
      </c>
      <c r="H109" s="35">
        <v>8</v>
      </c>
      <c r="I109" s="20">
        <v>1700</v>
      </c>
      <c r="J109" s="21">
        <f t="shared" si="11"/>
        <v>13600</v>
      </c>
      <c r="K109" s="7"/>
      <c r="V109" s="36">
        <f t="shared" si="12"/>
        <v>1</v>
      </c>
      <c r="W109" s="36">
        <f t="shared" si="13"/>
        <v>0</v>
      </c>
    </row>
    <row r="110" spans="1:23" s="36" customFormat="1" x14ac:dyDescent="0.3">
      <c r="A110" s="6"/>
      <c r="B110" s="17">
        <f t="shared" si="10"/>
        <v>14</v>
      </c>
      <c r="C110" s="18">
        <v>44236</v>
      </c>
      <c r="D110" s="19" t="s">
        <v>18</v>
      </c>
      <c r="E110" s="19" t="s">
        <v>86</v>
      </c>
      <c r="F110" s="77">
        <v>5460</v>
      </c>
      <c r="G110" s="35">
        <v>5502</v>
      </c>
      <c r="H110" s="78">
        <v>42</v>
      </c>
      <c r="I110" s="20">
        <v>250</v>
      </c>
      <c r="J110" s="21">
        <f t="shared" si="11"/>
        <v>10500</v>
      </c>
      <c r="K110" s="7"/>
      <c r="V110" s="36">
        <f t="shared" si="12"/>
        <v>1</v>
      </c>
      <c r="W110" s="36">
        <f t="shared" si="13"/>
        <v>0</v>
      </c>
    </row>
    <row r="111" spans="1:23" s="36" customFormat="1" x14ac:dyDescent="0.3">
      <c r="A111" s="6"/>
      <c r="B111" s="17">
        <f t="shared" si="10"/>
        <v>15</v>
      </c>
      <c r="C111" s="18">
        <v>44237</v>
      </c>
      <c r="D111" s="19" t="s">
        <v>18</v>
      </c>
      <c r="E111" s="19" t="s">
        <v>254</v>
      </c>
      <c r="F111" s="35">
        <v>316</v>
      </c>
      <c r="G111" s="35">
        <v>313</v>
      </c>
      <c r="H111" s="78">
        <v>-3</v>
      </c>
      <c r="I111" s="20">
        <v>3300</v>
      </c>
      <c r="J111" s="21">
        <f t="shared" si="11"/>
        <v>-9900</v>
      </c>
      <c r="K111" s="7"/>
      <c r="V111" s="36">
        <f t="shared" si="12"/>
        <v>0</v>
      </c>
      <c r="W111" s="36">
        <f t="shared" si="13"/>
        <v>1</v>
      </c>
    </row>
    <row r="112" spans="1:23" s="36" customFormat="1" x14ac:dyDescent="0.3">
      <c r="A112" s="6"/>
      <c r="B112" s="17">
        <f t="shared" si="10"/>
        <v>16</v>
      </c>
      <c r="C112" s="18">
        <v>44237</v>
      </c>
      <c r="D112" s="19" t="s">
        <v>18</v>
      </c>
      <c r="E112" s="19" t="s">
        <v>181</v>
      </c>
      <c r="F112" s="35">
        <v>1642</v>
      </c>
      <c r="G112" s="35">
        <v>1622</v>
      </c>
      <c r="H112" s="78">
        <v>20</v>
      </c>
      <c r="I112" s="20">
        <v>500</v>
      </c>
      <c r="J112" s="21">
        <f t="shared" si="11"/>
        <v>10000</v>
      </c>
      <c r="K112" s="7"/>
      <c r="V112" s="36">
        <f t="shared" si="12"/>
        <v>1</v>
      </c>
      <c r="W112" s="36">
        <f t="shared" si="13"/>
        <v>0</v>
      </c>
    </row>
    <row r="113" spans="1:23" s="36" customFormat="1" x14ac:dyDescent="0.3">
      <c r="A113" s="6"/>
      <c r="B113" s="17">
        <f t="shared" si="10"/>
        <v>17</v>
      </c>
      <c r="C113" s="18">
        <v>44238</v>
      </c>
      <c r="D113" s="19" t="s">
        <v>18</v>
      </c>
      <c r="E113" s="19" t="s">
        <v>86</v>
      </c>
      <c r="F113" s="35">
        <v>5560</v>
      </c>
      <c r="G113" s="35">
        <v>5610</v>
      </c>
      <c r="H113" s="35">
        <v>50</v>
      </c>
      <c r="I113" s="20">
        <v>250</v>
      </c>
      <c r="J113" s="21">
        <f t="shared" si="11"/>
        <v>12500</v>
      </c>
      <c r="K113" s="7"/>
      <c r="V113" s="36">
        <f t="shared" si="12"/>
        <v>1</v>
      </c>
      <c r="W113" s="36">
        <f t="shared" si="13"/>
        <v>0</v>
      </c>
    </row>
    <row r="114" spans="1:23" s="36" customFormat="1" x14ac:dyDescent="0.3">
      <c r="A114" s="6"/>
      <c r="B114" s="17">
        <f t="shared" si="10"/>
        <v>18</v>
      </c>
      <c r="C114" s="18">
        <v>44238</v>
      </c>
      <c r="D114" s="19" t="s">
        <v>18</v>
      </c>
      <c r="E114" s="19" t="s">
        <v>124</v>
      </c>
      <c r="F114" s="35">
        <v>535</v>
      </c>
      <c r="G114" s="35">
        <v>536.6</v>
      </c>
      <c r="H114" s="35">
        <v>1.6</v>
      </c>
      <c r="I114" s="20">
        <v>1250</v>
      </c>
      <c r="J114" s="21">
        <f t="shared" si="11"/>
        <v>2000</v>
      </c>
      <c r="K114" s="7"/>
      <c r="V114" s="36">
        <f t="shared" si="12"/>
        <v>1</v>
      </c>
      <c r="W114" s="36">
        <f t="shared" si="13"/>
        <v>0</v>
      </c>
    </row>
    <row r="115" spans="1:23" s="36" customFormat="1" x14ac:dyDescent="0.3">
      <c r="A115" s="6"/>
      <c r="B115" s="17">
        <f t="shared" si="10"/>
        <v>19</v>
      </c>
      <c r="C115" s="18">
        <v>44239</v>
      </c>
      <c r="D115" s="19" t="s">
        <v>18</v>
      </c>
      <c r="E115" s="19" t="s">
        <v>70</v>
      </c>
      <c r="F115" s="35">
        <v>744</v>
      </c>
      <c r="G115" s="35">
        <v>752</v>
      </c>
      <c r="H115" s="35">
        <v>8</v>
      </c>
      <c r="I115" s="20">
        <v>1200</v>
      </c>
      <c r="J115" s="21">
        <f t="shared" si="11"/>
        <v>9600</v>
      </c>
      <c r="K115" s="7"/>
    </row>
    <row r="116" spans="1:23" s="36" customFormat="1" x14ac:dyDescent="0.3">
      <c r="A116" s="6"/>
      <c r="B116" s="17">
        <f t="shared" si="10"/>
        <v>20</v>
      </c>
      <c r="C116" s="18">
        <v>44239</v>
      </c>
      <c r="D116" s="19" t="s">
        <v>69</v>
      </c>
      <c r="E116" s="19" t="s">
        <v>181</v>
      </c>
      <c r="F116" s="35">
        <v>1660</v>
      </c>
      <c r="G116" s="35">
        <v>1630</v>
      </c>
      <c r="H116" s="35">
        <v>30</v>
      </c>
      <c r="I116" s="20">
        <v>500</v>
      </c>
      <c r="J116" s="21">
        <f t="shared" si="11"/>
        <v>15000</v>
      </c>
      <c r="K116" s="7"/>
    </row>
    <row r="117" spans="1:23" s="36" customFormat="1" x14ac:dyDescent="0.3">
      <c r="A117" s="6"/>
      <c r="B117" s="17">
        <f t="shared" si="10"/>
        <v>21</v>
      </c>
      <c r="C117" s="18">
        <v>44242</v>
      </c>
      <c r="D117" s="19" t="s">
        <v>18</v>
      </c>
      <c r="E117" s="19" t="s">
        <v>181</v>
      </c>
      <c r="F117" s="35">
        <v>1650</v>
      </c>
      <c r="G117" s="35">
        <v>1663</v>
      </c>
      <c r="H117" s="35">
        <v>13</v>
      </c>
      <c r="I117" s="20">
        <v>500</v>
      </c>
      <c r="J117" s="21">
        <f t="shared" si="11"/>
        <v>6500</v>
      </c>
      <c r="K117" s="7"/>
    </row>
    <row r="118" spans="1:23" s="36" customFormat="1" x14ac:dyDescent="0.3">
      <c r="A118" s="6"/>
      <c r="B118" s="17">
        <f t="shared" si="10"/>
        <v>22</v>
      </c>
      <c r="C118" s="18">
        <v>44242</v>
      </c>
      <c r="D118" s="19" t="s">
        <v>18</v>
      </c>
      <c r="E118" s="19" t="s">
        <v>86</v>
      </c>
      <c r="F118" s="35">
        <v>5710</v>
      </c>
      <c r="G118" s="35">
        <v>5770</v>
      </c>
      <c r="H118" s="35">
        <v>60</v>
      </c>
      <c r="I118" s="20">
        <v>250</v>
      </c>
      <c r="J118" s="21">
        <f t="shared" si="11"/>
        <v>15000</v>
      </c>
      <c r="K118" s="7"/>
    </row>
    <row r="119" spans="1:23" s="36" customFormat="1" x14ac:dyDescent="0.3">
      <c r="A119" s="6"/>
      <c r="B119" s="17">
        <f t="shared" si="10"/>
        <v>23</v>
      </c>
      <c r="C119" s="18">
        <v>44243</v>
      </c>
      <c r="D119" s="19" t="s">
        <v>18</v>
      </c>
      <c r="E119" s="19" t="s">
        <v>70</v>
      </c>
      <c r="F119" s="35">
        <v>789</v>
      </c>
      <c r="G119" s="35">
        <v>783</v>
      </c>
      <c r="H119" s="35">
        <v>-6</v>
      </c>
      <c r="I119" s="20">
        <v>1200</v>
      </c>
      <c r="J119" s="21">
        <f t="shared" si="11"/>
        <v>-7200</v>
      </c>
      <c r="K119" s="7"/>
    </row>
    <row r="120" spans="1:23" s="36" customFormat="1" x14ac:dyDescent="0.3">
      <c r="A120" s="6"/>
      <c r="B120" s="17">
        <f t="shared" si="10"/>
        <v>24</v>
      </c>
      <c r="C120" s="18">
        <v>44243</v>
      </c>
      <c r="D120" s="19" t="s">
        <v>69</v>
      </c>
      <c r="E120" s="19" t="s">
        <v>75</v>
      </c>
      <c r="F120" s="35">
        <v>653</v>
      </c>
      <c r="G120" s="35">
        <v>660</v>
      </c>
      <c r="H120" s="35">
        <v>-6</v>
      </c>
      <c r="I120" s="20">
        <v>1375</v>
      </c>
      <c r="J120" s="21">
        <f t="shared" si="11"/>
        <v>-8250</v>
      </c>
      <c r="K120" s="7"/>
    </row>
    <row r="121" spans="1:23" s="36" customFormat="1" x14ac:dyDescent="0.3">
      <c r="A121" s="6"/>
      <c r="B121" s="17">
        <f t="shared" si="10"/>
        <v>25</v>
      </c>
      <c r="C121" s="18">
        <v>44244</v>
      </c>
      <c r="D121" s="19" t="s">
        <v>18</v>
      </c>
      <c r="E121" s="19" t="s">
        <v>75</v>
      </c>
      <c r="F121" s="35">
        <v>656</v>
      </c>
      <c r="G121" s="35">
        <v>666</v>
      </c>
      <c r="H121" s="35">
        <v>10</v>
      </c>
      <c r="I121" s="20">
        <v>1375</v>
      </c>
      <c r="J121" s="21">
        <f t="shared" si="11"/>
        <v>13750</v>
      </c>
      <c r="K121" s="7"/>
    </row>
    <row r="122" spans="1:23" s="36" customFormat="1" x14ac:dyDescent="0.3">
      <c r="A122" s="6"/>
      <c r="B122" s="17">
        <f t="shared" si="10"/>
        <v>26</v>
      </c>
      <c r="C122" s="18">
        <v>44244</v>
      </c>
      <c r="D122" s="19" t="s">
        <v>69</v>
      </c>
      <c r="E122" s="19" t="s">
        <v>86</v>
      </c>
      <c r="F122" s="35">
        <v>5730</v>
      </c>
      <c r="G122" s="35">
        <v>5720</v>
      </c>
      <c r="H122" s="35">
        <v>10</v>
      </c>
      <c r="I122" s="20">
        <v>250</v>
      </c>
      <c r="J122" s="21">
        <f t="shared" si="11"/>
        <v>2500</v>
      </c>
      <c r="K122" s="7"/>
    </row>
    <row r="123" spans="1:23" s="36" customFormat="1" x14ac:dyDescent="0.3">
      <c r="A123" s="6"/>
      <c r="B123" s="17">
        <f t="shared" si="10"/>
        <v>27</v>
      </c>
      <c r="C123" s="18">
        <v>44245</v>
      </c>
      <c r="D123" s="19" t="s">
        <v>18</v>
      </c>
      <c r="E123" s="19" t="s">
        <v>128</v>
      </c>
      <c r="F123" s="35">
        <v>3605</v>
      </c>
      <c r="G123" s="35">
        <v>3575</v>
      </c>
      <c r="H123" s="35">
        <v>-30</v>
      </c>
      <c r="I123" s="20">
        <v>300</v>
      </c>
      <c r="J123" s="21">
        <f t="shared" si="11"/>
        <v>-9000</v>
      </c>
      <c r="K123" s="7"/>
    </row>
    <row r="124" spans="1:23" s="36" customFormat="1" x14ac:dyDescent="0.3">
      <c r="A124" s="6"/>
      <c r="B124" s="17">
        <f t="shared" si="10"/>
        <v>28</v>
      </c>
      <c r="C124" s="18">
        <v>44245</v>
      </c>
      <c r="D124" s="19" t="s">
        <v>18</v>
      </c>
      <c r="E124" s="19" t="s">
        <v>111</v>
      </c>
      <c r="F124" s="35">
        <v>421.5</v>
      </c>
      <c r="G124" s="35">
        <v>417.5</v>
      </c>
      <c r="H124" s="35">
        <v>-4</v>
      </c>
      <c r="I124" s="20">
        <v>3000</v>
      </c>
      <c r="J124" s="21">
        <f t="shared" si="11"/>
        <v>-12000</v>
      </c>
      <c r="K124" s="7"/>
    </row>
    <row r="125" spans="1:23" s="36" customFormat="1" x14ac:dyDescent="0.3">
      <c r="A125" s="6"/>
      <c r="B125" s="17">
        <f t="shared" si="10"/>
        <v>29</v>
      </c>
      <c r="C125" s="18">
        <v>44246</v>
      </c>
      <c r="D125" s="19" t="s">
        <v>18</v>
      </c>
      <c r="E125" s="19" t="s">
        <v>70</v>
      </c>
      <c r="F125" s="35">
        <v>774</v>
      </c>
      <c r="G125" s="35">
        <v>778</v>
      </c>
      <c r="H125" s="35">
        <v>4</v>
      </c>
      <c r="I125" s="20">
        <v>1200</v>
      </c>
      <c r="J125" s="21">
        <f t="shared" si="11"/>
        <v>4800</v>
      </c>
      <c r="K125" s="7"/>
      <c r="V125" s="36">
        <f t="shared" si="12"/>
        <v>1</v>
      </c>
      <c r="W125" s="36">
        <f t="shared" si="13"/>
        <v>0</v>
      </c>
    </row>
    <row r="126" spans="1:23" s="36" customFormat="1" x14ac:dyDescent="0.3">
      <c r="A126" s="6"/>
      <c r="B126" s="17">
        <f t="shared" si="10"/>
        <v>30</v>
      </c>
      <c r="C126" s="18">
        <v>44246</v>
      </c>
      <c r="D126" s="19" t="s">
        <v>18</v>
      </c>
      <c r="E126" s="19" t="s">
        <v>272</v>
      </c>
      <c r="F126" s="35">
        <v>494</v>
      </c>
      <c r="G126" s="35">
        <v>497</v>
      </c>
      <c r="H126" s="35">
        <v>3</v>
      </c>
      <c r="I126" s="20">
        <v>1500</v>
      </c>
      <c r="J126" s="21">
        <f t="shared" si="11"/>
        <v>4500</v>
      </c>
      <c r="K126" s="7"/>
      <c r="V126" s="36">
        <f t="shared" si="12"/>
        <v>1</v>
      </c>
      <c r="W126" s="36">
        <f t="shared" si="13"/>
        <v>0</v>
      </c>
    </row>
    <row r="127" spans="1:23" s="36" customFormat="1" x14ac:dyDescent="0.3">
      <c r="A127" s="6"/>
      <c r="B127" s="17">
        <f>B126+1</f>
        <v>31</v>
      </c>
      <c r="C127" s="18">
        <v>44249</v>
      </c>
      <c r="D127" s="19" t="s">
        <v>18</v>
      </c>
      <c r="E127" s="19" t="s">
        <v>181</v>
      </c>
      <c r="F127" s="35">
        <v>1555</v>
      </c>
      <c r="G127" s="35">
        <v>1540</v>
      </c>
      <c r="H127" s="35">
        <v>-15</v>
      </c>
      <c r="I127" s="20">
        <v>500</v>
      </c>
      <c r="J127" s="21">
        <f t="shared" si="11"/>
        <v>-7500</v>
      </c>
      <c r="K127" s="7"/>
      <c r="V127" s="36">
        <f t="shared" si="12"/>
        <v>0</v>
      </c>
      <c r="W127" s="36">
        <f t="shared" si="13"/>
        <v>1</v>
      </c>
    </row>
    <row r="128" spans="1:23" s="36" customFormat="1" x14ac:dyDescent="0.3">
      <c r="A128" s="6"/>
      <c r="B128" s="17">
        <f t="shared" si="10"/>
        <v>32</v>
      </c>
      <c r="C128" s="18">
        <v>44249</v>
      </c>
      <c r="D128" s="19" t="s">
        <v>69</v>
      </c>
      <c r="E128" s="19" t="s">
        <v>70</v>
      </c>
      <c r="F128" s="35">
        <v>725</v>
      </c>
      <c r="G128" s="35">
        <v>718</v>
      </c>
      <c r="H128" s="35">
        <v>7</v>
      </c>
      <c r="I128" s="20">
        <v>1200</v>
      </c>
      <c r="J128" s="21">
        <f t="shared" si="11"/>
        <v>8400</v>
      </c>
      <c r="K128" s="7"/>
      <c r="V128" s="36">
        <f t="shared" si="12"/>
        <v>1</v>
      </c>
      <c r="W128" s="36">
        <f t="shared" si="13"/>
        <v>0</v>
      </c>
    </row>
    <row r="129" spans="1:23" s="36" customFormat="1" x14ac:dyDescent="0.3">
      <c r="A129" s="6"/>
      <c r="B129" s="17">
        <f t="shared" si="10"/>
        <v>33</v>
      </c>
      <c r="C129" s="18">
        <v>44250</v>
      </c>
      <c r="D129" s="19" t="s">
        <v>18</v>
      </c>
      <c r="E129" s="19" t="s">
        <v>86</v>
      </c>
      <c r="F129" s="35">
        <v>5480</v>
      </c>
      <c r="G129" s="35">
        <v>5450</v>
      </c>
      <c r="H129" s="35">
        <v>-30</v>
      </c>
      <c r="I129" s="20">
        <v>250</v>
      </c>
      <c r="J129" s="21">
        <f t="shared" si="11"/>
        <v>-7500</v>
      </c>
      <c r="K129" s="7"/>
      <c r="V129" s="36">
        <f t="shared" si="12"/>
        <v>0</v>
      </c>
      <c r="W129" s="36">
        <f t="shared" si="13"/>
        <v>1</v>
      </c>
    </row>
    <row r="130" spans="1:23" s="36" customFormat="1" x14ac:dyDescent="0.3">
      <c r="A130" s="6"/>
      <c r="B130" s="17">
        <f t="shared" si="10"/>
        <v>34</v>
      </c>
      <c r="C130" s="18">
        <v>44250</v>
      </c>
      <c r="D130" s="19" t="s">
        <v>18</v>
      </c>
      <c r="E130" s="19" t="s">
        <v>89</v>
      </c>
      <c r="F130" s="35">
        <v>1905</v>
      </c>
      <c r="G130" s="35">
        <v>1925</v>
      </c>
      <c r="H130" s="35">
        <v>20</v>
      </c>
      <c r="I130" s="20">
        <v>550</v>
      </c>
      <c r="J130" s="21">
        <f t="shared" si="11"/>
        <v>11000</v>
      </c>
      <c r="K130" s="7"/>
      <c r="V130" s="36">
        <f t="shared" si="12"/>
        <v>1</v>
      </c>
      <c r="W130" s="36">
        <f t="shared" si="13"/>
        <v>0</v>
      </c>
    </row>
    <row r="131" spans="1:23" s="36" customFormat="1" x14ac:dyDescent="0.3">
      <c r="A131" s="6"/>
      <c r="B131" s="17">
        <f t="shared" si="10"/>
        <v>35</v>
      </c>
      <c r="C131" s="18">
        <v>44251</v>
      </c>
      <c r="D131" s="19" t="s">
        <v>18</v>
      </c>
      <c r="E131" s="19" t="s">
        <v>75</v>
      </c>
      <c r="F131" s="35">
        <v>623</v>
      </c>
      <c r="G131" s="35">
        <v>626.29999999999995</v>
      </c>
      <c r="H131" s="35">
        <v>3.3</v>
      </c>
      <c r="I131" s="20">
        <v>1375</v>
      </c>
      <c r="J131" s="21">
        <f t="shared" si="11"/>
        <v>4537.5</v>
      </c>
      <c r="K131" s="7"/>
      <c r="V131" s="36">
        <f t="shared" si="12"/>
        <v>1</v>
      </c>
      <c r="W131" s="36">
        <f t="shared" si="13"/>
        <v>0</v>
      </c>
    </row>
    <row r="132" spans="1:23" s="36" customFormat="1" x14ac:dyDescent="0.3">
      <c r="A132" s="6"/>
      <c r="B132" s="17">
        <f t="shared" si="10"/>
        <v>36</v>
      </c>
      <c r="C132" s="18">
        <v>44251</v>
      </c>
      <c r="D132" s="19" t="s">
        <v>18</v>
      </c>
      <c r="E132" s="19" t="s">
        <v>71</v>
      </c>
      <c r="F132" s="35">
        <v>2047</v>
      </c>
      <c r="G132" s="35">
        <v>2062</v>
      </c>
      <c r="H132" s="35">
        <v>15</v>
      </c>
      <c r="I132" s="20">
        <v>250</v>
      </c>
      <c r="J132" s="21">
        <f t="shared" si="11"/>
        <v>3750</v>
      </c>
      <c r="K132" s="7"/>
      <c r="V132" s="36">
        <f t="shared" si="12"/>
        <v>1</v>
      </c>
      <c r="W132" s="36">
        <f t="shared" si="13"/>
        <v>0</v>
      </c>
    </row>
    <row r="133" spans="1:23" s="36" customFormat="1" x14ac:dyDescent="0.3">
      <c r="A133" s="6"/>
      <c r="B133" s="17">
        <f t="shared" si="10"/>
        <v>37</v>
      </c>
      <c r="C133" s="18">
        <v>44252</v>
      </c>
      <c r="D133" s="19" t="s">
        <v>18</v>
      </c>
      <c r="E133" s="19" t="s">
        <v>279</v>
      </c>
      <c r="F133" s="35">
        <v>715</v>
      </c>
      <c r="G133" s="35">
        <v>730</v>
      </c>
      <c r="H133" s="35">
        <v>15</v>
      </c>
      <c r="I133" s="20">
        <v>2000</v>
      </c>
      <c r="J133" s="21">
        <f t="shared" si="11"/>
        <v>30000</v>
      </c>
      <c r="K133" s="7"/>
      <c r="V133" s="36">
        <f t="shared" si="12"/>
        <v>1</v>
      </c>
      <c r="W133" s="36">
        <f t="shared" si="13"/>
        <v>0</v>
      </c>
    </row>
    <row r="134" spans="1:23" s="36" customFormat="1" x14ac:dyDescent="0.3">
      <c r="A134" s="6"/>
      <c r="B134" s="17">
        <f t="shared" si="10"/>
        <v>38</v>
      </c>
      <c r="C134" s="18">
        <v>44252</v>
      </c>
      <c r="D134" s="19" t="s">
        <v>18</v>
      </c>
      <c r="E134" s="19" t="s">
        <v>181</v>
      </c>
      <c r="F134" s="35">
        <v>1640</v>
      </c>
      <c r="G134" s="35">
        <v>1670</v>
      </c>
      <c r="H134" s="35">
        <v>30</v>
      </c>
      <c r="I134" s="20">
        <v>500</v>
      </c>
      <c r="J134" s="21">
        <f t="shared" si="11"/>
        <v>15000</v>
      </c>
      <c r="K134" s="7"/>
      <c r="V134" s="36">
        <f t="shared" si="12"/>
        <v>1</v>
      </c>
      <c r="W134" s="36">
        <f t="shared" si="13"/>
        <v>0</v>
      </c>
    </row>
    <row r="135" spans="1:23" s="36" customFormat="1" x14ac:dyDescent="0.3">
      <c r="A135" s="6"/>
      <c r="B135" s="17">
        <f t="shared" si="10"/>
        <v>39</v>
      </c>
      <c r="C135" s="18">
        <v>44253</v>
      </c>
      <c r="D135" s="19" t="s">
        <v>18</v>
      </c>
      <c r="E135" s="19" t="s">
        <v>181</v>
      </c>
      <c r="F135" s="35">
        <v>1645</v>
      </c>
      <c r="G135" s="35">
        <v>1649.7</v>
      </c>
      <c r="H135" s="35">
        <v>4.7</v>
      </c>
      <c r="I135" s="20">
        <v>500</v>
      </c>
      <c r="J135" s="21">
        <f t="shared" si="11"/>
        <v>2350</v>
      </c>
      <c r="K135" s="7"/>
    </row>
    <row r="136" spans="1:23" s="36" customFormat="1" x14ac:dyDescent="0.3">
      <c r="A136" s="6"/>
      <c r="B136" s="17">
        <f t="shared" si="10"/>
        <v>40</v>
      </c>
      <c r="C136" s="18">
        <v>44253</v>
      </c>
      <c r="D136" s="19" t="s">
        <v>69</v>
      </c>
      <c r="E136" s="19" t="s">
        <v>70</v>
      </c>
      <c r="F136" s="35">
        <v>743</v>
      </c>
      <c r="G136" s="35">
        <v>730</v>
      </c>
      <c r="H136" s="35">
        <v>13</v>
      </c>
      <c r="I136" s="20">
        <v>1200</v>
      </c>
      <c r="J136" s="21">
        <f t="shared" si="11"/>
        <v>15600</v>
      </c>
      <c r="K136" s="7"/>
    </row>
    <row r="137" spans="1:23" s="36" customFormat="1" x14ac:dyDescent="0.3">
      <c r="A137" s="6"/>
      <c r="B137" s="17">
        <f t="shared" si="10"/>
        <v>41</v>
      </c>
      <c r="C137" s="18"/>
      <c r="D137" s="19"/>
      <c r="E137" s="19"/>
      <c r="F137" s="35"/>
      <c r="G137" s="35"/>
      <c r="H137" s="35"/>
      <c r="I137" s="20"/>
      <c r="J137" s="21">
        <f t="shared" si="11"/>
        <v>0</v>
      </c>
      <c r="K137" s="7"/>
    </row>
    <row r="138" spans="1:23" s="36" customFormat="1" x14ac:dyDescent="0.3">
      <c r="A138" s="6"/>
      <c r="B138" s="17">
        <f t="shared" si="10"/>
        <v>42</v>
      </c>
      <c r="C138" s="18"/>
      <c r="D138" s="19"/>
      <c r="E138" s="19"/>
      <c r="F138" s="35"/>
      <c r="G138" s="35"/>
      <c r="H138" s="35"/>
      <c r="I138" s="20"/>
      <c r="J138" s="21">
        <f t="shared" si="11"/>
        <v>0</v>
      </c>
      <c r="K138" s="7"/>
    </row>
    <row r="139" spans="1:23" s="36" customFormat="1" x14ac:dyDescent="0.3">
      <c r="A139" s="6"/>
      <c r="B139" s="17">
        <f t="shared" si="10"/>
        <v>43</v>
      </c>
      <c r="C139" s="18"/>
      <c r="D139" s="19"/>
      <c r="E139" s="19"/>
      <c r="F139" s="35"/>
      <c r="G139" s="35"/>
      <c r="H139" s="35"/>
      <c r="I139" s="20"/>
      <c r="J139" s="21">
        <f t="shared" si="11"/>
        <v>0</v>
      </c>
      <c r="K139" s="7"/>
    </row>
    <row r="140" spans="1:23" s="36" customFormat="1" x14ac:dyDescent="0.3">
      <c r="A140" s="6"/>
      <c r="B140" s="17">
        <f t="shared" si="10"/>
        <v>44</v>
      </c>
      <c r="C140" s="18"/>
      <c r="D140" s="19"/>
      <c r="E140" s="19"/>
      <c r="F140" s="35"/>
      <c r="G140" s="35"/>
      <c r="H140" s="35"/>
      <c r="I140" s="20"/>
      <c r="J140" s="21">
        <f t="shared" si="11"/>
        <v>0</v>
      </c>
      <c r="K140" s="7"/>
    </row>
    <row r="141" spans="1:23" s="36" customFormat="1" x14ac:dyDescent="0.3">
      <c r="A141" s="6"/>
      <c r="B141" s="17">
        <f t="shared" si="10"/>
        <v>45</v>
      </c>
      <c r="C141" s="18"/>
      <c r="D141" s="19"/>
      <c r="E141" s="19"/>
      <c r="F141" s="35"/>
      <c r="G141" s="35"/>
      <c r="H141" s="35"/>
      <c r="I141" s="20"/>
      <c r="J141" s="21">
        <f t="shared" si="11"/>
        <v>0</v>
      </c>
      <c r="K141" s="7"/>
    </row>
    <row r="142" spans="1:23" s="36" customFormat="1" x14ac:dyDescent="0.3">
      <c r="A142" s="6"/>
      <c r="B142" s="17">
        <f t="shared" si="10"/>
        <v>46</v>
      </c>
      <c r="C142" s="18"/>
      <c r="D142" s="19"/>
      <c r="E142" s="19"/>
      <c r="F142" s="35"/>
      <c r="G142" s="35"/>
      <c r="H142" s="35"/>
      <c r="I142" s="20"/>
      <c r="J142" s="21">
        <f t="shared" si="11"/>
        <v>0</v>
      </c>
      <c r="K142" s="7"/>
    </row>
    <row r="143" spans="1:23" s="36" customFormat="1" x14ac:dyDescent="0.3">
      <c r="A143" s="6"/>
      <c r="B143" s="17">
        <f t="shared" si="10"/>
        <v>47</v>
      </c>
      <c r="C143" s="18"/>
      <c r="D143" s="19"/>
      <c r="E143" s="19"/>
      <c r="F143" s="35"/>
      <c r="G143" s="35"/>
      <c r="H143" s="35"/>
      <c r="I143" s="20"/>
      <c r="J143" s="21">
        <f t="shared" si="11"/>
        <v>0</v>
      </c>
      <c r="K143" s="7"/>
      <c r="V143" s="36">
        <f t="shared" si="12"/>
        <v>0</v>
      </c>
      <c r="W143" s="36">
        <f t="shared" si="13"/>
        <v>0</v>
      </c>
    </row>
    <row r="144" spans="1:23" s="36" customFormat="1" x14ac:dyDescent="0.3">
      <c r="A144" s="6"/>
      <c r="B144" s="17">
        <f t="shared" si="10"/>
        <v>48</v>
      </c>
      <c r="C144" s="18"/>
      <c r="D144" s="19"/>
      <c r="E144" s="19"/>
      <c r="F144" s="35"/>
      <c r="G144" s="35"/>
      <c r="H144" s="35"/>
      <c r="I144" s="20"/>
      <c r="J144" s="21">
        <f t="shared" si="11"/>
        <v>0</v>
      </c>
      <c r="K144" s="7"/>
    </row>
    <row r="145" spans="1:23" s="36" customFormat="1" x14ac:dyDescent="0.3">
      <c r="A145" s="6"/>
      <c r="B145" s="17">
        <f t="shared" si="10"/>
        <v>49</v>
      </c>
      <c r="C145" s="18"/>
      <c r="D145" s="19"/>
      <c r="E145" s="19"/>
      <c r="F145" s="35"/>
      <c r="G145" s="35"/>
      <c r="H145" s="35"/>
      <c r="I145" s="20"/>
      <c r="J145" s="21">
        <f t="shared" si="11"/>
        <v>0</v>
      </c>
      <c r="K145" s="7"/>
    </row>
    <row r="146" spans="1:23" s="36" customFormat="1" x14ac:dyDescent="0.3">
      <c r="A146" s="6"/>
      <c r="B146" s="17">
        <f t="shared" si="10"/>
        <v>50</v>
      </c>
      <c r="C146" s="18"/>
      <c r="D146" s="19"/>
      <c r="E146" s="19"/>
      <c r="F146" s="35"/>
      <c r="G146" s="35"/>
      <c r="H146" s="35"/>
      <c r="I146" s="20"/>
      <c r="J146" s="21">
        <f t="shared" si="11"/>
        <v>0</v>
      </c>
      <c r="K146" s="7"/>
    </row>
    <row r="147" spans="1:23" s="36" customFormat="1" x14ac:dyDescent="0.3">
      <c r="A147" s="6"/>
      <c r="B147" s="17">
        <f t="shared" si="10"/>
        <v>51</v>
      </c>
      <c r="C147" s="18"/>
      <c r="D147" s="19"/>
      <c r="E147" s="19"/>
      <c r="F147" s="35"/>
      <c r="G147" s="35"/>
      <c r="H147" s="35"/>
      <c r="I147" s="20"/>
      <c r="J147" s="21">
        <f t="shared" si="11"/>
        <v>0</v>
      </c>
      <c r="K147" s="7"/>
    </row>
    <row r="148" spans="1:23" s="36" customFormat="1" x14ac:dyDescent="0.3">
      <c r="A148" s="6"/>
      <c r="B148" s="17">
        <f t="shared" si="10"/>
        <v>52</v>
      </c>
      <c r="C148" s="18"/>
      <c r="D148" s="19"/>
      <c r="E148" s="19"/>
      <c r="F148" s="35"/>
      <c r="G148" s="35"/>
      <c r="H148" s="35"/>
      <c r="I148" s="20"/>
      <c r="J148" s="21">
        <f t="shared" si="11"/>
        <v>0</v>
      </c>
      <c r="K148" s="7"/>
    </row>
    <row r="149" spans="1:23" s="36" customFormat="1" ht="15" thickBot="1" x14ac:dyDescent="0.35">
      <c r="A149" s="6"/>
      <c r="B149" s="17">
        <f t="shared" si="10"/>
        <v>53</v>
      </c>
      <c r="C149" s="79"/>
      <c r="D149" s="80"/>
      <c r="E149" s="80"/>
      <c r="F149" s="81"/>
      <c r="G149" s="81"/>
      <c r="H149" s="80"/>
      <c r="I149" s="81"/>
      <c r="J149" s="82">
        <f t="shared" si="11"/>
        <v>0</v>
      </c>
      <c r="K149" s="7"/>
      <c r="V149" s="36">
        <f t="shared" si="12"/>
        <v>0</v>
      </c>
      <c r="W149" s="36">
        <f t="shared" si="13"/>
        <v>0</v>
      </c>
    </row>
    <row r="150" spans="1:23" s="36" customFormat="1" ht="24" thickBot="1" x14ac:dyDescent="0.5">
      <c r="A150" s="6"/>
      <c r="B150" s="165" t="s">
        <v>22</v>
      </c>
      <c r="C150" s="166"/>
      <c r="D150" s="166"/>
      <c r="E150" s="166"/>
      <c r="F150" s="166"/>
      <c r="G150" s="166"/>
      <c r="H150" s="167"/>
      <c r="I150" s="83" t="s">
        <v>23</v>
      </c>
      <c r="J150" s="84">
        <f>SUM(J97:J149)</f>
        <v>230272.5</v>
      </c>
      <c r="K150" s="7"/>
      <c r="L150" s="5"/>
      <c r="M150" s="5"/>
      <c r="N150" s="5"/>
      <c r="O150" s="5"/>
      <c r="P150" s="5"/>
      <c r="Q150" s="5"/>
      <c r="R150" s="5"/>
      <c r="V150" s="36" t="e">
        <f>SUM(V97:V149)</f>
        <v>#REF!</v>
      </c>
      <c r="W150" s="36" t="e">
        <f>SUM(W97:W149)</f>
        <v>#REF!</v>
      </c>
    </row>
    <row r="151" spans="1:23" s="36" customFormat="1" ht="30" customHeight="1" thickBot="1" x14ac:dyDescent="0.35">
      <c r="A151" s="30"/>
      <c r="B151" s="31"/>
      <c r="C151" s="31"/>
      <c r="D151" s="31"/>
      <c r="E151" s="31"/>
      <c r="F151" s="31"/>
      <c r="G151" s="31"/>
      <c r="H151" s="32"/>
      <c r="I151" s="31"/>
      <c r="J151" s="32"/>
      <c r="K151" s="33"/>
      <c r="L151" s="5"/>
      <c r="M151" s="5"/>
      <c r="N151" s="5"/>
      <c r="O151" s="5"/>
      <c r="P151" s="5"/>
      <c r="Q151" s="5"/>
      <c r="R151" s="5"/>
    </row>
    <row r="152" spans="1:23" ht="15" thickBot="1" x14ac:dyDescent="0.35"/>
    <row r="153" spans="1:23" s="36" customFormat="1" ht="30" customHeight="1" thickBot="1" x14ac:dyDescent="0.35">
      <c r="A153" s="1"/>
      <c r="B153" s="2"/>
      <c r="C153" s="2"/>
      <c r="D153" s="2"/>
      <c r="E153" s="2"/>
      <c r="F153" s="2"/>
      <c r="G153" s="2"/>
      <c r="H153" s="3"/>
      <c r="I153" s="2"/>
      <c r="J153" s="3"/>
      <c r="K153" s="4"/>
    </row>
    <row r="154" spans="1:23" s="36" customFormat="1" ht="25.2" thickBot="1" x14ac:dyDescent="0.35">
      <c r="A154" s="6" t="s">
        <v>1</v>
      </c>
      <c r="B154" s="119" t="s">
        <v>2</v>
      </c>
      <c r="C154" s="120"/>
      <c r="D154" s="120"/>
      <c r="E154" s="120"/>
      <c r="F154" s="120"/>
      <c r="G154" s="120"/>
      <c r="H154" s="120"/>
      <c r="I154" s="120"/>
      <c r="J154" s="121"/>
      <c r="K154" s="7"/>
    </row>
    <row r="155" spans="1:23" s="36" customFormat="1" ht="16.2" thickBot="1" x14ac:dyDescent="0.35">
      <c r="A155" s="6"/>
      <c r="B155" s="168" t="s">
        <v>235</v>
      </c>
      <c r="C155" s="169"/>
      <c r="D155" s="169"/>
      <c r="E155" s="169"/>
      <c r="F155" s="169"/>
      <c r="G155" s="169"/>
      <c r="H155" s="169"/>
      <c r="I155" s="169"/>
      <c r="J155" s="170"/>
      <c r="K155" s="7"/>
      <c r="L155" s="22"/>
    </row>
    <row r="156" spans="1:23" s="36" customFormat="1" ht="16.2" thickBot="1" x14ac:dyDescent="0.35">
      <c r="A156" s="6"/>
      <c r="B156" s="106" t="s">
        <v>215</v>
      </c>
      <c r="C156" s="107"/>
      <c r="D156" s="107"/>
      <c r="E156" s="107"/>
      <c r="F156" s="107"/>
      <c r="G156" s="107"/>
      <c r="H156" s="107"/>
      <c r="I156" s="107"/>
      <c r="J156" s="108"/>
      <c r="K156" s="7"/>
    </row>
    <row r="157" spans="1:23" s="22" customFormat="1" ht="15" thickBot="1" x14ac:dyDescent="0.35">
      <c r="A157" s="69"/>
      <c r="B157" s="70" t="s">
        <v>9</v>
      </c>
      <c r="C157" s="71" t="s">
        <v>10</v>
      </c>
      <c r="D157" s="72" t="s">
        <v>11</v>
      </c>
      <c r="E157" s="72" t="s">
        <v>12</v>
      </c>
      <c r="F157" s="73" t="s">
        <v>65</v>
      </c>
      <c r="G157" s="73" t="s">
        <v>66</v>
      </c>
      <c r="H157" s="74" t="s">
        <v>67</v>
      </c>
      <c r="I157" s="73" t="s">
        <v>68</v>
      </c>
      <c r="J157" s="75" t="s">
        <v>17</v>
      </c>
      <c r="K157" s="76"/>
      <c r="L157" s="36"/>
      <c r="M157" s="36"/>
      <c r="N157" s="36"/>
      <c r="O157" s="36" t="s">
        <v>21</v>
      </c>
      <c r="P157" s="36"/>
      <c r="Q157" s="36"/>
      <c r="R157" s="36"/>
      <c r="V157" s="5" t="s">
        <v>5</v>
      </c>
      <c r="W157" s="5" t="s">
        <v>6</v>
      </c>
    </row>
    <row r="158" spans="1:23" s="36" customFormat="1" x14ac:dyDescent="0.3">
      <c r="A158" s="6"/>
      <c r="B158" s="14">
        <v>1</v>
      </c>
      <c r="C158" s="18">
        <v>44228</v>
      </c>
      <c r="D158" s="19" t="s">
        <v>18</v>
      </c>
      <c r="E158" s="19" t="s">
        <v>222</v>
      </c>
      <c r="F158" s="35">
        <v>115</v>
      </c>
      <c r="G158" s="35">
        <v>155</v>
      </c>
      <c r="H158" s="35">
        <v>40</v>
      </c>
      <c r="I158" s="20">
        <v>300</v>
      </c>
      <c r="J158" s="16">
        <f t="shared" ref="J158:J198" si="14">I158*H158</f>
        <v>12000</v>
      </c>
      <c r="K158" s="7"/>
      <c r="V158" s="36">
        <f>IF($J158&gt;0,1,0)</f>
        <v>1</v>
      </c>
      <c r="W158" s="36">
        <f>IF($J158&lt;0,1,0)</f>
        <v>0</v>
      </c>
    </row>
    <row r="159" spans="1:23" s="36" customFormat="1" x14ac:dyDescent="0.3">
      <c r="A159" s="6"/>
      <c r="B159" s="17">
        <f>B158+1</f>
        <v>2</v>
      </c>
      <c r="C159" s="18">
        <v>44229</v>
      </c>
      <c r="D159" s="19" t="s">
        <v>18</v>
      </c>
      <c r="E159" s="19" t="s">
        <v>206</v>
      </c>
      <c r="F159" s="35">
        <v>85</v>
      </c>
      <c r="G159" s="35">
        <v>70</v>
      </c>
      <c r="H159" s="35">
        <v>-15</v>
      </c>
      <c r="I159" s="20">
        <v>300</v>
      </c>
      <c r="J159" s="21">
        <f t="shared" si="14"/>
        <v>-4500</v>
      </c>
      <c r="K159" s="7"/>
      <c r="L159" s="36" t="s">
        <v>21</v>
      </c>
      <c r="V159" s="36">
        <f t="shared" ref="V159:V198" si="15">IF($J159&gt;0,1,0)</f>
        <v>0</v>
      </c>
      <c r="W159" s="36">
        <f t="shared" ref="W159:W198" si="16">IF($J159&lt;0,1,0)</f>
        <v>1</v>
      </c>
    </row>
    <row r="160" spans="1:23" s="36" customFormat="1" x14ac:dyDescent="0.3">
      <c r="A160" s="6"/>
      <c r="B160" s="17">
        <f t="shared" ref="B160:B180" si="17">B159+1</f>
        <v>3</v>
      </c>
      <c r="C160" s="18">
        <v>44229</v>
      </c>
      <c r="D160" s="19" t="s">
        <v>18</v>
      </c>
      <c r="E160" s="19" t="s">
        <v>206</v>
      </c>
      <c r="F160" s="35">
        <v>65</v>
      </c>
      <c r="G160" s="35">
        <v>93</v>
      </c>
      <c r="H160" s="35">
        <v>28</v>
      </c>
      <c r="I160" s="20">
        <v>300</v>
      </c>
      <c r="J160" s="21">
        <f t="shared" si="14"/>
        <v>8400</v>
      </c>
      <c r="K160" s="7"/>
      <c r="V160" s="36">
        <f t="shared" si="15"/>
        <v>1</v>
      </c>
      <c r="W160" s="36">
        <f t="shared" si="16"/>
        <v>0</v>
      </c>
    </row>
    <row r="161" spans="1:23" s="36" customFormat="1" x14ac:dyDescent="0.3">
      <c r="A161" s="6"/>
      <c r="B161" s="17">
        <f t="shared" si="17"/>
        <v>4</v>
      </c>
      <c r="C161" s="18">
        <v>44230</v>
      </c>
      <c r="D161" s="19" t="s">
        <v>18</v>
      </c>
      <c r="E161" s="19" t="s">
        <v>244</v>
      </c>
      <c r="F161" s="35">
        <v>75</v>
      </c>
      <c r="G161" s="35">
        <v>105</v>
      </c>
      <c r="H161" s="35">
        <v>30</v>
      </c>
      <c r="I161" s="20">
        <v>300</v>
      </c>
      <c r="J161" s="21">
        <f t="shared" si="14"/>
        <v>9000</v>
      </c>
      <c r="K161" s="7"/>
      <c r="V161" s="36">
        <f t="shared" si="15"/>
        <v>1</v>
      </c>
      <c r="W161" s="36">
        <f t="shared" si="16"/>
        <v>0</v>
      </c>
    </row>
    <row r="162" spans="1:23" s="36" customFormat="1" x14ac:dyDescent="0.3">
      <c r="A162" s="6"/>
      <c r="B162" s="17">
        <f t="shared" si="17"/>
        <v>5</v>
      </c>
      <c r="C162" s="18">
        <v>44230</v>
      </c>
      <c r="D162" s="19" t="s">
        <v>18</v>
      </c>
      <c r="E162" s="19" t="s">
        <v>244</v>
      </c>
      <c r="F162" s="35">
        <v>80</v>
      </c>
      <c r="G162" s="35">
        <v>110</v>
      </c>
      <c r="H162" s="35">
        <v>30</v>
      </c>
      <c r="I162" s="20">
        <v>300</v>
      </c>
      <c r="J162" s="21">
        <f t="shared" si="14"/>
        <v>9000</v>
      </c>
      <c r="K162" s="7"/>
      <c r="V162" s="36">
        <f t="shared" si="15"/>
        <v>1</v>
      </c>
      <c r="W162" s="36">
        <f t="shared" si="16"/>
        <v>0</v>
      </c>
    </row>
    <row r="163" spans="1:23" s="36" customFormat="1" x14ac:dyDescent="0.3">
      <c r="A163" s="6"/>
      <c r="B163" s="17">
        <f t="shared" si="17"/>
        <v>6</v>
      </c>
      <c r="C163" s="18">
        <v>44231</v>
      </c>
      <c r="D163" s="19" t="s">
        <v>18</v>
      </c>
      <c r="E163" s="19" t="s">
        <v>245</v>
      </c>
      <c r="F163" s="20">
        <v>80</v>
      </c>
      <c r="G163" s="35">
        <v>102</v>
      </c>
      <c r="H163" s="35">
        <v>22</v>
      </c>
      <c r="I163" s="20">
        <v>300</v>
      </c>
      <c r="J163" s="21">
        <f t="shared" si="14"/>
        <v>6600</v>
      </c>
      <c r="K163" s="7"/>
      <c r="V163" s="36">
        <f t="shared" si="15"/>
        <v>1</v>
      </c>
      <c r="W163" s="36">
        <f t="shared" si="16"/>
        <v>0</v>
      </c>
    </row>
    <row r="164" spans="1:23" s="36" customFormat="1" x14ac:dyDescent="0.3">
      <c r="A164" s="6"/>
      <c r="B164" s="17">
        <f t="shared" si="17"/>
        <v>7</v>
      </c>
      <c r="C164" s="18">
        <v>44232</v>
      </c>
      <c r="D164" s="19" t="s">
        <v>18</v>
      </c>
      <c r="E164" s="19" t="s">
        <v>246</v>
      </c>
      <c r="F164" s="35">
        <v>115</v>
      </c>
      <c r="G164" s="35">
        <v>130</v>
      </c>
      <c r="H164" s="35">
        <v>30</v>
      </c>
      <c r="I164" s="20">
        <v>300</v>
      </c>
      <c r="J164" s="21">
        <f t="shared" si="14"/>
        <v>9000</v>
      </c>
      <c r="K164" s="7"/>
      <c r="V164" s="36">
        <f t="shared" si="15"/>
        <v>1</v>
      </c>
      <c r="W164" s="36">
        <f t="shared" si="16"/>
        <v>0</v>
      </c>
    </row>
    <row r="165" spans="1:23" s="36" customFormat="1" x14ac:dyDescent="0.3">
      <c r="A165" s="6"/>
      <c r="B165" s="17">
        <f t="shared" si="17"/>
        <v>8</v>
      </c>
      <c r="C165" s="18">
        <v>44232</v>
      </c>
      <c r="D165" s="19" t="s">
        <v>18</v>
      </c>
      <c r="E165" s="19" t="s">
        <v>246</v>
      </c>
      <c r="F165" s="35">
        <v>115</v>
      </c>
      <c r="G165" s="35">
        <v>95</v>
      </c>
      <c r="H165" s="35">
        <v>-15</v>
      </c>
      <c r="I165" s="20">
        <v>300</v>
      </c>
      <c r="J165" s="21">
        <f t="shared" si="14"/>
        <v>-4500</v>
      </c>
      <c r="K165" s="7"/>
      <c r="V165" s="36">
        <f t="shared" si="15"/>
        <v>0</v>
      </c>
      <c r="W165" s="36">
        <f t="shared" si="16"/>
        <v>1</v>
      </c>
    </row>
    <row r="166" spans="1:23" s="36" customFormat="1" x14ac:dyDescent="0.3">
      <c r="A166" s="6"/>
      <c r="B166" s="17">
        <f t="shared" si="17"/>
        <v>9</v>
      </c>
      <c r="C166" s="18">
        <v>44235</v>
      </c>
      <c r="D166" s="19" t="s">
        <v>18</v>
      </c>
      <c r="E166" s="19" t="s">
        <v>250</v>
      </c>
      <c r="F166" s="35">
        <v>85</v>
      </c>
      <c r="G166" s="35">
        <v>90</v>
      </c>
      <c r="H166" s="35">
        <v>15</v>
      </c>
      <c r="I166" s="20">
        <v>300</v>
      </c>
      <c r="J166" s="21">
        <f t="shared" si="14"/>
        <v>4500</v>
      </c>
      <c r="K166" s="7"/>
      <c r="V166" s="36">
        <f t="shared" si="15"/>
        <v>1</v>
      </c>
      <c r="W166" s="36">
        <f t="shared" si="16"/>
        <v>0</v>
      </c>
    </row>
    <row r="167" spans="1:23" s="36" customFormat="1" x14ac:dyDescent="0.3">
      <c r="A167" s="6"/>
      <c r="B167" s="17">
        <f t="shared" si="17"/>
        <v>10</v>
      </c>
      <c r="C167" s="18">
        <v>44235</v>
      </c>
      <c r="D167" s="19" t="s">
        <v>18</v>
      </c>
      <c r="E167" s="19" t="s">
        <v>250</v>
      </c>
      <c r="F167" s="35">
        <v>75</v>
      </c>
      <c r="G167" s="35">
        <v>90</v>
      </c>
      <c r="H167" s="35">
        <v>15</v>
      </c>
      <c r="I167" s="20">
        <v>300</v>
      </c>
      <c r="J167" s="21">
        <f t="shared" si="14"/>
        <v>4500</v>
      </c>
      <c r="K167" s="7"/>
      <c r="V167" s="36">
        <f t="shared" si="15"/>
        <v>1</v>
      </c>
      <c r="W167" s="36">
        <f t="shared" si="16"/>
        <v>0</v>
      </c>
    </row>
    <row r="168" spans="1:23" s="36" customFormat="1" x14ac:dyDescent="0.3">
      <c r="A168" s="6"/>
      <c r="B168" s="17">
        <f t="shared" si="17"/>
        <v>11</v>
      </c>
      <c r="C168" s="18">
        <v>44236</v>
      </c>
      <c r="D168" s="19" t="s">
        <v>18</v>
      </c>
      <c r="E168" s="19" t="s">
        <v>251</v>
      </c>
      <c r="F168" s="19">
        <v>90</v>
      </c>
      <c r="G168" s="35">
        <v>75</v>
      </c>
      <c r="H168" s="35">
        <v>-25</v>
      </c>
      <c r="I168" s="20">
        <v>300</v>
      </c>
      <c r="J168" s="21">
        <f t="shared" si="14"/>
        <v>-7500</v>
      </c>
      <c r="K168" s="7"/>
      <c r="V168" s="36">
        <f t="shared" si="15"/>
        <v>0</v>
      </c>
      <c r="W168" s="36">
        <f t="shared" si="16"/>
        <v>1</v>
      </c>
    </row>
    <row r="169" spans="1:23" s="36" customFormat="1" x14ac:dyDescent="0.3">
      <c r="A169" s="6"/>
      <c r="B169" s="17">
        <f t="shared" si="17"/>
        <v>12</v>
      </c>
      <c r="C169" s="18">
        <v>44236</v>
      </c>
      <c r="D169" s="19" t="s">
        <v>18</v>
      </c>
      <c r="E169" s="19" t="s">
        <v>251</v>
      </c>
      <c r="F169" s="35">
        <v>85</v>
      </c>
      <c r="G169" s="35">
        <v>93</v>
      </c>
      <c r="H169" s="35">
        <v>8</v>
      </c>
      <c r="I169" s="20">
        <v>300</v>
      </c>
      <c r="J169" s="21">
        <f t="shared" si="14"/>
        <v>2400</v>
      </c>
      <c r="K169" s="7"/>
      <c r="V169" s="36">
        <f t="shared" si="15"/>
        <v>1</v>
      </c>
      <c r="W169" s="36">
        <f t="shared" si="16"/>
        <v>0</v>
      </c>
    </row>
    <row r="170" spans="1:23" s="36" customFormat="1" x14ac:dyDescent="0.3">
      <c r="A170" s="6"/>
      <c r="B170" s="17">
        <f t="shared" si="17"/>
        <v>13</v>
      </c>
      <c r="C170" s="18">
        <v>44237</v>
      </c>
      <c r="D170" s="19" t="s">
        <v>18</v>
      </c>
      <c r="E170" s="19" t="s">
        <v>255</v>
      </c>
      <c r="F170" s="35">
        <v>85</v>
      </c>
      <c r="G170" s="35">
        <v>95</v>
      </c>
      <c r="H170" s="35">
        <v>10</v>
      </c>
      <c r="I170" s="20">
        <v>300</v>
      </c>
      <c r="J170" s="21">
        <f t="shared" si="14"/>
        <v>3000</v>
      </c>
      <c r="K170" s="7"/>
      <c r="V170" s="36">
        <f t="shared" si="15"/>
        <v>1</v>
      </c>
      <c r="W170" s="36">
        <f t="shared" si="16"/>
        <v>0</v>
      </c>
    </row>
    <row r="171" spans="1:23" s="36" customFormat="1" x14ac:dyDescent="0.3">
      <c r="A171" s="6"/>
      <c r="B171" s="17">
        <f t="shared" si="17"/>
        <v>14</v>
      </c>
      <c r="C171" s="18">
        <v>44237</v>
      </c>
      <c r="D171" s="19" t="s">
        <v>18</v>
      </c>
      <c r="E171" s="19" t="s">
        <v>256</v>
      </c>
      <c r="F171" s="77">
        <v>85</v>
      </c>
      <c r="G171" s="35">
        <v>115</v>
      </c>
      <c r="H171" s="78">
        <v>30</v>
      </c>
      <c r="I171" s="20">
        <v>300</v>
      </c>
      <c r="J171" s="21">
        <f t="shared" si="14"/>
        <v>9000</v>
      </c>
      <c r="K171" s="7"/>
      <c r="V171" s="36">
        <f t="shared" si="15"/>
        <v>1</v>
      </c>
      <c r="W171" s="36">
        <f t="shared" si="16"/>
        <v>0</v>
      </c>
    </row>
    <row r="172" spans="1:23" s="36" customFormat="1" x14ac:dyDescent="0.3">
      <c r="A172" s="6"/>
      <c r="B172" s="17">
        <f t="shared" si="17"/>
        <v>15</v>
      </c>
      <c r="C172" s="18">
        <v>44238</v>
      </c>
      <c r="D172" s="19" t="s">
        <v>18</v>
      </c>
      <c r="E172" s="19" t="s">
        <v>257</v>
      </c>
      <c r="F172" s="35">
        <v>70</v>
      </c>
      <c r="G172" s="35">
        <v>80</v>
      </c>
      <c r="H172" s="78">
        <v>10</v>
      </c>
      <c r="I172" s="20">
        <v>300</v>
      </c>
      <c r="J172" s="21">
        <f t="shared" si="14"/>
        <v>3000</v>
      </c>
      <c r="K172" s="7"/>
      <c r="V172" s="36">
        <f t="shared" si="15"/>
        <v>1</v>
      </c>
      <c r="W172" s="36">
        <f t="shared" si="16"/>
        <v>0</v>
      </c>
    </row>
    <row r="173" spans="1:23" s="36" customFormat="1" x14ac:dyDescent="0.3">
      <c r="A173" s="6"/>
      <c r="B173" s="17">
        <f t="shared" si="17"/>
        <v>16</v>
      </c>
      <c r="C173" s="18">
        <v>44238</v>
      </c>
      <c r="D173" s="19" t="s">
        <v>18</v>
      </c>
      <c r="E173" s="19" t="s">
        <v>258</v>
      </c>
      <c r="F173" s="35">
        <v>55</v>
      </c>
      <c r="G173" s="35">
        <v>64</v>
      </c>
      <c r="H173" s="78">
        <v>9</v>
      </c>
      <c r="I173" s="20">
        <v>300</v>
      </c>
      <c r="J173" s="21">
        <f t="shared" si="14"/>
        <v>2700</v>
      </c>
      <c r="K173" s="7"/>
      <c r="V173" s="36">
        <f t="shared" si="15"/>
        <v>1</v>
      </c>
      <c r="W173" s="36">
        <f t="shared" si="16"/>
        <v>0</v>
      </c>
    </row>
    <row r="174" spans="1:23" s="36" customFormat="1" x14ac:dyDescent="0.3">
      <c r="A174" s="6"/>
      <c r="B174" s="17">
        <f t="shared" si="17"/>
        <v>17</v>
      </c>
      <c r="C174" s="18">
        <v>44239</v>
      </c>
      <c r="D174" s="19" t="s">
        <v>18</v>
      </c>
      <c r="E174" s="19" t="s">
        <v>251</v>
      </c>
      <c r="F174" s="35">
        <v>105</v>
      </c>
      <c r="G174" s="35">
        <v>135</v>
      </c>
      <c r="H174" s="35">
        <v>30</v>
      </c>
      <c r="I174" s="20">
        <v>300</v>
      </c>
      <c r="J174" s="21">
        <f t="shared" si="14"/>
        <v>9000</v>
      </c>
      <c r="K174" s="7"/>
      <c r="V174" s="36">
        <f t="shared" si="15"/>
        <v>1</v>
      </c>
      <c r="W174" s="36">
        <f t="shared" si="16"/>
        <v>0</v>
      </c>
    </row>
    <row r="175" spans="1:23" s="36" customFormat="1" x14ac:dyDescent="0.3">
      <c r="A175" s="6"/>
      <c r="B175" s="17">
        <f t="shared" si="17"/>
        <v>18</v>
      </c>
      <c r="C175" s="18">
        <v>44239</v>
      </c>
      <c r="D175" s="19" t="s">
        <v>18</v>
      </c>
      <c r="E175" s="19" t="s">
        <v>263</v>
      </c>
      <c r="F175" s="35">
        <v>105</v>
      </c>
      <c r="G175" s="35">
        <v>135</v>
      </c>
      <c r="H175" s="35">
        <v>30</v>
      </c>
      <c r="I175" s="20">
        <v>300</v>
      </c>
      <c r="J175" s="21">
        <f t="shared" si="14"/>
        <v>9000</v>
      </c>
      <c r="K175" s="7"/>
      <c r="V175" s="36">
        <f t="shared" si="15"/>
        <v>1</v>
      </c>
      <c r="W175" s="36">
        <f t="shared" si="16"/>
        <v>0</v>
      </c>
    </row>
    <row r="176" spans="1:23" s="36" customFormat="1" x14ac:dyDescent="0.3">
      <c r="A176" s="6"/>
      <c r="B176" s="17">
        <f t="shared" si="17"/>
        <v>19</v>
      </c>
      <c r="C176" s="18">
        <v>44242</v>
      </c>
      <c r="D176" s="19" t="s">
        <v>18</v>
      </c>
      <c r="E176" s="19" t="s">
        <v>264</v>
      </c>
      <c r="F176" s="35">
        <v>65</v>
      </c>
      <c r="G176" s="35">
        <v>80</v>
      </c>
      <c r="H176" s="35">
        <v>15</v>
      </c>
      <c r="I176" s="20">
        <v>300</v>
      </c>
      <c r="J176" s="21">
        <f t="shared" si="14"/>
        <v>4500</v>
      </c>
      <c r="K176" s="7"/>
    </row>
    <row r="177" spans="1:11" s="36" customFormat="1" x14ac:dyDescent="0.3">
      <c r="A177" s="6"/>
      <c r="B177" s="17">
        <f t="shared" si="17"/>
        <v>20</v>
      </c>
      <c r="C177" s="18">
        <v>44242</v>
      </c>
      <c r="D177" s="19" t="s">
        <v>18</v>
      </c>
      <c r="E177" s="19" t="s">
        <v>264</v>
      </c>
      <c r="F177" s="35">
        <v>75</v>
      </c>
      <c r="G177" s="35">
        <v>90</v>
      </c>
      <c r="H177" s="35">
        <v>15</v>
      </c>
      <c r="I177" s="20">
        <v>300</v>
      </c>
      <c r="J177" s="21">
        <f t="shared" si="14"/>
        <v>4500</v>
      </c>
      <c r="K177" s="7"/>
    </row>
    <row r="178" spans="1:11" s="36" customFormat="1" x14ac:dyDescent="0.3">
      <c r="A178" s="6"/>
      <c r="B178" s="17">
        <f t="shared" si="17"/>
        <v>21</v>
      </c>
      <c r="C178" s="18">
        <v>44243</v>
      </c>
      <c r="D178" s="19" t="s">
        <v>18</v>
      </c>
      <c r="E178" s="19" t="s">
        <v>264</v>
      </c>
      <c r="F178" s="35">
        <v>95</v>
      </c>
      <c r="G178" s="35">
        <v>103</v>
      </c>
      <c r="H178" s="35">
        <v>8</v>
      </c>
      <c r="I178" s="20">
        <v>300</v>
      </c>
      <c r="J178" s="21">
        <f t="shared" si="14"/>
        <v>2400</v>
      </c>
      <c r="K178" s="7"/>
    </row>
    <row r="179" spans="1:11" s="36" customFormat="1" x14ac:dyDescent="0.3">
      <c r="A179" s="6"/>
      <c r="B179" s="17">
        <f t="shared" si="17"/>
        <v>22</v>
      </c>
      <c r="C179" s="18">
        <v>44243</v>
      </c>
      <c r="D179" s="19" t="s">
        <v>18</v>
      </c>
      <c r="E179" s="19" t="s">
        <v>265</v>
      </c>
      <c r="F179" s="35">
        <v>75</v>
      </c>
      <c r="G179" s="35">
        <v>95</v>
      </c>
      <c r="H179" s="35">
        <v>20</v>
      </c>
      <c r="I179" s="20">
        <v>300</v>
      </c>
      <c r="J179" s="21">
        <f t="shared" si="14"/>
        <v>6000</v>
      </c>
      <c r="K179" s="7"/>
    </row>
    <row r="180" spans="1:11" s="36" customFormat="1" x14ac:dyDescent="0.3">
      <c r="A180" s="6"/>
      <c r="B180" s="17">
        <f t="shared" si="17"/>
        <v>23</v>
      </c>
      <c r="C180" s="18">
        <v>44244</v>
      </c>
      <c r="D180" s="19" t="s">
        <v>18</v>
      </c>
      <c r="E180" s="19" t="s">
        <v>251</v>
      </c>
      <c r="F180" s="35">
        <v>65</v>
      </c>
      <c r="G180" s="35">
        <v>95</v>
      </c>
      <c r="H180" s="35">
        <v>30</v>
      </c>
      <c r="I180" s="20">
        <v>300</v>
      </c>
      <c r="J180" s="21">
        <f t="shared" si="14"/>
        <v>9000</v>
      </c>
      <c r="K180" s="7"/>
    </row>
    <row r="181" spans="1:11" s="36" customFormat="1" x14ac:dyDescent="0.3">
      <c r="A181" s="6"/>
      <c r="B181" s="17">
        <f>B180+1</f>
        <v>24</v>
      </c>
      <c r="C181" s="18">
        <v>44244</v>
      </c>
      <c r="D181" s="19" t="s">
        <v>18</v>
      </c>
      <c r="E181" s="19" t="s">
        <v>270</v>
      </c>
      <c r="F181" s="35">
        <v>60</v>
      </c>
      <c r="G181" s="35">
        <v>75</v>
      </c>
      <c r="H181" s="35">
        <v>15</v>
      </c>
      <c r="I181" s="20">
        <v>300</v>
      </c>
      <c r="J181" s="21">
        <f t="shared" si="14"/>
        <v>4500</v>
      </c>
      <c r="K181" s="7"/>
    </row>
    <row r="182" spans="1:11" s="36" customFormat="1" x14ac:dyDescent="0.3">
      <c r="A182" s="6"/>
      <c r="B182" s="17">
        <f t="shared" ref="B182:B198" si="18">B181+1</f>
        <v>25</v>
      </c>
      <c r="C182" s="18">
        <v>44245</v>
      </c>
      <c r="D182" s="19" t="s">
        <v>18</v>
      </c>
      <c r="E182" s="19" t="s">
        <v>250</v>
      </c>
      <c r="F182" s="35">
        <v>55</v>
      </c>
      <c r="G182" s="35">
        <v>65</v>
      </c>
      <c r="H182" s="35">
        <v>10</v>
      </c>
      <c r="I182" s="20">
        <v>300</v>
      </c>
      <c r="J182" s="21">
        <f t="shared" si="14"/>
        <v>3000</v>
      </c>
      <c r="K182" s="7"/>
    </row>
    <row r="183" spans="1:11" s="36" customFormat="1" x14ac:dyDescent="0.3">
      <c r="A183" s="6"/>
      <c r="B183" s="17">
        <f t="shared" si="18"/>
        <v>26</v>
      </c>
      <c r="C183" s="18">
        <v>44245</v>
      </c>
      <c r="D183" s="19" t="s">
        <v>18</v>
      </c>
      <c r="E183" s="19" t="s">
        <v>250</v>
      </c>
      <c r="F183" s="35">
        <v>65</v>
      </c>
      <c r="G183" s="35">
        <v>95</v>
      </c>
      <c r="H183" s="35">
        <v>30</v>
      </c>
      <c r="I183" s="20">
        <v>300</v>
      </c>
      <c r="J183" s="21">
        <f t="shared" si="14"/>
        <v>9000</v>
      </c>
      <c r="K183" s="7"/>
    </row>
    <row r="184" spans="1:11" s="36" customFormat="1" x14ac:dyDescent="0.3">
      <c r="A184" s="6"/>
      <c r="B184" s="17">
        <f t="shared" si="18"/>
        <v>27</v>
      </c>
      <c r="C184" s="18">
        <v>44246</v>
      </c>
      <c r="D184" s="19" t="s">
        <v>18</v>
      </c>
      <c r="E184" s="19" t="s">
        <v>250</v>
      </c>
      <c r="F184" s="35">
        <v>80</v>
      </c>
      <c r="G184" s="35">
        <v>65</v>
      </c>
      <c r="H184" s="35">
        <v>-15</v>
      </c>
      <c r="I184" s="20">
        <v>300</v>
      </c>
      <c r="J184" s="21">
        <f t="shared" si="14"/>
        <v>-4500</v>
      </c>
      <c r="K184" s="7"/>
    </row>
    <row r="185" spans="1:11" s="36" customFormat="1" x14ac:dyDescent="0.3">
      <c r="A185" s="6"/>
      <c r="B185" s="17">
        <f t="shared" si="18"/>
        <v>28</v>
      </c>
      <c r="C185" s="18">
        <v>44246</v>
      </c>
      <c r="D185" s="19" t="s">
        <v>18</v>
      </c>
      <c r="E185" s="19" t="s">
        <v>250</v>
      </c>
      <c r="F185" s="35">
        <v>95</v>
      </c>
      <c r="G185" s="35">
        <v>108</v>
      </c>
      <c r="H185" s="35">
        <v>13</v>
      </c>
      <c r="I185" s="20">
        <v>300</v>
      </c>
      <c r="J185" s="21">
        <f t="shared" si="14"/>
        <v>3900</v>
      </c>
      <c r="K185" s="7"/>
    </row>
    <row r="186" spans="1:11" s="36" customFormat="1" x14ac:dyDescent="0.3">
      <c r="A186" s="6"/>
      <c r="B186" s="17">
        <f t="shared" si="18"/>
        <v>29</v>
      </c>
      <c r="C186" s="18">
        <v>44249</v>
      </c>
      <c r="D186" s="19" t="s">
        <v>18</v>
      </c>
      <c r="E186" s="19" t="s">
        <v>257</v>
      </c>
      <c r="F186" s="35">
        <v>70</v>
      </c>
      <c r="G186" s="35">
        <v>55</v>
      </c>
      <c r="H186" s="35">
        <v>-15</v>
      </c>
      <c r="I186" s="20">
        <v>300</v>
      </c>
      <c r="J186" s="21">
        <f t="shared" si="14"/>
        <v>-4500</v>
      </c>
      <c r="K186" s="7"/>
    </row>
    <row r="187" spans="1:11" s="36" customFormat="1" x14ac:dyDescent="0.3">
      <c r="A187" s="6"/>
      <c r="B187" s="17">
        <f t="shared" si="18"/>
        <v>30</v>
      </c>
      <c r="C187" s="18">
        <v>44249</v>
      </c>
      <c r="D187" s="19" t="s">
        <v>18</v>
      </c>
      <c r="E187" s="19" t="s">
        <v>277</v>
      </c>
      <c r="F187" s="35">
        <v>95</v>
      </c>
      <c r="G187" s="35">
        <v>125</v>
      </c>
      <c r="H187" s="35">
        <v>30</v>
      </c>
      <c r="I187" s="20">
        <v>300</v>
      </c>
      <c r="J187" s="21">
        <f t="shared" si="14"/>
        <v>9000</v>
      </c>
      <c r="K187" s="7"/>
    </row>
    <row r="188" spans="1:11" s="36" customFormat="1" x14ac:dyDescent="0.3">
      <c r="A188" s="6"/>
      <c r="B188" s="17">
        <f t="shared" si="18"/>
        <v>31</v>
      </c>
      <c r="C188" s="18">
        <v>44250</v>
      </c>
      <c r="D188" s="19" t="s">
        <v>18</v>
      </c>
      <c r="E188" s="19" t="s">
        <v>244</v>
      </c>
      <c r="F188" s="35">
        <v>90</v>
      </c>
      <c r="G188" s="35">
        <v>120</v>
      </c>
      <c r="H188" s="35">
        <v>30</v>
      </c>
      <c r="I188" s="20">
        <v>300</v>
      </c>
      <c r="J188" s="21">
        <f t="shared" si="14"/>
        <v>9000</v>
      </c>
      <c r="K188" s="7"/>
    </row>
    <row r="189" spans="1:11" s="36" customFormat="1" x14ac:dyDescent="0.3">
      <c r="A189" s="6"/>
      <c r="B189" s="17">
        <f t="shared" si="18"/>
        <v>32</v>
      </c>
      <c r="C189" s="18">
        <v>44250</v>
      </c>
      <c r="D189" s="19" t="s">
        <v>18</v>
      </c>
      <c r="E189" s="19" t="s">
        <v>244</v>
      </c>
      <c r="F189" s="35">
        <v>80</v>
      </c>
      <c r="G189" s="35">
        <v>91</v>
      </c>
      <c r="H189" s="35">
        <v>11</v>
      </c>
      <c r="I189" s="20">
        <v>300</v>
      </c>
      <c r="J189" s="21">
        <f t="shared" si="14"/>
        <v>3300</v>
      </c>
      <c r="K189" s="7"/>
    </row>
    <row r="190" spans="1:11" s="36" customFormat="1" x14ac:dyDescent="0.3">
      <c r="A190" s="6"/>
      <c r="B190" s="17">
        <f t="shared" si="18"/>
        <v>33</v>
      </c>
      <c r="C190" s="18">
        <v>44251</v>
      </c>
      <c r="D190" s="19" t="s">
        <v>18</v>
      </c>
      <c r="E190" s="19" t="s">
        <v>244</v>
      </c>
      <c r="F190" s="35">
        <v>70</v>
      </c>
      <c r="G190" s="35">
        <v>100</v>
      </c>
      <c r="H190" s="35">
        <v>30</v>
      </c>
      <c r="I190" s="20">
        <v>300</v>
      </c>
      <c r="J190" s="21">
        <f t="shared" si="14"/>
        <v>9000</v>
      </c>
      <c r="K190" s="7"/>
    </row>
    <row r="191" spans="1:11" s="36" customFormat="1" x14ac:dyDescent="0.3">
      <c r="A191" s="6"/>
      <c r="B191" s="17">
        <f t="shared" si="18"/>
        <v>34</v>
      </c>
      <c r="C191" s="18">
        <v>44252</v>
      </c>
      <c r="D191" s="19" t="s">
        <v>18</v>
      </c>
      <c r="E191" s="19" t="s">
        <v>257</v>
      </c>
      <c r="F191" s="35">
        <v>65</v>
      </c>
      <c r="G191" s="35">
        <v>71</v>
      </c>
      <c r="H191" s="35">
        <v>6</v>
      </c>
      <c r="I191" s="20">
        <v>300</v>
      </c>
      <c r="J191" s="21">
        <f t="shared" si="14"/>
        <v>1800</v>
      </c>
      <c r="K191" s="7"/>
    </row>
    <row r="192" spans="1:11" s="36" customFormat="1" x14ac:dyDescent="0.3">
      <c r="A192" s="6"/>
      <c r="B192" s="17">
        <f t="shared" si="18"/>
        <v>35</v>
      </c>
      <c r="C192" s="18">
        <v>44252</v>
      </c>
      <c r="D192" s="19" t="s">
        <v>18</v>
      </c>
      <c r="E192" s="19" t="s">
        <v>246</v>
      </c>
      <c r="F192" s="35">
        <v>60</v>
      </c>
      <c r="G192" s="35">
        <v>82</v>
      </c>
      <c r="H192" s="35">
        <v>22</v>
      </c>
      <c r="I192" s="20">
        <v>300</v>
      </c>
      <c r="J192" s="21">
        <f t="shared" si="14"/>
        <v>6600</v>
      </c>
      <c r="K192" s="7"/>
    </row>
    <row r="193" spans="1:23" s="36" customFormat="1" x14ac:dyDescent="0.3">
      <c r="A193" s="6"/>
      <c r="B193" s="17">
        <f t="shared" si="18"/>
        <v>36</v>
      </c>
      <c r="C193" s="18">
        <v>44253</v>
      </c>
      <c r="D193" s="19" t="s">
        <v>18</v>
      </c>
      <c r="E193" s="19" t="s">
        <v>280</v>
      </c>
      <c r="F193" s="35">
        <v>140</v>
      </c>
      <c r="G193" s="35">
        <v>180</v>
      </c>
      <c r="H193" s="35">
        <v>40</v>
      </c>
      <c r="I193" s="20">
        <v>300</v>
      </c>
      <c r="J193" s="21">
        <f t="shared" si="14"/>
        <v>12000</v>
      </c>
      <c r="K193" s="7"/>
    </row>
    <row r="194" spans="1:23" s="36" customFormat="1" x14ac:dyDescent="0.3">
      <c r="A194" s="6"/>
      <c r="B194" s="17">
        <f t="shared" si="18"/>
        <v>37</v>
      </c>
      <c r="C194" s="18">
        <v>44253</v>
      </c>
      <c r="D194" s="19" t="s">
        <v>18</v>
      </c>
      <c r="E194" s="19" t="s">
        <v>281</v>
      </c>
      <c r="F194" s="35">
        <v>150</v>
      </c>
      <c r="G194" s="35">
        <v>170</v>
      </c>
      <c r="H194" s="35">
        <v>20</v>
      </c>
      <c r="I194" s="20">
        <v>300</v>
      </c>
      <c r="J194" s="21">
        <f t="shared" si="14"/>
        <v>6000</v>
      </c>
      <c r="K194" s="7"/>
    </row>
    <row r="195" spans="1:23" s="36" customFormat="1" x14ac:dyDescent="0.3">
      <c r="A195" s="6"/>
      <c r="B195" s="17">
        <f t="shared" si="18"/>
        <v>38</v>
      </c>
      <c r="C195" s="18"/>
      <c r="D195" s="19"/>
      <c r="E195" s="19"/>
      <c r="F195" s="35"/>
      <c r="G195" s="35"/>
      <c r="H195" s="35"/>
      <c r="I195" s="20"/>
      <c r="J195" s="21">
        <f t="shared" si="14"/>
        <v>0</v>
      </c>
      <c r="K195" s="7"/>
      <c r="V195" s="36">
        <f t="shared" si="15"/>
        <v>0</v>
      </c>
      <c r="W195" s="36">
        <f t="shared" si="16"/>
        <v>0</v>
      </c>
    </row>
    <row r="196" spans="1:23" s="36" customFormat="1" x14ac:dyDescent="0.3">
      <c r="A196" s="6"/>
      <c r="B196" s="17">
        <f t="shared" si="18"/>
        <v>39</v>
      </c>
      <c r="C196" s="18"/>
      <c r="D196" s="19"/>
      <c r="E196" s="19"/>
      <c r="F196" s="35"/>
      <c r="G196" s="35"/>
      <c r="H196" s="35"/>
      <c r="I196" s="20"/>
      <c r="J196" s="21">
        <f t="shared" si="14"/>
        <v>0</v>
      </c>
      <c r="K196" s="7"/>
      <c r="V196" s="36">
        <f t="shared" si="15"/>
        <v>0</v>
      </c>
      <c r="W196" s="36">
        <f t="shared" si="16"/>
        <v>0</v>
      </c>
    </row>
    <row r="197" spans="1:23" s="36" customFormat="1" x14ac:dyDescent="0.3">
      <c r="A197" s="6"/>
      <c r="B197" s="17">
        <f t="shared" si="18"/>
        <v>40</v>
      </c>
      <c r="C197" s="18"/>
      <c r="D197" s="19"/>
      <c r="E197" s="19"/>
      <c r="F197" s="35"/>
      <c r="G197" s="35"/>
      <c r="H197" s="35"/>
      <c r="I197" s="20"/>
      <c r="J197" s="21">
        <f t="shared" si="14"/>
        <v>0</v>
      </c>
      <c r="K197" s="7"/>
      <c r="V197" s="36">
        <f t="shared" si="15"/>
        <v>0</v>
      </c>
      <c r="W197" s="36">
        <f t="shared" si="16"/>
        <v>0</v>
      </c>
    </row>
    <row r="198" spans="1:23" s="36" customFormat="1" x14ac:dyDescent="0.3">
      <c r="A198" s="6"/>
      <c r="B198" s="17">
        <f t="shared" si="18"/>
        <v>41</v>
      </c>
      <c r="C198" s="18"/>
      <c r="D198" s="19"/>
      <c r="E198" s="19"/>
      <c r="F198" s="35"/>
      <c r="G198" s="35"/>
      <c r="H198" s="35"/>
      <c r="I198" s="20"/>
      <c r="J198" s="21">
        <f t="shared" si="14"/>
        <v>0</v>
      </c>
      <c r="K198" s="7"/>
      <c r="V198" s="36">
        <f t="shared" si="15"/>
        <v>0</v>
      </c>
      <c r="W198" s="36">
        <f t="shared" si="16"/>
        <v>0</v>
      </c>
    </row>
    <row r="199" spans="1:23" s="36" customFormat="1" ht="24" thickBot="1" x14ac:dyDescent="0.5">
      <c r="A199" s="6"/>
      <c r="B199" s="165" t="s">
        <v>22</v>
      </c>
      <c r="C199" s="166"/>
      <c r="D199" s="166"/>
      <c r="E199" s="166"/>
      <c r="F199" s="166"/>
      <c r="G199" s="166"/>
      <c r="H199" s="167"/>
      <c r="I199" s="83" t="s">
        <v>23</v>
      </c>
      <c r="J199" s="84">
        <f>SUM(J158:J198)</f>
        <v>179100</v>
      </c>
      <c r="K199" s="7"/>
      <c r="L199" s="5"/>
      <c r="M199" s="5"/>
      <c r="N199" s="5"/>
      <c r="O199" s="5"/>
      <c r="P199" s="5"/>
      <c r="Q199" s="5"/>
      <c r="R199" s="5"/>
      <c r="V199" s="36">
        <f>SUM(V158:V198)</f>
        <v>15</v>
      </c>
      <c r="W199" s="36">
        <f>SUM(W158:W198)</f>
        <v>3</v>
      </c>
    </row>
    <row r="200" spans="1:23" s="36" customFormat="1" ht="30" customHeight="1" thickBot="1" x14ac:dyDescent="0.35">
      <c r="A200" s="30"/>
      <c r="B200" s="31"/>
      <c r="C200" s="31"/>
      <c r="D200" s="31"/>
      <c r="E200" s="31"/>
      <c r="F200" s="31"/>
      <c r="G200" s="31"/>
      <c r="H200" s="32"/>
      <c r="I200" s="31"/>
      <c r="J200" s="32"/>
      <c r="K200" s="33"/>
      <c r="L200" s="5"/>
      <c r="M200" s="5"/>
      <c r="N200" s="5"/>
      <c r="O200" s="5"/>
      <c r="P200" s="5"/>
      <c r="Q200" s="5"/>
      <c r="R200" s="5"/>
    </row>
  </sheetData>
  <mergeCells count="44"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B95:J95"/>
    <mergeCell ref="M10:M11"/>
    <mergeCell ref="N10:N11"/>
    <mergeCell ref="O10:O11"/>
    <mergeCell ref="P10:P11"/>
    <mergeCell ref="M12:O14"/>
    <mergeCell ref="P12:R14"/>
    <mergeCell ref="B89:H89"/>
    <mergeCell ref="B93:J93"/>
    <mergeCell ref="B94:J94"/>
    <mergeCell ref="Q10:Q11"/>
    <mergeCell ref="R10:R11"/>
    <mergeCell ref="B150:H150"/>
    <mergeCell ref="B154:J154"/>
    <mergeCell ref="B155:J155"/>
    <mergeCell ref="B156:J156"/>
    <mergeCell ref="B199:H199"/>
  </mergeCells>
  <hyperlinks>
    <hyperlink ref="B89" r:id="rId1" xr:uid="{00000000-0004-0000-0700-000000000000}"/>
    <hyperlink ref="B150" r:id="rId2" xr:uid="{00000000-0004-0000-0700-000001000000}"/>
    <hyperlink ref="B199" r:id="rId3" xr:uid="{00000000-0004-0000-0700-000002000000}"/>
    <hyperlink ref="M1" location="MASTER!A1" display="Back" xr:uid="{00000000-0004-0000-0700-000003000000}"/>
  </hyperlinks>
  <pageMargins left="0" right="0" top="0" bottom="0" header="0" footer="0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210"/>
  <sheetViews>
    <sheetView topLeftCell="A157" workbookViewId="0">
      <selection activeCell="B161" sqref="B161:J161"/>
    </sheetView>
  </sheetViews>
  <sheetFormatPr defaultColWidth="9.109375" defaultRowHeight="14.4" x14ac:dyDescent="0.3"/>
  <cols>
    <col min="1" max="1" width="7" style="5" customWidth="1"/>
    <col min="2" max="2" width="3.5546875" style="5" bestFit="1" customWidth="1"/>
    <col min="3" max="3" width="11.5546875" style="5" customWidth="1"/>
    <col min="4" max="4" width="9.33203125" style="5" customWidth="1"/>
    <col min="5" max="5" width="16.44140625" style="5" customWidth="1"/>
    <col min="6" max="7" width="11.44140625" style="5" customWidth="1"/>
    <col min="8" max="8" width="11.88671875" style="34" customWidth="1"/>
    <col min="9" max="9" width="11.44140625" style="5" customWidth="1"/>
    <col min="10" max="10" width="11.44140625" style="34" customWidth="1"/>
    <col min="11" max="11" width="7" style="5" customWidth="1"/>
    <col min="12" max="12" width="5" style="5" customWidth="1"/>
    <col min="13" max="13" width="21.33203125" style="5" customWidth="1"/>
    <col min="14" max="14" width="10" style="5" customWidth="1"/>
    <col min="15" max="17" width="9.109375" style="5"/>
    <col min="18" max="18" width="10.6640625" style="5" bestFit="1" customWidth="1"/>
    <col min="19" max="19" width="9.109375" style="5" customWidth="1"/>
    <col min="20" max="21" width="9.109375" style="5"/>
    <col min="22" max="23" width="9.109375" style="5" hidden="1" customWidth="1"/>
    <col min="24" max="16384" width="9.109375" style="5"/>
  </cols>
  <sheetData>
    <row r="1" spans="1:23" ht="26.4" thickBot="1" x14ac:dyDescent="0.35">
      <c r="A1" s="1"/>
      <c r="B1" s="2"/>
      <c r="C1" s="2"/>
      <c r="D1" s="2"/>
      <c r="E1" s="2"/>
      <c r="F1" s="2"/>
      <c r="G1" s="2"/>
      <c r="H1" s="3"/>
      <c r="I1" s="2"/>
      <c r="J1" s="3"/>
      <c r="K1" s="4"/>
      <c r="M1" s="59" t="s">
        <v>0</v>
      </c>
    </row>
    <row r="2" spans="1:23" ht="27" customHeight="1" thickBot="1" x14ac:dyDescent="0.35">
      <c r="A2" s="6" t="s">
        <v>1</v>
      </c>
      <c r="B2" s="119" t="s">
        <v>2</v>
      </c>
      <c r="C2" s="120"/>
      <c r="D2" s="120"/>
      <c r="E2" s="120"/>
      <c r="F2" s="120"/>
      <c r="G2" s="120"/>
      <c r="H2" s="120"/>
      <c r="I2" s="120"/>
      <c r="J2" s="121"/>
      <c r="K2" s="7"/>
      <c r="M2" s="122" t="s">
        <v>3</v>
      </c>
      <c r="N2" s="160" t="s">
        <v>4</v>
      </c>
      <c r="O2" s="124" t="s">
        <v>5</v>
      </c>
      <c r="P2" s="124" t="s">
        <v>6</v>
      </c>
      <c r="Q2" s="124" t="s">
        <v>7</v>
      </c>
      <c r="R2" s="101" t="s">
        <v>8</v>
      </c>
    </row>
    <row r="3" spans="1:23" ht="16.2" thickBot="1" x14ac:dyDescent="0.35">
      <c r="A3" s="6"/>
      <c r="B3" s="103">
        <v>44256</v>
      </c>
      <c r="C3" s="104"/>
      <c r="D3" s="104"/>
      <c r="E3" s="104"/>
      <c r="F3" s="104"/>
      <c r="G3" s="104"/>
      <c r="H3" s="104"/>
      <c r="I3" s="104"/>
      <c r="J3" s="105"/>
      <c r="K3" s="7"/>
      <c r="M3" s="123"/>
      <c r="N3" s="161"/>
      <c r="O3" s="125"/>
      <c r="P3" s="125"/>
      <c r="Q3" s="125"/>
      <c r="R3" s="102"/>
    </row>
    <row r="4" spans="1:23" ht="16.5" customHeight="1" thickBot="1" x14ac:dyDescent="0.35">
      <c r="A4" s="6"/>
      <c r="B4" s="106" t="s">
        <v>36</v>
      </c>
      <c r="C4" s="107"/>
      <c r="D4" s="107"/>
      <c r="E4" s="107"/>
      <c r="F4" s="107"/>
      <c r="G4" s="107"/>
      <c r="H4" s="107"/>
      <c r="I4" s="107"/>
      <c r="J4" s="108"/>
      <c r="K4" s="7"/>
      <c r="M4" s="155" t="s">
        <v>107</v>
      </c>
      <c r="N4" s="192">
        <v>46</v>
      </c>
      <c r="O4" s="193">
        <v>46</v>
      </c>
      <c r="P4" s="193">
        <v>0</v>
      </c>
      <c r="Q4" s="194">
        <v>0</v>
      </c>
      <c r="R4" s="178">
        <f>O4/N4</f>
        <v>1</v>
      </c>
    </row>
    <row r="5" spans="1:23" ht="15" thickBot="1" x14ac:dyDescent="0.35">
      <c r="A5" s="6"/>
      <c r="B5" s="8" t="s">
        <v>9</v>
      </c>
      <c r="C5" s="71" t="s">
        <v>10</v>
      </c>
      <c r="D5" s="72" t="s">
        <v>11</v>
      </c>
      <c r="E5" s="72" t="s">
        <v>12</v>
      </c>
      <c r="F5" s="73" t="s">
        <v>13</v>
      </c>
      <c r="G5" s="73" t="s">
        <v>14</v>
      </c>
      <c r="H5" s="74" t="s">
        <v>15</v>
      </c>
      <c r="I5" s="73" t="s">
        <v>16</v>
      </c>
      <c r="J5" s="75" t="s">
        <v>17</v>
      </c>
      <c r="K5" s="7"/>
      <c r="M5" s="156"/>
      <c r="N5" s="185"/>
      <c r="O5" s="173"/>
      <c r="P5" s="173"/>
      <c r="Q5" s="175"/>
      <c r="R5" s="177"/>
      <c r="V5" s="5" t="s">
        <v>5</v>
      </c>
      <c r="W5" s="5" t="s">
        <v>6</v>
      </c>
    </row>
    <row r="6" spans="1:23" ht="15" customHeight="1" x14ac:dyDescent="0.3">
      <c r="A6" s="6"/>
      <c r="B6" s="14">
        <v>1</v>
      </c>
      <c r="C6" s="85">
        <v>44256</v>
      </c>
      <c r="D6" s="86" t="s">
        <v>18</v>
      </c>
      <c r="E6" s="86" t="s">
        <v>275</v>
      </c>
      <c r="F6" s="86">
        <v>150</v>
      </c>
      <c r="G6" s="86">
        <v>195</v>
      </c>
      <c r="H6" s="87">
        <v>45</v>
      </c>
      <c r="I6" s="86">
        <v>100</v>
      </c>
      <c r="J6" s="21">
        <f t="shared" ref="J6:J79" si="0">H6*I6</f>
        <v>4500</v>
      </c>
      <c r="K6" s="7"/>
      <c r="M6" s="155" t="s">
        <v>108</v>
      </c>
      <c r="N6" s="184">
        <v>40</v>
      </c>
      <c r="O6" s="172">
        <v>32</v>
      </c>
      <c r="P6" s="172">
        <v>8</v>
      </c>
      <c r="Q6" s="174">
        <v>0</v>
      </c>
      <c r="R6" s="176">
        <f t="shared" ref="R6" si="1">O6/N6</f>
        <v>0.8</v>
      </c>
    </row>
    <row r="7" spans="1:23" x14ac:dyDescent="0.3">
      <c r="A7" s="6"/>
      <c r="B7" s="17">
        <v>2</v>
      </c>
      <c r="C7" s="85">
        <v>44256</v>
      </c>
      <c r="D7" s="86" t="s">
        <v>18</v>
      </c>
      <c r="E7" s="86" t="s">
        <v>289</v>
      </c>
      <c r="F7" s="86">
        <v>170</v>
      </c>
      <c r="G7" s="86">
        <v>232</v>
      </c>
      <c r="H7" s="87">
        <v>62</v>
      </c>
      <c r="I7" s="86">
        <v>100</v>
      </c>
      <c r="J7" s="21">
        <f t="shared" si="0"/>
        <v>6200</v>
      </c>
      <c r="K7" s="7"/>
      <c r="M7" s="186"/>
      <c r="N7" s="185"/>
      <c r="O7" s="173"/>
      <c r="P7" s="173"/>
      <c r="Q7" s="175"/>
      <c r="R7" s="177"/>
    </row>
    <row r="8" spans="1:23" x14ac:dyDescent="0.3">
      <c r="A8" s="6"/>
      <c r="B8" s="17">
        <v>3</v>
      </c>
      <c r="C8" s="85">
        <v>44257</v>
      </c>
      <c r="D8" s="86" t="s">
        <v>18</v>
      </c>
      <c r="E8" s="86" t="s">
        <v>252</v>
      </c>
      <c r="F8" s="86">
        <v>160</v>
      </c>
      <c r="G8" s="86">
        <v>110</v>
      </c>
      <c r="H8" s="87">
        <v>-50</v>
      </c>
      <c r="I8" s="86">
        <v>100</v>
      </c>
      <c r="J8" s="21">
        <f t="shared" si="0"/>
        <v>-5000</v>
      </c>
      <c r="K8" s="7"/>
      <c r="M8" s="187" t="s">
        <v>194</v>
      </c>
      <c r="N8" s="184">
        <v>37</v>
      </c>
      <c r="O8" s="172">
        <v>32</v>
      </c>
      <c r="P8" s="172">
        <v>5</v>
      </c>
      <c r="Q8" s="174">
        <v>0</v>
      </c>
      <c r="R8" s="176">
        <f t="shared" ref="R8:R10" si="2">O8/N8</f>
        <v>0.86486486486486491</v>
      </c>
      <c r="V8" s="5">
        <f ca="1">SUM(V8:V94)</f>
        <v>4</v>
      </c>
      <c r="W8" s="5">
        <f>IF($J102&lt;0,1,0)</f>
        <v>1</v>
      </c>
    </row>
    <row r="9" spans="1:23" ht="15" thickBot="1" x14ac:dyDescent="0.35">
      <c r="A9" s="6"/>
      <c r="B9" s="17">
        <v>4</v>
      </c>
      <c r="C9" s="85">
        <v>44257</v>
      </c>
      <c r="D9" s="86" t="s">
        <v>18</v>
      </c>
      <c r="E9" s="86" t="s">
        <v>273</v>
      </c>
      <c r="F9" s="86">
        <v>130</v>
      </c>
      <c r="G9" s="86">
        <v>190</v>
      </c>
      <c r="H9" s="87">
        <v>60</v>
      </c>
      <c r="I9" s="86">
        <v>100</v>
      </c>
      <c r="J9" s="21">
        <f t="shared" si="0"/>
        <v>6000</v>
      </c>
      <c r="K9" s="7"/>
      <c r="M9" s="188"/>
      <c r="N9" s="189"/>
      <c r="O9" s="180"/>
      <c r="P9" s="180"/>
      <c r="Q9" s="181"/>
      <c r="R9" s="179"/>
      <c r="V9" s="5">
        <f>IF($J103&gt;0,1,0)</f>
        <v>1</v>
      </c>
      <c r="W9" s="5">
        <f>IF($J103&lt;0,1,0)</f>
        <v>0</v>
      </c>
    </row>
    <row r="10" spans="1:23" ht="16.5" customHeight="1" x14ac:dyDescent="0.3">
      <c r="A10" s="6"/>
      <c r="B10" s="17">
        <v>5</v>
      </c>
      <c r="C10" s="85">
        <v>44258</v>
      </c>
      <c r="D10" s="86" t="s">
        <v>18</v>
      </c>
      <c r="E10" s="86" t="s">
        <v>252</v>
      </c>
      <c r="F10" s="86">
        <v>150</v>
      </c>
      <c r="G10" s="86">
        <v>250</v>
      </c>
      <c r="H10" s="87">
        <v>100</v>
      </c>
      <c r="I10" s="86">
        <v>100</v>
      </c>
      <c r="J10" s="21">
        <f t="shared" si="0"/>
        <v>10000</v>
      </c>
      <c r="K10" s="7"/>
      <c r="M10" s="190" t="s">
        <v>19</v>
      </c>
      <c r="N10" s="182">
        <f>SUM(N4:N9)</f>
        <v>123</v>
      </c>
      <c r="O10" s="182">
        <f>SUM(O4:O9)</f>
        <v>110</v>
      </c>
      <c r="P10" s="182">
        <f>SUM(P4:P9)</f>
        <v>13</v>
      </c>
      <c r="Q10" s="182">
        <f>SUM(Q4:Q9)</f>
        <v>0</v>
      </c>
      <c r="R10" s="178">
        <f t="shared" si="2"/>
        <v>0.89430894308943087</v>
      </c>
      <c r="V10" s="5">
        <f>IF($J104&gt;0,1,0)</f>
        <v>1</v>
      </c>
      <c r="W10" s="5">
        <f>IF($J104&lt;0,1,0)</f>
        <v>0</v>
      </c>
    </row>
    <row r="11" spans="1:23" ht="15.75" customHeight="1" thickBot="1" x14ac:dyDescent="0.35">
      <c r="A11" s="6"/>
      <c r="B11" s="17">
        <v>6</v>
      </c>
      <c r="C11" s="85">
        <v>44258</v>
      </c>
      <c r="D11" s="86" t="s">
        <v>18</v>
      </c>
      <c r="E11" s="86" t="s">
        <v>260</v>
      </c>
      <c r="F11" s="86">
        <v>140</v>
      </c>
      <c r="G11" s="86">
        <v>240</v>
      </c>
      <c r="H11" s="87">
        <v>100</v>
      </c>
      <c r="I11" s="86">
        <v>100</v>
      </c>
      <c r="J11" s="21">
        <f t="shared" si="0"/>
        <v>10000</v>
      </c>
      <c r="K11" s="7"/>
      <c r="M11" s="191"/>
      <c r="N11" s="183"/>
      <c r="O11" s="183"/>
      <c r="P11" s="183"/>
      <c r="Q11" s="183"/>
      <c r="R11" s="179"/>
      <c r="V11" s="5">
        <f>IF($J105&gt;0,1,0)</f>
        <v>1</v>
      </c>
      <c r="W11" s="5">
        <f>IF($J105&lt;0,1,0)</f>
        <v>0</v>
      </c>
    </row>
    <row r="12" spans="1:23" ht="15" customHeight="1" x14ac:dyDescent="0.3">
      <c r="A12" s="6"/>
      <c r="B12" s="17">
        <v>7</v>
      </c>
      <c r="C12" s="85">
        <v>44259</v>
      </c>
      <c r="D12" s="86" t="s">
        <v>18</v>
      </c>
      <c r="E12" s="86" t="s">
        <v>278</v>
      </c>
      <c r="F12" s="86">
        <v>130</v>
      </c>
      <c r="G12" s="86">
        <v>230</v>
      </c>
      <c r="H12" s="87">
        <v>100</v>
      </c>
      <c r="I12" s="86">
        <v>100</v>
      </c>
      <c r="J12" s="21">
        <f t="shared" si="0"/>
        <v>10000</v>
      </c>
      <c r="K12" s="7"/>
      <c r="M12" s="126" t="s">
        <v>20</v>
      </c>
      <c r="N12" s="127"/>
      <c r="O12" s="128"/>
      <c r="P12" s="135">
        <f>R10</f>
        <v>0.89430894308943087</v>
      </c>
      <c r="Q12" s="136"/>
      <c r="R12" s="137"/>
      <c r="V12" s="5">
        <f>IF($J106&gt;0,1,0)</f>
        <v>1</v>
      </c>
      <c r="W12" s="5">
        <f>IF($J106&lt;0,1,0)</f>
        <v>0</v>
      </c>
    </row>
    <row r="13" spans="1:23" ht="15" customHeight="1" x14ac:dyDescent="0.3">
      <c r="A13" s="6"/>
      <c r="B13" s="17">
        <v>8</v>
      </c>
      <c r="C13" s="85">
        <v>44259</v>
      </c>
      <c r="D13" s="86" t="s">
        <v>18</v>
      </c>
      <c r="E13" s="86" t="s">
        <v>252</v>
      </c>
      <c r="F13" s="86">
        <v>60</v>
      </c>
      <c r="G13" s="86">
        <v>10</v>
      </c>
      <c r="H13" s="87">
        <v>-50</v>
      </c>
      <c r="I13" s="86">
        <v>100</v>
      </c>
      <c r="J13" s="21">
        <f t="shared" si="0"/>
        <v>-5000</v>
      </c>
      <c r="K13" s="7"/>
      <c r="M13" s="129"/>
      <c r="N13" s="130"/>
      <c r="O13" s="131"/>
      <c r="P13" s="138"/>
      <c r="Q13" s="139"/>
      <c r="R13" s="140"/>
      <c r="V13" s="5">
        <f t="shared" ref="V13:V15" si="3">IF($J11&gt;0,1,0)</f>
        <v>1</v>
      </c>
      <c r="W13" s="5">
        <f t="shared" ref="W13:W15" si="4">IF($J11&lt;0,1,0)</f>
        <v>0</v>
      </c>
    </row>
    <row r="14" spans="1:23" ht="15.75" customHeight="1" thickBot="1" x14ac:dyDescent="0.35">
      <c r="A14" s="6"/>
      <c r="B14" s="17">
        <v>9</v>
      </c>
      <c r="C14" s="85">
        <v>44260</v>
      </c>
      <c r="D14" s="86" t="s">
        <v>18</v>
      </c>
      <c r="E14" s="86" t="s">
        <v>293</v>
      </c>
      <c r="F14" s="86">
        <v>180</v>
      </c>
      <c r="G14" s="86">
        <v>200</v>
      </c>
      <c r="H14" s="87">
        <v>20</v>
      </c>
      <c r="I14" s="86">
        <v>100</v>
      </c>
      <c r="J14" s="21">
        <f t="shared" si="0"/>
        <v>2000</v>
      </c>
      <c r="K14" s="7"/>
      <c r="M14" s="132"/>
      <c r="N14" s="133"/>
      <c r="O14" s="134"/>
      <c r="P14" s="141"/>
      <c r="Q14" s="142"/>
      <c r="R14" s="143"/>
      <c r="V14" s="5">
        <f t="shared" si="3"/>
        <v>1</v>
      </c>
      <c r="W14" s="5">
        <f t="shared" si="4"/>
        <v>0</v>
      </c>
    </row>
    <row r="15" spans="1:23" x14ac:dyDescent="0.3">
      <c r="A15" s="6"/>
      <c r="B15" s="17">
        <v>10</v>
      </c>
      <c r="C15" s="85">
        <v>44263</v>
      </c>
      <c r="D15" s="86" t="s">
        <v>18</v>
      </c>
      <c r="E15" s="86" t="s">
        <v>298</v>
      </c>
      <c r="F15" s="86">
        <v>180</v>
      </c>
      <c r="G15" s="86">
        <v>190</v>
      </c>
      <c r="H15" s="87">
        <v>10</v>
      </c>
      <c r="I15" s="86">
        <v>100</v>
      </c>
      <c r="J15" s="21">
        <f t="shared" si="0"/>
        <v>1000</v>
      </c>
      <c r="K15" s="7"/>
      <c r="M15" s="21"/>
      <c r="V15" s="5">
        <f t="shared" si="3"/>
        <v>0</v>
      </c>
      <c r="W15" s="5">
        <f t="shared" si="4"/>
        <v>1</v>
      </c>
    </row>
    <row r="16" spans="1:23" x14ac:dyDescent="0.3">
      <c r="A16" s="6"/>
      <c r="B16" s="17">
        <v>11</v>
      </c>
      <c r="C16" s="18">
        <v>44263</v>
      </c>
      <c r="D16" s="19" t="s">
        <v>18</v>
      </c>
      <c r="E16" s="19" t="s">
        <v>298</v>
      </c>
      <c r="F16" s="35">
        <v>160</v>
      </c>
      <c r="G16" s="35">
        <v>188</v>
      </c>
      <c r="H16" s="35">
        <v>28</v>
      </c>
      <c r="I16" s="20">
        <v>100</v>
      </c>
      <c r="J16" s="21">
        <f t="shared" si="0"/>
        <v>2800</v>
      </c>
      <c r="K16" s="7"/>
      <c r="V16" s="5">
        <f t="shared" ref="V16" si="5">IF($J16&gt;0,1,0)</f>
        <v>1</v>
      </c>
      <c r="W16" s="5">
        <f t="shared" ref="W16" si="6">IF($J16&lt;0,1,0)</f>
        <v>0</v>
      </c>
    </row>
    <row r="17" spans="1:23" x14ac:dyDescent="0.3">
      <c r="A17" s="6"/>
      <c r="B17" s="17">
        <v>12</v>
      </c>
      <c r="C17" s="18">
        <v>44264</v>
      </c>
      <c r="D17" s="19" t="s">
        <v>18</v>
      </c>
      <c r="E17" s="19" t="s">
        <v>299</v>
      </c>
      <c r="F17" s="35">
        <v>160</v>
      </c>
      <c r="G17" s="35">
        <v>260</v>
      </c>
      <c r="H17" s="35">
        <v>100</v>
      </c>
      <c r="I17" s="20">
        <v>100</v>
      </c>
      <c r="J17" s="21">
        <f t="shared" si="0"/>
        <v>10000</v>
      </c>
      <c r="K17" s="7"/>
      <c r="V17" s="5">
        <f>IF($J17&gt;0,1,0)</f>
        <v>1</v>
      </c>
      <c r="W17" s="5">
        <f>IF($J17&lt;0,1,0)</f>
        <v>0</v>
      </c>
    </row>
    <row r="18" spans="1:23" hidden="1" x14ac:dyDescent="0.3">
      <c r="A18" s="6"/>
      <c r="B18" s="17">
        <v>13</v>
      </c>
      <c r="C18" s="18"/>
      <c r="D18" s="19"/>
      <c r="E18" s="19"/>
      <c r="F18" s="35"/>
      <c r="G18" s="35"/>
      <c r="H18" s="35"/>
      <c r="I18" s="20"/>
      <c r="J18" s="21">
        <f t="shared" si="0"/>
        <v>0</v>
      </c>
      <c r="K18" s="7"/>
      <c r="V18" s="5">
        <f t="shared" ref="V18:V93" si="7">IF($J18&gt;0,1,0)</f>
        <v>0</v>
      </c>
      <c r="W18" s="5">
        <f t="shared" ref="W18:W94" si="8">IF($J18&lt;0,1,0)</f>
        <v>0</v>
      </c>
    </row>
    <row r="19" spans="1:23" hidden="1" x14ac:dyDescent="0.3">
      <c r="A19" s="6"/>
      <c r="B19" s="17">
        <v>14</v>
      </c>
      <c r="C19" s="18"/>
      <c r="D19" s="19"/>
      <c r="E19" s="19"/>
      <c r="F19" s="35"/>
      <c r="G19" s="35"/>
      <c r="H19" s="35"/>
      <c r="I19" s="20"/>
      <c r="J19" s="21">
        <f t="shared" si="0"/>
        <v>0</v>
      </c>
      <c r="K19" s="7"/>
      <c r="V19" s="5">
        <f t="shared" si="7"/>
        <v>0</v>
      </c>
      <c r="W19" s="5">
        <f t="shared" si="8"/>
        <v>0</v>
      </c>
    </row>
    <row r="20" spans="1:23" hidden="1" x14ac:dyDescent="0.3">
      <c r="A20" s="6"/>
      <c r="B20" s="17">
        <v>15</v>
      </c>
      <c r="C20" s="18"/>
      <c r="D20" s="19"/>
      <c r="E20" s="19"/>
      <c r="F20" s="35"/>
      <c r="G20" s="35"/>
      <c r="H20" s="35"/>
      <c r="I20" s="20"/>
      <c r="J20" s="21">
        <f t="shared" si="0"/>
        <v>0</v>
      </c>
      <c r="K20" s="7"/>
      <c r="V20" s="5">
        <f t="shared" si="7"/>
        <v>0</v>
      </c>
      <c r="W20" s="5">
        <f t="shared" si="8"/>
        <v>0</v>
      </c>
    </row>
    <row r="21" spans="1:23" hidden="1" x14ac:dyDescent="0.3">
      <c r="A21" s="6"/>
      <c r="B21" s="17">
        <v>16</v>
      </c>
      <c r="C21" s="18"/>
      <c r="D21" s="19"/>
      <c r="E21" s="19"/>
      <c r="F21" s="35"/>
      <c r="G21" s="35"/>
      <c r="H21" s="35"/>
      <c r="I21" s="20"/>
      <c r="J21" s="21">
        <f t="shared" si="0"/>
        <v>0</v>
      </c>
      <c r="K21" s="7"/>
      <c r="O21" s="22"/>
      <c r="P21" s="22"/>
      <c r="Q21" s="22"/>
      <c r="R21" s="22"/>
      <c r="V21" s="5">
        <f t="shared" si="7"/>
        <v>0</v>
      </c>
      <c r="W21" s="5">
        <f t="shared" si="8"/>
        <v>0</v>
      </c>
    </row>
    <row r="22" spans="1:23" hidden="1" x14ac:dyDescent="0.3">
      <c r="A22" s="6"/>
      <c r="B22" s="17">
        <v>17</v>
      </c>
      <c r="C22" s="18"/>
      <c r="D22" s="19"/>
      <c r="E22" s="19"/>
      <c r="F22" s="35"/>
      <c r="G22" s="35"/>
      <c r="H22" s="35"/>
      <c r="I22" s="20"/>
      <c r="J22" s="21">
        <f t="shared" si="0"/>
        <v>0</v>
      </c>
      <c r="K22" s="7"/>
      <c r="V22" s="5">
        <f t="shared" si="7"/>
        <v>0</v>
      </c>
      <c r="W22" s="5">
        <f t="shared" si="8"/>
        <v>0</v>
      </c>
    </row>
    <row r="23" spans="1:23" hidden="1" x14ac:dyDescent="0.3">
      <c r="A23" s="6"/>
      <c r="B23" s="17">
        <v>18</v>
      </c>
      <c r="C23" s="18"/>
      <c r="D23" s="19"/>
      <c r="E23" s="19"/>
      <c r="F23" s="35"/>
      <c r="G23" s="35"/>
      <c r="H23" s="35"/>
      <c r="I23" s="20"/>
      <c r="J23" s="21">
        <f t="shared" si="0"/>
        <v>0</v>
      </c>
      <c r="K23" s="7"/>
      <c r="V23" s="5">
        <f t="shared" si="7"/>
        <v>0</v>
      </c>
      <c r="W23" s="5">
        <f t="shared" si="8"/>
        <v>0</v>
      </c>
    </row>
    <row r="24" spans="1:23" hidden="1" x14ac:dyDescent="0.3">
      <c r="A24" s="6"/>
      <c r="B24" s="17">
        <v>19</v>
      </c>
      <c r="C24" s="18"/>
      <c r="D24" s="19"/>
      <c r="E24" s="19"/>
      <c r="F24" s="35"/>
      <c r="G24" s="35"/>
      <c r="H24" s="35"/>
      <c r="I24" s="20"/>
      <c r="J24" s="21">
        <f t="shared" si="0"/>
        <v>0</v>
      </c>
      <c r="K24" s="7"/>
      <c r="V24" s="5">
        <f t="shared" si="7"/>
        <v>0</v>
      </c>
      <c r="W24" s="5">
        <f t="shared" si="8"/>
        <v>0</v>
      </c>
    </row>
    <row r="25" spans="1:23" hidden="1" x14ac:dyDescent="0.3">
      <c r="A25" s="6"/>
      <c r="B25" s="17">
        <v>20</v>
      </c>
      <c r="C25" s="18"/>
      <c r="D25" s="19"/>
      <c r="E25" s="19"/>
      <c r="F25" s="35"/>
      <c r="G25" s="35"/>
      <c r="H25" s="35"/>
      <c r="I25" s="20"/>
      <c r="J25" s="21">
        <f t="shared" si="0"/>
        <v>0</v>
      </c>
      <c r="K25" s="7"/>
      <c r="V25" s="5">
        <f t="shared" si="7"/>
        <v>0</v>
      </c>
      <c r="W25" s="5">
        <f t="shared" si="8"/>
        <v>0</v>
      </c>
    </row>
    <row r="26" spans="1:23" hidden="1" x14ac:dyDescent="0.3">
      <c r="A26" s="6"/>
      <c r="B26" s="17">
        <v>21</v>
      </c>
      <c r="C26" s="18"/>
      <c r="D26" s="19"/>
      <c r="E26" s="19"/>
      <c r="F26" s="35"/>
      <c r="G26" s="35"/>
      <c r="H26" s="35"/>
      <c r="I26" s="20"/>
      <c r="J26" s="21">
        <f t="shared" si="0"/>
        <v>0</v>
      </c>
      <c r="K26" s="7"/>
      <c r="V26" s="5">
        <f t="shared" si="7"/>
        <v>0</v>
      </c>
      <c r="W26" s="5">
        <f t="shared" si="8"/>
        <v>0</v>
      </c>
    </row>
    <row r="27" spans="1:23" hidden="1" x14ac:dyDescent="0.3">
      <c r="A27" s="6"/>
      <c r="B27" s="17">
        <v>22</v>
      </c>
      <c r="C27" s="18"/>
      <c r="D27" s="19"/>
      <c r="E27" s="19"/>
      <c r="F27" s="35"/>
      <c r="G27" s="35"/>
      <c r="H27" s="19"/>
      <c r="I27" s="20"/>
      <c r="J27" s="21">
        <f t="shared" si="0"/>
        <v>0</v>
      </c>
      <c r="K27" s="7"/>
      <c r="V27" s="5">
        <f t="shared" si="7"/>
        <v>0</v>
      </c>
      <c r="W27" s="5">
        <f t="shared" si="8"/>
        <v>0</v>
      </c>
    </row>
    <row r="28" spans="1:23" hidden="1" x14ac:dyDescent="0.3">
      <c r="A28" s="6"/>
      <c r="B28" s="17">
        <v>23</v>
      </c>
      <c r="C28" s="18"/>
      <c r="D28" s="19"/>
      <c r="E28" s="19"/>
      <c r="F28" s="35"/>
      <c r="G28" s="35"/>
      <c r="H28" s="19"/>
      <c r="I28" s="20"/>
      <c r="J28" s="21">
        <f t="shared" si="0"/>
        <v>0</v>
      </c>
      <c r="K28" s="7"/>
      <c r="V28" s="5">
        <f t="shared" si="7"/>
        <v>0</v>
      </c>
      <c r="W28" s="5">
        <f t="shared" si="8"/>
        <v>0</v>
      </c>
    </row>
    <row r="29" spans="1:23" hidden="1" x14ac:dyDescent="0.3">
      <c r="A29" s="6"/>
      <c r="B29" s="17">
        <v>24</v>
      </c>
      <c r="C29" s="18"/>
      <c r="D29" s="19"/>
      <c r="E29" s="19"/>
      <c r="F29" s="20"/>
      <c r="G29" s="20"/>
      <c r="H29" s="19"/>
      <c r="I29" s="20"/>
      <c r="J29" s="21">
        <f t="shared" si="0"/>
        <v>0</v>
      </c>
      <c r="K29" s="7"/>
      <c r="V29" s="5">
        <f t="shared" si="7"/>
        <v>0</v>
      </c>
      <c r="W29" s="5">
        <f t="shared" si="8"/>
        <v>0</v>
      </c>
    </row>
    <row r="30" spans="1:23" x14ac:dyDescent="0.3">
      <c r="A30" s="6"/>
      <c r="B30" s="17">
        <v>25</v>
      </c>
      <c r="C30" s="24">
        <v>44264</v>
      </c>
      <c r="D30" s="25" t="s">
        <v>18</v>
      </c>
      <c r="E30" s="25" t="s">
        <v>300</v>
      </c>
      <c r="F30" s="26">
        <v>170</v>
      </c>
      <c r="G30" s="61">
        <v>237</v>
      </c>
      <c r="H30" s="61">
        <v>67</v>
      </c>
      <c r="I30" s="26">
        <v>100</v>
      </c>
      <c r="J30" s="21">
        <f t="shared" si="0"/>
        <v>6700</v>
      </c>
      <c r="K30" s="7"/>
      <c r="V30" s="5">
        <f t="shared" si="7"/>
        <v>1</v>
      </c>
      <c r="W30" s="5">
        <f t="shared" si="8"/>
        <v>0</v>
      </c>
    </row>
    <row r="31" spans="1:23" x14ac:dyDescent="0.3">
      <c r="A31" s="6"/>
      <c r="B31" s="17">
        <v>26</v>
      </c>
      <c r="C31" s="24">
        <v>44265</v>
      </c>
      <c r="D31" s="25" t="s">
        <v>18</v>
      </c>
      <c r="E31" s="25" t="s">
        <v>298</v>
      </c>
      <c r="F31" s="26">
        <v>110</v>
      </c>
      <c r="G31" s="61">
        <v>60</v>
      </c>
      <c r="H31" s="61">
        <v>-50</v>
      </c>
      <c r="I31" s="26">
        <v>100</v>
      </c>
      <c r="J31" s="21">
        <f t="shared" si="0"/>
        <v>-5000</v>
      </c>
      <c r="K31" s="7"/>
      <c r="V31" s="5">
        <f t="shared" si="7"/>
        <v>0</v>
      </c>
      <c r="W31" s="5">
        <f t="shared" si="8"/>
        <v>1</v>
      </c>
    </row>
    <row r="32" spans="1:23" x14ac:dyDescent="0.3">
      <c r="A32" s="6"/>
      <c r="B32" s="17">
        <v>27</v>
      </c>
      <c r="C32" s="24">
        <v>44265</v>
      </c>
      <c r="D32" s="25" t="s">
        <v>18</v>
      </c>
      <c r="E32" s="25" t="s">
        <v>273</v>
      </c>
      <c r="F32" s="26">
        <v>90</v>
      </c>
      <c r="G32" s="61">
        <v>153</v>
      </c>
      <c r="H32" s="61">
        <v>63</v>
      </c>
      <c r="I32" s="26">
        <v>100</v>
      </c>
      <c r="J32" s="21">
        <f t="shared" si="0"/>
        <v>6300</v>
      </c>
      <c r="K32" s="7"/>
      <c r="V32" s="5">
        <f t="shared" si="7"/>
        <v>1</v>
      </c>
      <c r="W32" s="5">
        <f t="shared" si="8"/>
        <v>0</v>
      </c>
    </row>
    <row r="33" spans="1:23" x14ac:dyDescent="0.3">
      <c r="A33" s="6"/>
      <c r="B33" s="17">
        <v>28</v>
      </c>
      <c r="C33" s="24">
        <v>44267</v>
      </c>
      <c r="D33" s="25" t="s">
        <v>18</v>
      </c>
      <c r="E33" s="25" t="s">
        <v>266</v>
      </c>
      <c r="F33" s="26">
        <v>180</v>
      </c>
      <c r="G33" s="61">
        <v>130</v>
      </c>
      <c r="H33" s="61">
        <v>-50</v>
      </c>
      <c r="I33" s="26">
        <v>100</v>
      </c>
      <c r="J33" s="21">
        <f t="shared" si="0"/>
        <v>-5000</v>
      </c>
      <c r="K33" s="7"/>
      <c r="V33" s="5">
        <f t="shared" si="7"/>
        <v>0</v>
      </c>
      <c r="W33" s="5">
        <f t="shared" si="8"/>
        <v>1</v>
      </c>
    </row>
    <row r="34" spans="1:23" x14ac:dyDescent="0.3">
      <c r="A34" s="6"/>
      <c r="B34" s="17">
        <v>29</v>
      </c>
      <c r="C34" s="24">
        <v>44267</v>
      </c>
      <c r="D34" s="25" t="s">
        <v>18</v>
      </c>
      <c r="E34" s="25" t="s">
        <v>289</v>
      </c>
      <c r="F34" s="26">
        <v>170</v>
      </c>
      <c r="G34" s="61">
        <v>120</v>
      </c>
      <c r="H34" s="61">
        <v>-50</v>
      </c>
      <c r="I34" s="26">
        <v>100</v>
      </c>
      <c r="J34" s="21">
        <f t="shared" si="0"/>
        <v>-5000</v>
      </c>
      <c r="K34" s="7"/>
      <c r="V34" s="5">
        <f t="shared" si="7"/>
        <v>0</v>
      </c>
      <c r="W34" s="5">
        <f t="shared" si="8"/>
        <v>1</v>
      </c>
    </row>
    <row r="35" spans="1:23" x14ac:dyDescent="0.3">
      <c r="A35" s="6"/>
      <c r="B35" s="17">
        <v>30</v>
      </c>
      <c r="C35" s="24">
        <v>44270</v>
      </c>
      <c r="D35" s="25" t="s">
        <v>18</v>
      </c>
      <c r="E35" s="25" t="s">
        <v>289</v>
      </c>
      <c r="F35" s="26">
        <v>200</v>
      </c>
      <c r="G35" s="61">
        <v>300</v>
      </c>
      <c r="H35" s="61">
        <v>100</v>
      </c>
      <c r="I35" s="26">
        <v>100</v>
      </c>
      <c r="J35" s="21">
        <f t="shared" si="0"/>
        <v>10000</v>
      </c>
      <c r="K35" s="7"/>
      <c r="V35" s="5">
        <f t="shared" si="7"/>
        <v>1</v>
      </c>
      <c r="W35" s="5">
        <f t="shared" si="8"/>
        <v>0</v>
      </c>
    </row>
    <row r="36" spans="1:23" x14ac:dyDescent="0.3">
      <c r="A36" s="6"/>
      <c r="B36" s="17">
        <v>31</v>
      </c>
      <c r="C36" s="24">
        <v>44270</v>
      </c>
      <c r="D36" s="25" t="s">
        <v>18</v>
      </c>
      <c r="E36" s="25" t="s">
        <v>293</v>
      </c>
      <c r="F36" s="26">
        <v>160</v>
      </c>
      <c r="G36" s="61">
        <v>196</v>
      </c>
      <c r="H36" s="61">
        <v>36</v>
      </c>
      <c r="I36" s="26">
        <v>100</v>
      </c>
      <c r="J36" s="21">
        <f t="shared" si="0"/>
        <v>3600</v>
      </c>
      <c r="K36" s="7"/>
      <c r="V36" s="5">
        <f t="shared" si="7"/>
        <v>1</v>
      </c>
      <c r="W36" s="5">
        <f t="shared" si="8"/>
        <v>0</v>
      </c>
    </row>
    <row r="37" spans="1:23" x14ac:dyDescent="0.3">
      <c r="A37" s="6"/>
      <c r="B37" s="17">
        <v>32</v>
      </c>
      <c r="C37" s="24">
        <v>44271</v>
      </c>
      <c r="D37" s="25" t="s">
        <v>18</v>
      </c>
      <c r="E37" s="25" t="s">
        <v>240</v>
      </c>
      <c r="F37" s="26">
        <v>140</v>
      </c>
      <c r="G37" s="61">
        <v>180</v>
      </c>
      <c r="H37" s="61">
        <v>40</v>
      </c>
      <c r="I37" s="26">
        <v>100</v>
      </c>
      <c r="J37" s="21">
        <f t="shared" si="0"/>
        <v>4000</v>
      </c>
      <c r="K37" s="7"/>
      <c r="V37" s="5">
        <f t="shared" si="7"/>
        <v>1</v>
      </c>
      <c r="W37" s="5">
        <f t="shared" si="8"/>
        <v>0</v>
      </c>
    </row>
    <row r="38" spans="1:23" x14ac:dyDescent="0.3">
      <c r="A38" s="6"/>
      <c r="B38" s="17">
        <v>33</v>
      </c>
      <c r="C38" s="24">
        <v>44271</v>
      </c>
      <c r="D38" s="25" t="s">
        <v>18</v>
      </c>
      <c r="E38" s="25" t="s">
        <v>274</v>
      </c>
      <c r="F38" s="26">
        <v>160</v>
      </c>
      <c r="G38" s="61">
        <v>230</v>
      </c>
      <c r="H38" s="61">
        <v>70</v>
      </c>
      <c r="I38" s="26">
        <v>100</v>
      </c>
      <c r="J38" s="21">
        <f t="shared" si="0"/>
        <v>7000</v>
      </c>
      <c r="K38" s="7"/>
      <c r="V38" s="5">
        <f t="shared" si="7"/>
        <v>1</v>
      </c>
      <c r="W38" s="5">
        <f t="shared" si="8"/>
        <v>0</v>
      </c>
    </row>
    <row r="39" spans="1:23" x14ac:dyDescent="0.3">
      <c r="A39" s="6"/>
      <c r="B39" s="17">
        <v>34</v>
      </c>
      <c r="C39" s="24">
        <v>44272</v>
      </c>
      <c r="D39" s="25" t="s">
        <v>18</v>
      </c>
      <c r="E39" s="25" t="s">
        <v>306</v>
      </c>
      <c r="F39" s="26">
        <v>180</v>
      </c>
      <c r="G39" s="61">
        <v>280</v>
      </c>
      <c r="H39" s="61">
        <v>100</v>
      </c>
      <c r="I39" s="26">
        <v>100</v>
      </c>
      <c r="J39" s="21">
        <f t="shared" si="0"/>
        <v>10000</v>
      </c>
      <c r="K39" s="7"/>
      <c r="V39" s="5">
        <f t="shared" si="7"/>
        <v>1</v>
      </c>
      <c r="W39" s="5">
        <f t="shared" si="8"/>
        <v>0</v>
      </c>
    </row>
    <row r="40" spans="1:23" x14ac:dyDescent="0.3">
      <c r="A40" s="6"/>
      <c r="B40" s="17">
        <v>35</v>
      </c>
      <c r="C40" s="24">
        <v>44272</v>
      </c>
      <c r="D40" s="25" t="s">
        <v>18</v>
      </c>
      <c r="E40" s="25" t="s">
        <v>307</v>
      </c>
      <c r="F40" s="26">
        <v>180</v>
      </c>
      <c r="G40" s="61">
        <v>274</v>
      </c>
      <c r="H40" s="61">
        <v>94</v>
      </c>
      <c r="I40" s="26">
        <v>100</v>
      </c>
      <c r="J40" s="21">
        <f t="shared" si="0"/>
        <v>9400</v>
      </c>
      <c r="K40" s="7"/>
      <c r="V40" s="5">
        <f t="shared" si="7"/>
        <v>1</v>
      </c>
      <c r="W40" s="5">
        <f t="shared" si="8"/>
        <v>0</v>
      </c>
    </row>
    <row r="41" spans="1:23" x14ac:dyDescent="0.3">
      <c r="A41" s="6"/>
      <c r="B41" s="17">
        <v>36</v>
      </c>
      <c r="C41" s="24">
        <v>44273</v>
      </c>
      <c r="D41" s="25" t="s">
        <v>18</v>
      </c>
      <c r="E41" s="25" t="s">
        <v>307</v>
      </c>
      <c r="F41" s="26">
        <v>110</v>
      </c>
      <c r="G41" s="61">
        <v>208</v>
      </c>
      <c r="H41" s="61">
        <v>98</v>
      </c>
      <c r="I41" s="26">
        <v>100</v>
      </c>
      <c r="J41" s="21">
        <f t="shared" si="0"/>
        <v>9800</v>
      </c>
      <c r="K41" s="7"/>
      <c r="V41" s="5">
        <f t="shared" si="7"/>
        <v>1</v>
      </c>
      <c r="W41" s="5">
        <f t="shared" si="8"/>
        <v>0</v>
      </c>
    </row>
    <row r="42" spans="1:23" x14ac:dyDescent="0.3">
      <c r="A42" s="6"/>
      <c r="B42" s="17">
        <v>37</v>
      </c>
      <c r="C42" s="24">
        <v>44273</v>
      </c>
      <c r="D42" s="25" t="s">
        <v>18</v>
      </c>
      <c r="E42" s="25" t="s">
        <v>308</v>
      </c>
      <c r="F42" s="26">
        <v>150</v>
      </c>
      <c r="G42" s="61">
        <v>250</v>
      </c>
      <c r="H42" s="61">
        <v>100</v>
      </c>
      <c r="I42" s="26">
        <v>100</v>
      </c>
      <c r="J42" s="21">
        <f t="shared" si="0"/>
        <v>10000</v>
      </c>
      <c r="K42" s="7"/>
      <c r="V42" s="5">
        <f t="shared" si="7"/>
        <v>1</v>
      </c>
      <c r="W42" s="5">
        <f t="shared" si="8"/>
        <v>0</v>
      </c>
    </row>
    <row r="43" spans="1:23" x14ac:dyDescent="0.3">
      <c r="A43" s="6"/>
      <c r="B43" s="17">
        <v>38</v>
      </c>
      <c r="C43" s="24">
        <v>44274</v>
      </c>
      <c r="D43" s="25" t="s">
        <v>18</v>
      </c>
      <c r="E43" s="25" t="s">
        <v>195</v>
      </c>
      <c r="F43" s="26">
        <v>170</v>
      </c>
      <c r="G43" s="61">
        <v>120</v>
      </c>
      <c r="H43" s="61">
        <v>-50</v>
      </c>
      <c r="I43" s="26">
        <v>100</v>
      </c>
      <c r="J43" s="21">
        <f t="shared" si="0"/>
        <v>-5000</v>
      </c>
      <c r="K43" s="7"/>
      <c r="V43" s="5">
        <f t="shared" si="7"/>
        <v>0</v>
      </c>
      <c r="W43" s="5">
        <f t="shared" si="8"/>
        <v>1</v>
      </c>
    </row>
    <row r="44" spans="1:23" x14ac:dyDescent="0.3">
      <c r="A44" s="6"/>
      <c r="B44" s="17">
        <v>39</v>
      </c>
      <c r="C44" s="24">
        <v>44274</v>
      </c>
      <c r="D44" s="25" t="s">
        <v>18</v>
      </c>
      <c r="E44" s="25" t="s">
        <v>195</v>
      </c>
      <c r="F44" s="26">
        <v>170</v>
      </c>
      <c r="G44" s="61">
        <v>195</v>
      </c>
      <c r="H44" s="61">
        <v>25</v>
      </c>
      <c r="I44" s="26">
        <v>100</v>
      </c>
      <c r="J44" s="21">
        <f t="shared" si="0"/>
        <v>2500</v>
      </c>
      <c r="K44" s="7"/>
      <c r="V44" s="5">
        <f t="shared" si="7"/>
        <v>1</v>
      </c>
      <c r="W44" s="5">
        <f t="shared" si="8"/>
        <v>0</v>
      </c>
    </row>
    <row r="45" spans="1:23" x14ac:dyDescent="0.3">
      <c r="A45" s="6"/>
      <c r="B45" s="17">
        <v>40</v>
      </c>
      <c r="C45" s="24">
        <v>44277</v>
      </c>
      <c r="D45" s="25" t="s">
        <v>18</v>
      </c>
      <c r="E45" s="25" t="s">
        <v>316</v>
      </c>
      <c r="F45" s="26">
        <v>140</v>
      </c>
      <c r="G45" s="61">
        <v>204</v>
      </c>
      <c r="H45" s="61">
        <v>64</v>
      </c>
      <c r="I45" s="26">
        <v>100</v>
      </c>
      <c r="J45" s="21">
        <f t="shared" si="0"/>
        <v>6400</v>
      </c>
      <c r="K45" s="7"/>
      <c r="V45" s="5">
        <f t="shared" si="7"/>
        <v>1</v>
      </c>
      <c r="W45" s="5">
        <f t="shared" si="8"/>
        <v>0</v>
      </c>
    </row>
    <row r="46" spans="1:23" x14ac:dyDescent="0.3">
      <c r="A46" s="6"/>
      <c r="B46" s="17">
        <v>41</v>
      </c>
      <c r="C46" s="24">
        <v>44277</v>
      </c>
      <c r="D46" s="25" t="s">
        <v>18</v>
      </c>
      <c r="E46" s="25" t="s">
        <v>208</v>
      </c>
      <c r="F46" s="26">
        <v>180</v>
      </c>
      <c r="G46" s="61">
        <v>230</v>
      </c>
      <c r="H46" s="61">
        <v>50</v>
      </c>
      <c r="I46" s="26">
        <v>100</v>
      </c>
      <c r="J46" s="21">
        <f t="shared" si="0"/>
        <v>5000</v>
      </c>
      <c r="K46" s="7"/>
    </row>
    <row r="47" spans="1:23" x14ac:dyDescent="0.3">
      <c r="A47" s="6"/>
      <c r="B47" s="17">
        <v>42</v>
      </c>
      <c r="C47" s="24">
        <v>44278</v>
      </c>
      <c r="D47" s="25" t="s">
        <v>18</v>
      </c>
      <c r="E47" s="25" t="s">
        <v>238</v>
      </c>
      <c r="F47" s="26">
        <v>170</v>
      </c>
      <c r="G47" s="61">
        <v>270</v>
      </c>
      <c r="H47" s="61">
        <v>100</v>
      </c>
      <c r="I47" s="26">
        <v>100</v>
      </c>
      <c r="J47" s="21">
        <f t="shared" si="0"/>
        <v>10000</v>
      </c>
      <c r="K47" s="7"/>
    </row>
    <row r="48" spans="1:23" x14ac:dyDescent="0.3">
      <c r="A48" s="6"/>
      <c r="B48" s="17">
        <v>43</v>
      </c>
      <c r="C48" s="24">
        <v>44278</v>
      </c>
      <c r="D48" s="25" t="s">
        <v>18</v>
      </c>
      <c r="E48" s="25" t="s">
        <v>262</v>
      </c>
      <c r="F48" s="26">
        <v>170</v>
      </c>
      <c r="G48" s="61">
        <v>270</v>
      </c>
      <c r="H48" s="61">
        <v>100</v>
      </c>
      <c r="I48" s="26">
        <v>100</v>
      </c>
      <c r="J48" s="21">
        <f t="shared" si="0"/>
        <v>10000</v>
      </c>
      <c r="K48" s="7"/>
    </row>
    <row r="49" spans="1:23" x14ac:dyDescent="0.3">
      <c r="A49" s="6"/>
      <c r="B49" s="17">
        <v>44</v>
      </c>
      <c r="C49" s="24">
        <v>44279</v>
      </c>
      <c r="D49" s="25" t="s">
        <v>18</v>
      </c>
      <c r="E49" s="25" t="s">
        <v>321</v>
      </c>
      <c r="F49" s="26">
        <v>140</v>
      </c>
      <c r="G49" s="61">
        <v>240</v>
      </c>
      <c r="H49" s="61">
        <v>100</v>
      </c>
      <c r="I49" s="26">
        <v>100</v>
      </c>
      <c r="J49" s="21">
        <f t="shared" si="0"/>
        <v>10000</v>
      </c>
      <c r="K49" s="7"/>
    </row>
    <row r="50" spans="1:23" x14ac:dyDescent="0.3">
      <c r="A50" s="6"/>
      <c r="B50" s="17">
        <v>45</v>
      </c>
      <c r="C50" s="24">
        <v>44279</v>
      </c>
      <c r="D50" s="25" t="s">
        <v>18</v>
      </c>
      <c r="E50" s="25" t="s">
        <v>322</v>
      </c>
      <c r="F50" s="26">
        <v>170</v>
      </c>
      <c r="G50" s="61">
        <v>120</v>
      </c>
      <c r="H50" s="61">
        <v>-50</v>
      </c>
      <c r="I50" s="26">
        <v>100</v>
      </c>
      <c r="J50" s="21">
        <f t="shared" si="0"/>
        <v>-5000</v>
      </c>
      <c r="K50" s="7"/>
    </row>
    <row r="51" spans="1:23" x14ac:dyDescent="0.3">
      <c r="A51" s="6"/>
      <c r="B51" s="17">
        <v>46</v>
      </c>
      <c r="C51" s="24">
        <v>44280</v>
      </c>
      <c r="D51" s="25" t="s">
        <v>18</v>
      </c>
      <c r="E51" s="25" t="s">
        <v>323</v>
      </c>
      <c r="F51" s="26">
        <v>140</v>
      </c>
      <c r="G51" s="61">
        <v>240</v>
      </c>
      <c r="H51" s="61">
        <v>100</v>
      </c>
      <c r="I51" s="26">
        <v>100</v>
      </c>
      <c r="J51" s="21">
        <f t="shared" si="0"/>
        <v>10000</v>
      </c>
      <c r="K51" s="7"/>
      <c r="V51" s="5">
        <f t="shared" si="7"/>
        <v>1</v>
      </c>
      <c r="W51" s="5">
        <f t="shared" si="8"/>
        <v>0</v>
      </c>
    </row>
    <row r="52" spans="1:23" x14ac:dyDescent="0.3">
      <c r="A52" s="6"/>
      <c r="B52" s="17">
        <v>47</v>
      </c>
      <c r="C52" s="24">
        <v>44280</v>
      </c>
      <c r="D52" s="25" t="s">
        <v>18</v>
      </c>
      <c r="E52" s="25" t="s">
        <v>324</v>
      </c>
      <c r="F52" s="26">
        <v>110</v>
      </c>
      <c r="G52" s="61">
        <v>127</v>
      </c>
      <c r="H52" s="61">
        <v>17</v>
      </c>
      <c r="I52" s="26">
        <v>100</v>
      </c>
      <c r="J52" s="21">
        <f t="shared" si="0"/>
        <v>1700</v>
      </c>
      <c r="K52" s="7"/>
    </row>
    <row r="53" spans="1:23" x14ac:dyDescent="0.3">
      <c r="A53" s="6"/>
      <c r="B53" s="17">
        <v>48</v>
      </c>
      <c r="C53" s="24">
        <v>44281</v>
      </c>
      <c r="D53" s="25" t="s">
        <v>18</v>
      </c>
      <c r="E53" s="25" t="s">
        <v>203</v>
      </c>
      <c r="F53" s="26">
        <v>150</v>
      </c>
      <c r="G53" s="61">
        <v>162</v>
      </c>
      <c r="H53" s="61">
        <v>12</v>
      </c>
      <c r="I53" s="26">
        <v>100</v>
      </c>
      <c r="J53" s="21">
        <f t="shared" si="0"/>
        <v>1200</v>
      </c>
      <c r="K53" s="7"/>
    </row>
    <row r="54" spans="1:23" x14ac:dyDescent="0.3">
      <c r="A54" s="6"/>
      <c r="B54" s="17">
        <v>49</v>
      </c>
      <c r="C54" s="24">
        <v>44285</v>
      </c>
      <c r="D54" s="25" t="s">
        <v>18</v>
      </c>
      <c r="E54" s="25" t="s">
        <v>238</v>
      </c>
      <c r="F54" s="26">
        <v>150</v>
      </c>
      <c r="G54" s="61">
        <v>172</v>
      </c>
      <c r="H54" s="61">
        <v>22</v>
      </c>
      <c r="I54" s="26">
        <v>100</v>
      </c>
      <c r="J54" s="21">
        <f t="shared" si="0"/>
        <v>2200</v>
      </c>
      <c r="K54" s="7"/>
    </row>
    <row r="55" spans="1:23" x14ac:dyDescent="0.3">
      <c r="A55" s="6"/>
      <c r="B55" s="17">
        <v>50</v>
      </c>
      <c r="C55" s="24">
        <v>44285</v>
      </c>
      <c r="D55" s="25" t="s">
        <v>18</v>
      </c>
      <c r="E55" s="25" t="s">
        <v>323</v>
      </c>
      <c r="F55" s="26">
        <v>150</v>
      </c>
      <c r="G55" s="61">
        <v>100</v>
      </c>
      <c r="H55" s="61">
        <v>-50</v>
      </c>
      <c r="I55" s="26">
        <v>100</v>
      </c>
      <c r="J55" s="21">
        <f t="shared" si="0"/>
        <v>-5000</v>
      </c>
      <c r="K55" s="7"/>
    </row>
    <row r="56" spans="1:23" x14ac:dyDescent="0.3">
      <c r="A56" s="6"/>
      <c r="B56" s="17">
        <v>51</v>
      </c>
      <c r="C56" s="24">
        <v>44286</v>
      </c>
      <c r="D56" s="25" t="s">
        <v>18</v>
      </c>
      <c r="E56" s="25" t="s">
        <v>322</v>
      </c>
      <c r="F56" s="26">
        <v>160</v>
      </c>
      <c r="G56" s="61">
        <v>260</v>
      </c>
      <c r="H56" s="61">
        <v>100</v>
      </c>
      <c r="I56" s="26">
        <v>100</v>
      </c>
      <c r="J56" s="21">
        <f t="shared" si="0"/>
        <v>10000</v>
      </c>
      <c r="K56" s="7"/>
    </row>
    <row r="57" spans="1:23" x14ac:dyDescent="0.3">
      <c r="A57" s="6"/>
      <c r="B57" s="17">
        <v>52</v>
      </c>
      <c r="C57" s="24">
        <v>44286</v>
      </c>
      <c r="D57" s="25" t="s">
        <v>18</v>
      </c>
      <c r="E57" s="25" t="s">
        <v>323</v>
      </c>
      <c r="F57" s="26">
        <v>140</v>
      </c>
      <c r="G57" s="61">
        <v>90</v>
      </c>
      <c r="H57" s="61">
        <v>-50</v>
      </c>
      <c r="I57" s="26">
        <v>100</v>
      </c>
      <c r="J57" s="21">
        <f t="shared" si="0"/>
        <v>-5000</v>
      </c>
      <c r="K57" s="7"/>
      <c r="V57" s="5">
        <f t="shared" si="7"/>
        <v>0</v>
      </c>
      <c r="W57" s="5">
        <f t="shared" si="8"/>
        <v>1</v>
      </c>
    </row>
    <row r="58" spans="1:23" x14ac:dyDescent="0.3">
      <c r="A58" s="6"/>
      <c r="B58" s="17">
        <v>53</v>
      </c>
      <c r="C58" s="24"/>
      <c r="D58" s="25"/>
      <c r="E58" s="25"/>
      <c r="F58" s="26"/>
      <c r="G58" s="61"/>
      <c r="H58" s="61"/>
      <c r="I58" s="26"/>
      <c r="J58" s="21">
        <f t="shared" si="0"/>
        <v>0</v>
      </c>
      <c r="K58" s="7"/>
      <c r="V58" s="5">
        <f t="shared" si="7"/>
        <v>0</v>
      </c>
      <c r="W58" s="5">
        <f t="shared" si="8"/>
        <v>0</v>
      </c>
    </row>
    <row r="59" spans="1:23" x14ac:dyDescent="0.3">
      <c r="A59" s="6"/>
      <c r="B59" s="17">
        <v>54</v>
      </c>
      <c r="C59" s="24"/>
      <c r="D59" s="25"/>
      <c r="E59" s="25"/>
      <c r="F59" s="26"/>
      <c r="G59" s="61"/>
      <c r="H59" s="61"/>
      <c r="I59" s="26"/>
      <c r="J59" s="21">
        <f t="shared" si="0"/>
        <v>0</v>
      </c>
      <c r="K59" s="7"/>
      <c r="V59" s="5">
        <f t="shared" si="7"/>
        <v>0</v>
      </c>
      <c r="W59" s="5">
        <f t="shared" si="8"/>
        <v>0</v>
      </c>
    </row>
    <row r="60" spans="1:23" x14ac:dyDescent="0.3">
      <c r="A60" s="6"/>
      <c r="B60" s="17">
        <v>55</v>
      </c>
      <c r="C60" s="24"/>
      <c r="D60" s="25"/>
      <c r="E60" s="25"/>
      <c r="F60" s="26"/>
      <c r="G60" s="61"/>
      <c r="H60" s="61"/>
      <c r="I60" s="26"/>
      <c r="J60" s="21">
        <f t="shared" si="0"/>
        <v>0</v>
      </c>
      <c r="K60" s="7"/>
      <c r="V60" s="5">
        <f t="shared" si="7"/>
        <v>0</v>
      </c>
      <c r="W60" s="5">
        <f t="shared" si="8"/>
        <v>0</v>
      </c>
    </row>
    <row r="61" spans="1:23" x14ac:dyDescent="0.3">
      <c r="A61" s="6"/>
      <c r="B61" s="17">
        <v>56</v>
      </c>
      <c r="C61" s="24"/>
      <c r="D61" s="25"/>
      <c r="E61" s="25"/>
      <c r="F61" s="26"/>
      <c r="G61" s="61"/>
      <c r="H61" s="61"/>
      <c r="I61" s="26"/>
      <c r="J61" s="21">
        <f t="shared" si="0"/>
        <v>0</v>
      </c>
      <c r="K61" s="7"/>
      <c r="V61" s="5">
        <f t="shared" si="7"/>
        <v>0</v>
      </c>
      <c r="W61" s="5">
        <f t="shared" si="8"/>
        <v>0</v>
      </c>
    </row>
    <row r="62" spans="1:23" ht="15" thickBot="1" x14ac:dyDescent="0.35">
      <c r="A62" s="6"/>
      <c r="B62" s="17">
        <v>57</v>
      </c>
      <c r="C62" s="24"/>
      <c r="D62" s="25"/>
      <c r="E62" s="25"/>
      <c r="F62" s="26"/>
      <c r="G62" s="61"/>
      <c r="H62" s="61"/>
      <c r="I62" s="26"/>
      <c r="J62" s="21">
        <f t="shared" si="0"/>
        <v>0</v>
      </c>
      <c r="K62" s="7"/>
      <c r="V62" s="5">
        <f t="shared" si="7"/>
        <v>0</v>
      </c>
      <c r="W62" s="5">
        <f t="shared" si="8"/>
        <v>0</v>
      </c>
    </row>
    <row r="63" spans="1:23" ht="15" hidden="1" thickBot="1" x14ac:dyDescent="0.35">
      <c r="A63" s="6"/>
      <c r="B63" s="23">
        <v>34</v>
      </c>
      <c r="C63" s="24"/>
      <c r="D63" s="25"/>
      <c r="E63" s="25"/>
      <c r="F63" s="26"/>
      <c r="G63" s="61"/>
      <c r="H63" s="61"/>
      <c r="I63" s="26"/>
      <c r="J63" s="21">
        <f t="shared" si="0"/>
        <v>0</v>
      </c>
      <c r="K63" s="7"/>
      <c r="V63" s="5">
        <f t="shared" si="7"/>
        <v>0</v>
      </c>
      <c r="W63" s="5">
        <f t="shared" si="8"/>
        <v>0</v>
      </c>
    </row>
    <row r="64" spans="1:23" ht="15" hidden="1" thickBot="1" x14ac:dyDescent="0.35">
      <c r="A64" s="6"/>
      <c r="B64" s="23">
        <v>35</v>
      </c>
      <c r="C64" s="24"/>
      <c r="D64" s="25"/>
      <c r="E64" s="25"/>
      <c r="F64" s="26"/>
      <c r="G64" s="61"/>
      <c r="H64" s="61"/>
      <c r="I64" s="26"/>
      <c r="J64" s="21">
        <f t="shared" si="0"/>
        <v>0</v>
      </c>
      <c r="K64" s="7"/>
      <c r="V64" s="5">
        <f t="shared" si="7"/>
        <v>0</v>
      </c>
      <c r="W64" s="5">
        <f t="shared" si="8"/>
        <v>0</v>
      </c>
    </row>
    <row r="65" spans="1:23" ht="15" hidden="1" thickBot="1" x14ac:dyDescent="0.35">
      <c r="A65" s="6"/>
      <c r="B65" s="23">
        <v>36</v>
      </c>
      <c r="C65" s="24"/>
      <c r="D65" s="25"/>
      <c r="E65" s="25"/>
      <c r="F65" s="26"/>
      <c r="G65" s="61"/>
      <c r="H65" s="61"/>
      <c r="I65" s="26"/>
      <c r="J65" s="21">
        <f t="shared" si="0"/>
        <v>0</v>
      </c>
      <c r="K65" s="7"/>
      <c r="V65" s="5">
        <f t="shared" si="7"/>
        <v>0</v>
      </c>
      <c r="W65" s="5">
        <f t="shared" si="8"/>
        <v>0</v>
      </c>
    </row>
    <row r="66" spans="1:23" ht="15" hidden="1" thickBot="1" x14ac:dyDescent="0.35">
      <c r="A66" s="6"/>
      <c r="B66" s="23">
        <v>37</v>
      </c>
      <c r="C66" s="24"/>
      <c r="D66" s="25"/>
      <c r="E66" s="25"/>
      <c r="F66" s="26"/>
      <c r="G66" s="61"/>
      <c r="H66" s="61"/>
      <c r="I66" s="26"/>
      <c r="J66" s="21">
        <f t="shared" si="0"/>
        <v>0</v>
      </c>
      <c r="K66" s="7"/>
      <c r="V66" s="5">
        <f t="shared" si="7"/>
        <v>0</v>
      </c>
      <c r="W66" s="5">
        <f t="shared" si="8"/>
        <v>0</v>
      </c>
    </row>
    <row r="67" spans="1:23" ht="15" hidden="1" thickBot="1" x14ac:dyDescent="0.35">
      <c r="A67" s="6"/>
      <c r="B67" s="23">
        <v>38</v>
      </c>
      <c r="C67" s="24"/>
      <c r="D67" s="25"/>
      <c r="E67" s="25"/>
      <c r="F67" s="26"/>
      <c r="G67" s="61"/>
      <c r="H67" s="61"/>
      <c r="I67" s="26"/>
      <c r="J67" s="21">
        <f t="shared" si="0"/>
        <v>0</v>
      </c>
      <c r="K67" s="7"/>
      <c r="V67" s="5">
        <f t="shared" si="7"/>
        <v>0</v>
      </c>
      <c r="W67" s="5">
        <f t="shared" si="8"/>
        <v>0</v>
      </c>
    </row>
    <row r="68" spans="1:23" ht="15" hidden="1" thickBot="1" x14ac:dyDescent="0.35">
      <c r="A68" s="6"/>
      <c r="B68" s="23">
        <v>39</v>
      </c>
      <c r="C68" s="24"/>
      <c r="D68" s="25"/>
      <c r="E68" s="25"/>
      <c r="F68" s="26"/>
      <c r="G68" s="61"/>
      <c r="H68" s="61"/>
      <c r="I68" s="26"/>
      <c r="J68" s="21">
        <f t="shared" si="0"/>
        <v>0</v>
      </c>
      <c r="K68" s="7"/>
      <c r="V68" s="5">
        <f t="shared" si="7"/>
        <v>0</v>
      </c>
      <c r="W68" s="5">
        <f t="shared" si="8"/>
        <v>0</v>
      </c>
    </row>
    <row r="69" spans="1:23" ht="15" hidden="1" thickBot="1" x14ac:dyDescent="0.35">
      <c r="A69" s="6"/>
      <c r="B69" s="23">
        <v>40</v>
      </c>
      <c r="C69" s="24"/>
      <c r="D69" s="25"/>
      <c r="E69" s="25"/>
      <c r="F69" s="26"/>
      <c r="G69" s="61"/>
      <c r="H69" s="61"/>
      <c r="I69" s="26"/>
      <c r="J69" s="21">
        <f t="shared" si="0"/>
        <v>0</v>
      </c>
      <c r="K69" s="7"/>
      <c r="V69" s="5">
        <f t="shared" si="7"/>
        <v>0</v>
      </c>
      <c r="W69" s="5">
        <f t="shared" si="8"/>
        <v>0</v>
      </c>
    </row>
    <row r="70" spans="1:23" ht="15" hidden="1" thickBot="1" x14ac:dyDescent="0.35">
      <c r="A70" s="6"/>
      <c r="B70" s="23">
        <v>41</v>
      </c>
      <c r="C70" s="24"/>
      <c r="D70" s="25"/>
      <c r="E70" s="25"/>
      <c r="F70" s="26"/>
      <c r="G70" s="61"/>
      <c r="H70" s="61"/>
      <c r="I70" s="26"/>
      <c r="J70" s="21">
        <f t="shared" si="0"/>
        <v>0</v>
      </c>
      <c r="K70" s="7"/>
      <c r="V70" s="5">
        <f t="shared" si="7"/>
        <v>0</v>
      </c>
      <c r="W70" s="5">
        <f t="shared" si="8"/>
        <v>0</v>
      </c>
    </row>
    <row r="71" spans="1:23" ht="15" hidden="1" thickBot="1" x14ac:dyDescent="0.35">
      <c r="A71" s="6"/>
      <c r="B71" s="23">
        <v>42</v>
      </c>
      <c r="C71" s="24"/>
      <c r="D71" s="25"/>
      <c r="E71" s="25"/>
      <c r="F71" s="26"/>
      <c r="G71" s="61"/>
      <c r="H71" s="61"/>
      <c r="I71" s="26"/>
      <c r="J71" s="21">
        <f t="shared" si="0"/>
        <v>0</v>
      </c>
      <c r="K71" s="7"/>
      <c r="V71" s="5">
        <f t="shared" si="7"/>
        <v>0</v>
      </c>
      <c r="W71" s="5">
        <f t="shared" si="8"/>
        <v>0</v>
      </c>
    </row>
    <row r="72" spans="1:23" ht="15" hidden="1" thickBot="1" x14ac:dyDescent="0.35">
      <c r="A72" s="6"/>
      <c r="B72" s="23">
        <v>43</v>
      </c>
      <c r="C72" s="24"/>
      <c r="D72" s="25"/>
      <c r="E72" s="25"/>
      <c r="F72" s="26"/>
      <c r="G72" s="61"/>
      <c r="H72" s="61"/>
      <c r="I72" s="26"/>
      <c r="J72" s="21">
        <f t="shared" si="0"/>
        <v>0</v>
      </c>
      <c r="K72" s="7"/>
      <c r="V72" s="5">
        <f t="shared" si="7"/>
        <v>0</v>
      </c>
      <c r="W72" s="5">
        <f t="shared" si="8"/>
        <v>0</v>
      </c>
    </row>
    <row r="73" spans="1:23" ht="15" hidden="1" thickBot="1" x14ac:dyDescent="0.35">
      <c r="A73" s="6"/>
      <c r="B73" s="23">
        <v>44</v>
      </c>
      <c r="C73" s="24"/>
      <c r="D73" s="25"/>
      <c r="E73" s="25"/>
      <c r="F73" s="26"/>
      <c r="G73" s="61"/>
      <c r="H73" s="61"/>
      <c r="I73" s="26"/>
      <c r="J73" s="21">
        <f t="shared" si="0"/>
        <v>0</v>
      </c>
      <c r="K73" s="7"/>
      <c r="V73" s="5">
        <f t="shared" si="7"/>
        <v>0</v>
      </c>
      <c r="W73" s="5">
        <f t="shared" si="8"/>
        <v>0</v>
      </c>
    </row>
    <row r="74" spans="1:23" ht="15" hidden="1" thickBot="1" x14ac:dyDescent="0.35">
      <c r="A74" s="6"/>
      <c r="B74" s="23">
        <v>45</v>
      </c>
      <c r="C74" s="24"/>
      <c r="D74" s="25"/>
      <c r="E74" s="25"/>
      <c r="F74" s="26"/>
      <c r="G74" s="61"/>
      <c r="H74" s="61"/>
      <c r="I74" s="26"/>
      <c r="J74" s="21">
        <f t="shared" si="0"/>
        <v>0</v>
      </c>
      <c r="K74" s="7"/>
      <c r="V74" s="5">
        <f t="shared" si="7"/>
        <v>0</v>
      </c>
      <c r="W74" s="5">
        <f t="shared" si="8"/>
        <v>0</v>
      </c>
    </row>
    <row r="75" spans="1:23" ht="15" hidden="1" thickBot="1" x14ac:dyDescent="0.35">
      <c r="A75" s="6"/>
      <c r="B75" s="23">
        <v>46</v>
      </c>
      <c r="C75" s="24"/>
      <c r="D75" s="25"/>
      <c r="E75" s="25"/>
      <c r="F75" s="26"/>
      <c r="G75" s="61"/>
      <c r="H75" s="61"/>
      <c r="I75" s="26"/>
      <c r="J75" s="21">
        <f t="shared" si="0"/>
        <v>0</v>
      </c>
      <c r="K75" s="7"/>
      <c r="V75" s="5">
        <f t="shared" si="7"/>
        <v>0</v>
      </c>
      <c r="W75" s="5">
        <f t="shared" si="8"/>
        <v>0</v>
      </c>
    </row>
    <row r="76" spans="1:23" ht="15" hidden="1" thickBot="1" x14ac:dyDescent="0.35">
      <c r="A76" s="6"/>
      <c r="B76" s="23">
        <v>47</v>
      </c>
      <c r="C76" s="24"/>
      <c r="D76" s="25"/>
      <c r="E76" s="25"/>
      <c r="F76" s="26"/>
      <c r="G76" s="61"/>
      <c r="H76" s="61"/>
      <c r="I76" s="26"/>
      <c r="J76" s="21">
        <f t="shared" si="0"/>
        <v>0</v>
      </c>
      <c r="K76" s="7"/>
      <c r="V76" s="5">
        <f t="shared" si="7"/>
        <v>0</v>
      </c>
      <c r="W76" s="5">
        <f t="shared" si="8"/>
        <v>0</v>
      </c>
    </row>
    <row r="77" spans="1:23" ht="15" hidden="1" thickBot="1" x14ac:dyDescent="0.35">
      <c r="A77" s="6"/>
      <c r="B77" s="23">
        <v>48</v>
      </c>
      <c r="C77" s="24"/>
      <c r="D77" s="25"/>
      <c r="E77" s="25"/>
      <c r="F77" s="26"/>
      <c r="G77" s="61"/>
      <c r="H77" s="61"/>
      <c r="I77" s="26"/>
      <c r="J77" s="21">
        <f t="shared" si="0"/>
        <v>0</v>
      </c>
      <c r="K77" s="7"/>
    </row>
    <row r="78" spans="1:23" ht="15" hidden="1" thickBot="1" x14ac:dyDescent="0.35">
      <c r="A78" s="6"/>
      <c r="B78" s="23">
        <v>49</v>
      </c>
      <c r="C78" s="24"/>
      <c r="D78" s="25"/>
      <c r="E78" s="25"/>
      <c r="F78" s="26"/>
      <c r="G78" s="61"/>
      <c r="H78" s="61"/>
      <c r="I78" s="26"/>
      <c r="J78" s="21">
        <f t="shared" si="0"/>
        <v>0</v>
      </c>
      <c r="K78" s="7"/>
    </row>
    <row r="79" spans="1:23" ht="15" hidden="1" thickBot="1" x14ac:dyDescent="0.35">
      <c r="A79" s="6"/>
      <c r="B79" s="23">
        <v>50</v>
      </c>
      <c r="C79" s="24"/>
      <c r="D79" s="25"/>
      <c r="E79" s="25"/>
      <c r="F79" s="26"/>
      <c r="G79" s="61"/>
      <c r="H79" s="61"/>
      <c r="I79" s="26"/>
      <c r="J79" s="21">
        <f t="shared" si="0"/>
        <v>0</v>
      </c>
      <c r="K79" s="7"/>
    </row>
    <row r="80" spans="1:23" ht="15" hidden="1" thickBot="1" x14ac:dyDescent="0.35">
      <c r="A80" s="6"/>
      <c r="B80" s="23">
        <v>51</v>
      </c>
      <c r="C80" s="24"/>
      <c r="D80" s="25"/>
      <c r="E80" s="25"/>
      <c r="F80" s="26"/>
      <c r="G80" s="61"/>
      <c r="H80" s="61"/>
      <c r="I80" s="26"/>
      <c r="J80" s="21">
        <f t="shared" ref="J80:J93" si="9">H80*I80</f>
        <v>0</v>
      </c>
      <c r="K80" s="7"/>
    </row>
    <row r="81" spans="1:23" ht="15" hidden="1" thickBot="1" x14ac:dyDescent="0.35">
      <c r="A81" s="6"/>
      <c r="B81" s="23">
        <v>52</v>
      </c>
      <c r="C81" s="24"/>
      <c r="D81" s="25"/>
      <c r="E81" s="25"/>
      <c r="F81" s="26"/>
      <c r="G81" s="61"/>
      <c r="H81" s="61"/>
      <c r="I81" s="26"/>
      <c r="J81" s="21">
        <f t="shared" si="9"/>
        <v>0</v>
      </c>
      <c r="K81" s="7"/>
    </row>
    <row r="82" spans="1:23" ht="15" hidden="1" thickBot="1" x14ac:dyDescent="0.35">
      <c r="A82" s="6"/>
      <c r="B82" s="23">
        <v>53</v>
      </c>
      <c r="C82" s="24"/>
      <c r="D82" s="25"/>
      <c r="E82" s="25"/>
      <c r="F82" s="26"/>
      <c r="G82" s="61"/>
      <c r="H82" s="61"/>
      <c r="I82" s="26"/>
      <c r="J82" s="21">
        <f t="shared" si="9"/>
        <v>0</v>
      </c>
      <c r="K82" s="7"/>
    </row>
    <row r="83" spans="1:23" ht="15" hidden="1" thickBot="1" x14ac:dyDescent="0.35">
      <c r="A83" s="6"/>
      <c r="B83" s="23">
        <v>54</v>
      </c>
      <c r="C83" s="24"/>
      <c r="D83" s="25"/>
      <c r="E83" s="25"/>
      <c r="F83" s="26"/>
      <c r="G83" s="61"/>
      <c r="H83" s="61"/>
      <c r="I83" s="26"/>
      <c r="J83" s="21">
        <f t="shared" si="9"/>
        <v>0</v>
      </c>
      <c r="K83" s="7"/>
    </row>
    <row r="84" spans="1:23" ht="15" hidden="1" thickBot="1" x14ac:dyDescent="0.35">
      <c r="A84" s="6"/>
      <c r="B84" s="23">
        <v>55</v>
      </c>
      <c r="C84" s="24"/>
      <c r="D84" s="25"/>
      <c r="E84" s="25"/>
      <c r="F84" s="26"/>
      <c r="G84" s="61"/>
      <c r="H84" s="61"/>
      <c r="I84" s="26"/>
      <c r="J84" s="21">
        <f t="shared" si="9"/>
        <v>0</v>
      </c>
      <c r="K84" s="7"/>
    </row>
    <row r="85" spans="1:23" ht="15" hidden="1" thickBot="1" x14ac:dyDescent="0.35">
      <c r="A85" s="6"/>
      <c r="B85" s="23">
        <v>56</v>
      </c>
      <c r="C85" s="24"/>
      <c r="D85" s="25"/>
      <c r="E85" s="25"/>
      <c r="F85" s="26"/>
      <c r="G85" s="61"/>
      <c r="H85" s="61"/>
      <c r="I85" s="26"/>
      <c r="J85" s="21">
        <f t="shared" si="9"/>
        <v>0</v>
      </c>
      <c r="K85" s="7"/>
    </row>
    <row r="86" spans="1:23" ht="15" hidden="1" thickBot="1" x14ac:dyDescent="0.35">
      <c r="A86" s="6"/>
      <c r="B86" s="23">
        <v>57</v>
      </c>
      <c r="C86" s="24"/>
      <c r="D86" s="25"/>
      <c r="E86" s="25"/>
      <c r="F86" s="26"/>
      <c r="G86" s="61"/>
      <c r="H86" s="61"/>
      <c r="I86" s="26"/>
      <c r="J86" s="21">
        <f t="shared" si="9"/>
        <v>0</v>
      </c>
      <c r="K86" s="7"/>
    </row>
    <row r="87" spans="1:23" ht="15" hidden="1" thickBot="1" x14ac:dyDescent="0.35">
      <c r="A87" s="6"/>
      <c r="B87" s="23">
        <v>58</v>
      </c>
      <c r="C87" s="24"/>
      <c r="D87" s="25"/>
      <c r="E87" s="25"/>
      <c r="F87" s="26"/>
      <c r="G87" s="61"/>
      <c r="H87" s="61"/>
      <c r="I87" s="26"/>
      <c r="J87" s="21">
        <f t="shared" si="9"/>
        <v>0</v>
      </c>
      <c r="K87" s="7"/>
      <c r="V87" s="5">
        <f t="shared" si="7"/>
        <v>0</v>
      </c>
      <c r="W87" s="5">
        <f t="shared" si="8"/>
        <v>0</v>
      </c>
    </row>
    <row r="88" spans="1:23" ht="15" hidden="1" thickBot="1" x14ac:dyDescent="0.35">
      <c r="A88" s="6"/>
      <c r="B88" s="23">
        <v>59</v>
      </c>
      <c r="C88" s="24"/>
      <c r="D88" s="25"/>
      <c r="E88" s="25"/>
      <c r="F88" s="26"/>
      <c r="G88" s="61"/>
      <c r="H88" s="61"/>
      <c r="I88" s="26"/>
      <c r="J88" s="21">
        <f t="shared" si="9"/>
        <v>0</v>
      </c>
      <c r="K88" s="7"/>
      <c r="V88" s="5">
        <f t="shared" si="7"/>
        <v>0</v>
      </c>
      <c r="W88" s="5">
        <f t="shared" si="8"/>
        <v>0</v>
      </c>
    </row>
    <row r="89" spans="1:23" ht="15" hidden="1" thickBot="1" x14ac:dyDescent="0.35">
      <c r="A89" s="6"/>
      <c r="B89" s="23">
        <v>60</v>
      </c>
      <c r="C89" s="24"/>
      <c r="D89" s="25"/>
      <c r="E89" s="25"/>
      <c r="F89" s="61"/>
      <c r="G89" s="61"/>
      <c r="H89" s="61"/>
      <c r="I89" s="26"/>
      <c r="J89" s="21">
        <f t="shared" si="9"/>
        <v>0</v>
      </c>
      <c r="K89" s="7"/>
      <c r="V89" s="5">
        <f t="shared" si="7"/>
        <v>0</v>
      </c>
      <c r="W89" s="5">
        <f t="shared" si="8"/>
        <v>0</v>
      </c>
    </row>
    <row r="90" spans="1:23" ht="15" hidden="1" thickBot="1" x14ac:dyDescent="0.35">
      <c r="A90" s="6"/>
      <c r="B90" s="23">
        <v>61</v>
      </c>
      <c r="C90" s="24"/>
      <c r="D90" s="25"/>
      <c r="E90" s="25"/>
      <c r="F90" s="61"/>
      <c r="G90" s="61"/>
      <c r="H90" s="61"/>
      <c r="I90" s="26"/>
      <c r="J90" s="21">
        <f t="shared" si="9"/>
        <v>0</v>
      </c>
      <c r="K90" s="7"/>
    </row>
    <row r="91" spans="1:23" ht="15" hidden="1" thickBot="1" x14ac:dyDescent="0.35">
      <c r="A91" s="6"/>
      <c r="B91" s="23">
        <v>62</v>
      </c>
      <c r="C91" s="24"/>
      <c r="D91" s="25"/>
      <c r="E91" s="25"/>
      <c r="F91" s="61"/>
      <c r="G91" s="61"/>
      <c r="H91" s="61"/>
      <c r="I91" s="26"/>
      <c r="J91" s="21">
        <f t="shared" si="9"/>
        <v>0</v>
      </c>
      <c r="K91" s="7"/>
    </row>
    <row r="92" spans="1:23" ht="15" hidden="1" thickBot="1" x14ac:dyDescent="0.35">
      <c r="A92" s="6"/>
      <c r="B92" s="23">
        <v>63</v>
      </c>
      <c r="C92" s="24"/>
      <c r="D92" s="25"/>
      <c r="E92" s="25"/>
      <c r="F92" s="61"/>
      <c r="G92" s="61"/>
      <c r="H92" s="61"/>
      <c r="I92" s="26"/>
      <c r="J92" s="21">
        <f t="shared" si="9"/>
        <v>0</v>
      </c>
      <c r="K92" s="7"/>
      <c r="V92" s="5">
        <f t="shared" si="7"/>
        <v>0</v>
      </c>
      <c r="W92" s="5">
        <f t="shared" si="8"/>
        <v>0</v>
      </c>
    </row>
    <row r="93" spans="1:23" ht="15" hidden="1" thickBot="1" x14ac:dyDescent="0.35">
      <c r="A93" s="6"/>
      <c r="B93" s="23">
        <v>64</v>
      </c>
      <c r="C93" s="24"/>
      <c r="D93" s="25"/>
      <c r="E93" s="25"/>
      <c r="F93" s="26"/>
      <c r="G93" s="26"/>
      <c r="H93" s="25"/>
      <c r="I93" s="26"/>
      <c r="J93" s="27">
        <f t="shared" si="9"/>
        <v>0</v>
      </c>
      <c r="K93" s="7"/>
      <c r="V93" s="5">
        <f t="shared" si="7"/>
        <v>0</v>
      </c>
      <c r="W93" s="5">
        <f t="shared" si="8"/>
        <v>0</v>
      </c>
    </row>
    <row r="94" spans="1:23" ht="24" thickBot="1" x14ac:dyDescent="0.5">
      <c r="A94" s="6"/>
      <c r="B94" s="144" t="s">
        <v>22</v>
      </c>
      <c r="C94" s="145"/>
      <c r="D94" s="145"/>
      <c r="E94" s="145"/>
      <c r="F94" s="145"/>
      <c r="G94" s="145"/>
      <c r="H94" s="146"/>
      <c r="I94" s="28" t="s">
        <v>23</v>
      </c>
      <c r="J94" s="29">
        <f>SUM(J6:J93)</f>
        <v>163300</v>
      </c>
      <c r="K94" s="7"/>
      <c r="W94" s="5">
        <f t="shared" si="8"/>
        <v>0</v>
      </c>
    </row>
    <row r="95" spans="1:23" ht="30" customHeight="1" thickBot="1" x14ac:dyDescent="0.35">
      <c r="A95" s="30"/>
      <c r="B95" s="31"/>
      <c r="C95" s="31"/>
      <c r="D95" s="31"/>
      <c r="E95" s="31"/>
      <c r="F95" s="31"/>
      <c r="G95" s="31"/>
      <c r="H95" s="32"/>
      <c r="I95" s="31"/>
      <c r="J95" s="32"/>
      <c r="K95" s="33"/>
      <c r="L95" s="36"/>
      <c r="M95" s="36"/>
      <c r="N95" s="36"/>
      <c r="O95" s="36"/>
      <c r="P95" s="36"/>
      <c r="Q95" s="36"/>
      <c r="R95" s="36"/>
    </row>
    <row r="96" spans="1:23" ht="15" thickBot="1" x14ac:dyDescent="0.35">
      <c r="L96" s="36"/>
      <c r="M96" s="36"/>
      <c r="N96" s="36"/>
      <c r="O96" s="22"/>
      <c r="P96" s="22"/>
      <c r="Q96" s="22"/>
      <c r="R96" s="22"/>
    </row>
    <row r="97" spans="1:23" s="36" customFormat="1" ht="30" customHeight="1" thickBot="1" x14ac:dyDescent="0.35">
      <c r="A97" s="1"/>
      <c r="B97" s="2"/>
      <c r="C97" s="2"/>
      <c r="D97" s="2"/>
      <c r="E97" s="2"/>
      <c r="F97" s="2"/>
      <c r="G97" s="2"/>
      <c r="H97" s="3"/>
      <c r="I97" s="2"/>
      <c r="J97" s="3"/>
      <c r="K97" s="4"/>
    </row>
    <row r="98" spans="1:23" s="36" customFormat="1" ht="25.2" thickBot="1" x14ac:dyDescent="0.35">
      <c r="A98" s="6" t="s">
        <v>1</v>
      </c>
      <c r="B98" s="119" t="s">
        <v>2</v>
      </c>
      <c r="C98" s="120"/>
      <c r="D98" s="120"/>
      <c r="E98" s="120"/>
      <c r="F98" s="120"/>
      <c r="G98" s="120"/>
      <c r="H98" s="120"/>
      <c r="I98" s="120"/>
      <c r="J98" s="121"/>
      <c r="K98" s="7"/>
    </row>
    <row r="99" spans="1:23" s="36" customFormat="1" ht="16.2" thickBot="1" x14ac:dyDescent="0.35">
      <c r="A99" s="6"/>
      <c r="B99" s="168" t="s">
        <v>285</v>
      </c>
      <c r="C99" s="169"/>
      <c r="D99" s="169"/>
      <c r="E99" s="169"/>
      <c r="F99" s="169"/>
      <c r="G99" s="169"/>
      <c r="H99" s="169"/>
      <c r="I99" s="169"/>
      <c r="J99" s="170"/>
      <c r="K99" s="7"/>
      <c r="L99" s="22"/>
    </row>
    <row r="100" spans="1:23" s="36" customFormat="1" ht="16.2" thickBot="1" x14ac:dyDescent="0.35">
      <c r="A100" s="6"/>
      <c r="B100" s="106" t="s">
        <v>90</v>
      </c>
      <c r="C100" s="107"/>
      <c r="D100" s="107"/>
      <c r="E100" s="107"/>
      <c r="F100" s="107"/>
      <c r="G100" s="107"/>
      <c r="H100" s="107"/>
      <c r="I100" s="107"/>
      <c r="J100" s="108"/>
      <c r="K100" s="7"/>
    </row>
    <row r="101" spans="1:23" s="22" customFormat="1" ht="15" thickBot="1" x14ac:dyDescent="0.35">
      <c r="A101" s="69"/>
      <c r="B101" s="70" t="s">
        <v>9</v>
      </c>
      <c r="C101" s="71" t="s">
        <v>10</v>
      </c>
      <c r="D101" s="72" t="s">
        <v>11</v>
      </c>
      <c r="E101" s="72" t="s">
        <v>12</v>
      </c>
      <c r="F101" s="73" t="s">
        <v>65</v>
      </c>
      <c r="G101" s="73" t="s">
        <v>66</v>
      </c>
      <c r="H101" s="74" t="s">
        <v>67</v>
      </c>
      <c r="I101" s="73" t="s">
        <v>68</v>
      </c>
      <c r="J101" s="75" t="s">
        <v>17</v>
      </c>
      <c r="K101" s="76"/>
      <c r="L101" s="36"/>
      <c r="M101" s="36"/>
      <c r="N101" s="36"/>
      <c r="O101" s="36" t="s">
        <v>21</v>
      </c>
      <c r="P101" s="36"/>
      <c r="Q101" s="36"/>
      <c r="R101" s="36"/>
      <c r="V101" s="5" t="s">
        <v>5</v>
      </c>
      <c r="W101" s="5" t="s">
        <v>6</v>
      </c>
    </row>
    <row r="102" spans="1:23" s="36" customFormat="1" x14ac:dyDescent="0.3">
      <c r="A102" s="6"/>
      <c r="B102" s="14">
        <v>1</v>
      </c>
      <c r="C102" s="66">
        <v>44256</v>
      </c>
      <c r="D102" s="67" t="s">
        <v>69</v>
      </c>
      <c r="E102" s="67" t="s">
        <v>288</v>
      </c>
      <c r="F102" s="68">
        <v>858</v>
      </c>
      <c r="G102" s="68">
        <v>868</v>
      </c>
      <c r="H102" s="60">
        <v>-10</v>
      </c>
      <c r="I102" s="15">
        <v>750</v>
      </c>
      <c r="J102" s="16">
        <f>H102*I102</f>
        <v>-7500</v>
      </c>
      <c r="K102" s="7"/>
      <c r="V102" s="36" t="e">
        <f>IF(#REF!&gt;0,1,0)</f>
        <v>#REF!</v>
      </c>
      <c r="W102" s="36" t="e">
        <f>IF(#REF!&lt;0,1,0)</f>
        <v>#REF!</v>
      </c>
    </row>
    <row r="103" spans="1:23" s="36" customFormat="1" x14ac:dyDescent="0.3">
      <c r="A103" s="6"/>
      <c r="B103" s="17">
        <f>B102+1</f>
        <v>2</v>
      </c>
      <c r="C103" s="66">
        <v>44256</v>
      </c>
      <c r="D103" s="67" t="s">
        <v>69</v>
      </c>
      <c r="E103" s="67" t="s">
        <v>86</v>
      </c>
      <c r="F103" s="68">
        <v>5340</v>
      </c>
      <c r="G103" s="68">
        <v>5280</v>
      </c>
      <c r="H103" s="67">
        <v>60</v>
      </c>
      <c r="I103" s="20">
        <v>250</v>
      </c>
      <c r="J103" s="21">
        <f>H103*I103</f>
        <v>15000</v>
      </c>
      <c r="K103" s="7"/>
      <c r="L103" s="36" t="s">
        <v>21</v>
      </c>
      <c r="V103" s="36" t="e">
        <f>IF(#REF!&gt;0,1,0)</f>
        <v>#REF!</v>
      </c>
      <c r="W103" s="36" t="e">
        <f>IF(#REF!&lt;0,1,0)</f>
        <v>#REF!</v>
      </c>
    </row>
    <row r="104" spans="1:23" s="36" customFormat="1" x14ac:dyDescent="0.3">
      <c r="A104" s="6"/>
      <c r="B104" s="17">
        <f t="shared" ref="B104:B154" si="10">B103+1</f>
        <v>3</v>
      </c>
      <c r="C104" s="18">
        <v>44257</v>
      </c>
      <c r="D104" s="19" t="s">
        <v>69</v>
      </c>
      <c r="E104" s="19" t="s">
        <v>86</v>
      </c>
      <c r="F104" s="35">
        <v>5350</v>
      </c>
      <c r="G104" s="35">
        <v>5290</v>
      </c>
      <c r="H104" s="35">
        <v>60</v>
      </c>
      <c r="I104" s="20">
        <v>250</v>
      </c>
      <c r="J104" s="21">
        <f>H104*I104</f>
        <v>15000</v>
      </c>
      <c r="K104" s="7"/>
      <c r="V104" s="36" t="e">
        <f>IF(#REF!&gt;0,1,0)</f>
        <v>#REF!</v>
      </c>
      <c r="W104" s="36" t="e">
        <f>IF(#REF!&lt;0,1,0)</f>
        <v>#REF!</v>
      </c>
    </row>
    <row r="105" spans="1:23" s="36" customFormat="1" x14ac:dyDescent="0.3">
      <c r="A105" s="6"/>
      <c r="B105" s="17">
        <f t="shared" si="10"/>
        <v>4</v>
      </c>
      <c r="C105" s="18">
        <v>44257</v>
      </c>
      <c r="D105" s="19" t="s">
        <v>18</v>
      </c>
      <c r="E105" s="19" t="s">
        <v>167</v>
      </c>
      <c r="F105" s="35">
        <v>555</v>
      </c>
      <c r="G105" s="35">
        <v>557.5</v>
      </c>
      <c r="H105" s="35">
        <v>2.5</v>
      </c>
      <c r="I105" s="20">
        <v>1250</v>
      </c>
      <c r="J105" s="21">
        <f>H105*I105</f>
        <v>3125</v>
      </c>
      <c r="K105" s="7"/>
      <c r="V105" s="36" t="e">
        <f>IF(#REF!&gt;0,1,0)</f>
        <v>#REF!</v>
      </c>
      <c r="W105" s="36" t="e">
        <f>IF(#REF!&lt;0,1,0)</f>
        <v>#REF!</v>
      </c>
    </row>
    <row r="106" spans="1:23" s="36" customFormat="1" x14ac:dyDescent="0.3">
      <c r="A106" s="6"/>
      <c r="B106" s="17">
        <f t="shared" si="10"/>
        <v>5</v>
      </c>
      <c r="C106" s="18">
        <v>44258</v>
      </c>
      <c r="D106" s="19" t="s">
        <v>18</v>
      </c>
      <c r="E106" s="19" t="s">
        <v>111</v>
      </c>
      <c r="F106" s="35">
        <v>405</v>
      </c>
      <c r="G106" s="35">
        <v>411.7</v>
      </c>
      <c r="H106" s="35">
        <v>6.7</v>
      </c>
      <c r="I106" s="20">
        <v>3000</v>
      </c>
      <c r="J106" s="21">
        <f>H106*I106</f>
        <v>20100</v>
      </c>
      <c r="K106" s="7"/>
      <c r="V106" s="36" t="e">
        <f>IF(#REF!&gt;0,1,0)</f>
        <v>#REF!</v>
      </c>
      <c r="W106" s="36" t="e">
        <f>IF(#REF!&lt;0,1,0)</f>
        <v>#REF!</v>
      </c>
    </row>
    <row r="107" spans="1:23" s="36" customFormat="1" x14ac:dyDescent="0.3">
      <c r="A107" s="6"/>
      <c r="B107" s="17">
        <f t="shared" si="10"/>
        <v>6</v>
      </c>
      <c r="C107" s="18">
        <v>44258</v>
      </c>
      <c r="D107" s="19" t="s">
        <v>18</v>
      </c>
      <c r="E107" s="19" t="s">
        <v>119</v>
      </c>
      <c r="F107" s="20">
        <v>784</v>
      </c>
      <c r="G107" s="35">
        <v>787.95</v>
      </c>
      <c r="H107" s="35">
        <v>3.95</v>
      </c>
      <c r="I107" s="20">
        <v>1700</v>
      </c>
      <c r="J107" s="21">
        <f t="shared" ref="J107:J154" si="11">I107*H107</f>
        <v>6715</v>
      </c>
      <c r="K107" s="7"/>
      <c r="V107" s="36">
        <f t="shared" ref="V107:V154" si="12">IF($J107&gt;0,1,0)</f>
        <v>1</v>
      </c>
      <c r="W107" s="36">
        <f t="shared" ref="W107:W154" si="13">IF($J107&lt;0,1,0)</f>
        <v>0</v>
      </c>
    </row>
    <row r="108" spans="1:23" s="36" customFormat="1" x14ac:dyDescent="0.3">
      <c r="A108" s="6"/>
      <c r="B108" s="17">
        <f t="shared" si="10"/>
        <v>7</v>
      </c>
      <c r="C108" s="18">
        <v>44259</v>
      </c>
      <c r="D108" s="19" t="s">
        <v>69</v>
      </c>
      <c r="E108" s="19" t="s">
        <v>86</v>
      </c>
      <c r="F108" s="35">
        <v>5450</v>
      </c>
      <c r="G108" s="35">
        <v>5437</v>
      </c>
      <c r="H108" s="35">
        <v>-13</v>
      </c>
      <c r="I108" s="20">
        <v>250</v>
      </c>
      <c r="J108" s="21">
        <f t="shared" si="11"/>
        <v>-3250</v>
      </c>
      <c r="K108" s="7"/>
      <c r="V108" s="36">
        <f t="shared" si="12"/>
        <v>0</v>
      </c>
      <c r="W108" s="36">
        <f t="shared" si="13"/>
        <v>1</v>
      </c>
    </row>
    <row r="109" spans="1:23" s="36" customFormat="1" x14ac:dyDescent="0.3">
      <c r="A109" s="6"/>
      <c r="B109" s="17">
        <f t="shared" si="10"/>
        <v>8</v>
      </c>
      <c r="C109" s="18">
        <v>44259</v>
      </c>
      <c r="D109" s="19" t="s">
        <v>18</v>
      </c>
      <c r="E109" s="19" t="s">
        <v>291</v>
      </c>
      <c r="F109" s="35">
        <v>748</v>
      </c>
      <c r="G109" s="35">
        <v>764</v>
      </c>
      <c r="H109" s="35">
        <v>16</v>
      </c>
      <c r="I109" s="20">
        <v>2500</v>
      </c>
      <c r="J109" s="21">
        <f t="shared" si="11"/>
        <v>40000</v>
      </c>
      <c r="K109" s="7"/>
      <c r="V109" s="36">
        <f t="shared" si="12"/>
        <v>1</v>
      </c>
      <c r="W109" s="36">
        <f t="shared" si="13"/>
        <v>0</v>
      </c>
    </row>
    <row r="110" spans="1:23" s="36" customFormat="1" x14ac:dyDescent="0.3">
      <c r="A110" s="6"/>
      <c r="B110" s="17">
        <f t="shared" si="10"/>
        <v>9</v>
      </c>
      <c r="C110" s="18">
        <v>44260</v>
      </c>
      <c r="D110" s="19" t="s">
        <v>18</v>
      </c>
      <c r="E110" s="19" t="s">
        <v>291</v>
      </c>
      <c r="F110" s="35">
        <v>760</v>
      </c>
      <c r="G110" s="35">
        <v>763.33</v>
      </c>
      <c r="H110" s="35">
        <v>3.33</v>
      </c>
      <c r="I110" s="20">
        <v>2500</v>
      </c>
      <c r="J110" s="21">
        <f t="shared" si="11"/>
        <v>8325</v>
      </c>
      <c r="K110" s="7"/>
      <c r="V110" s="36">
        <f t="shared" si="12"/>
        <v>1</v>
      </c>
      <c r="W110" s="36">
        <f t="shared" si="13"/>
        <v>0</v>
      </c>
    </row>
    <row r="111" spans="1:23" s="36" customFormat="1" x14ac:dyDescent="0.3">
      <c r="A111" s="6"/>
      <c r="B111" s="17">
        <f t="shared" si="10"/>
        <v>10</v>
      </c>
      <c r="C111" s="18">
        <v>44260</v>
      </c>
      <c r="D111" s="19" t="s">
        <v>18</v>
      </c>
      <c r="E111" s="19" t="s">
        <v>294</v>
      </c>
      <c r="F111" s="35">
        <v>1540</v>
      </c>
      <c r="G111" s="35">
        <v>1548.5</v>
      </c>
      <c r="H111" s="35">
        <v>8.5</v>
      </c>
      <c r="I111" s="20">
        <v>550</v>
      </c>
      <c r="J111" s="21">
        <f t="shared" si="11"/>
        <v>4675</v>
      </c>
      <c r="K111" s="7"/>
      <c r="V111" s="36">
        <f t="shared" si="12"/>
        <v>1</v>
      </c>
      <c r="W111" s="36">
        <f t="shared" si="13"/>
        <v>0</v>
      </c>
    </row>
    <row r="112" spans="1:23" s="36" customFormat="1" x14ac:dyDescent="0.3">
      <c r="A112" s="6"/>
      <c r="B112" s="17">
        <f t="shared" si="10"/>
        <v>11</v>
      </c>
      <c r="C112" s="18">
        <v>44263</v>
      </c>
      <c r="D112" s="19" t="s">
        <v>69</v>
      </c>
      <c r="E112" s="19" t="s">
        <v>86</v>
      </c>
      <c r="F112" s="19">
        <v>5415</v>
      </c>
      <c r="G112" s="35">
        <v>5355</v>
      </c>
      <c r="H112" s="35">
        <v>60</v>
      </c>
      <c r="I112" s="20">
        <v>250</v>
      </c>
      <c r="J112" s="21">
        <f t="shared" si="11"/>
        <v>15000</v>
      </c>
      <c r="K112" s="7"/>
      <c r="V112" s="36">
        <f t="shared" si="12"/>
        <v>1</v>
      </c>
      <c r="W112" s="36">
        <f t="shared" si="13"/>
        <v>0</v>
      </c>
    </row>
    <row r="113" spans="1:23" s="36" customFormat="1" x14ac:dyDescent="0.3">
      <c r="A113" s="6"/>
      <c r="B113" s="17">
        <f t="shared" si="10"/>
        <v>12</v>
      </c>
      <c r="C113" s="18">
        <v>44263</v>
      </c>
      <c r="D113" s="19" t="s">
        <v>69</v>
      </c>
      <c r="E113" s="19" t="s">
        <v>297</v>
      </c>
      <c r="F113" s="35">
        <v>6700</v>
      </c>
      <c r="G113" s="35">
        <v>6740</v>
      </c>
      <c r="H113" s="35">
        <v>-40</v>
      </c>
      <c r="I113" s="20">
        <v>200</v>
      </c>
      <c r="J113" s="21">
        <f t="shared" si="11"/>
        <v>-8000</v>
      </c>
      <c r="K113" s="7"/>
      <c r="V113" s="36">
        <f t="shared" si="12"/>
        <v>0</v>
      </c>
      <c r="W113" s="36">
        <f t="shared" si="13"/>
        <v>1</v>
      </c>
    </row>
    <row r="114" spans="1:23" s="36" customFormat="1" x14ac:dyDescent="0.3">
      <c r="A114" s="6"/>
      <c r="B114" s="17">
        <f t="shared" si="10"/>
        <v>13</v>
      </c>
      <c r="C114" s="18">
        <v>44264</v>
      </c>
      <c r="D114" s="19" t="s">
        <v>18</v>
      </c>
      <c r="E114" s="19" t="s">
        <v>301</v>
      </c>
      <c r="F114" s="35">
        <v>745</v>
      </c>
      <c r="G114" s="35">
        <v>746</v>
      </c>
      <c r="H114" s="35">
        <v>10</v>
      </c>
      <c r="I114" s="20">
        <v>1100</v>
      </c>
      <c r="J114" s="21">
        <f t="shared" si="11"/>
        <v>11000</v>
      </c>
      <c r="K114" s="7"/>
      <c r="V114" s="36">
        <f t="shared" si="12"/>
        <v>1</v>
      </c>
      <c r="W114" s="36">
        <f t="shared" si="13"/>
        <v>0</v>
      </c>
    </row>
    <row r="115" spans="1:23" s="36" customFormat="1" x14ac:dyDescent="0.3">
      <c r="A115" s="6"/>
      <c r="B115" s="17">
        <f t="shared" si="10"/>
        <v>14</v>
      </c>
      <c r="C115" s="18">
        <v>44264</v>
      </c>
      <c r="D115" s="19" t="s">
        <v>18</v>
      </c>
      <c r="E115" s="19" t="s">
        <v>86</v>
      </c>
      <c r="F115" s="77">
        <v>5445</v>
      </c>
      <c r="G115" s="35">
        <v>5475</v>
      </c>
      <c r="H115" s="78">
        <v>30</v>
      </c>
      <c r="I115" s="20">
        <v>250</v>
      </c>
      <c r="J115" s="21">
        <f t="shared" si="11"/>
        <v>7500</v>
      </c>
      <c r="K115" s="7"/>
      <c r="V115" s="36">
        <f t="shared" si="12"/>
        <v>1</v>
      </c>
      <c r="W115" s="36">
        <f t="shared" si="13"/>
        <v>0</v>
      </c>
    </row>
    <row r="116" spans="1:23" s="36" customFormat="1" x14ac:dyDescent="0.3">
      <c r="A116" s="6"/>
      <c r="B116" s="17">
        <f t="shared" si="10"/>
        <v>15</v>
      </c>
      <c r="C116" s="18">
        <v>44265</v>
      </c>
      <c r="D116" s="19" t="s">
        <v>18</v>
      </c>
      <c r="E116" s="19" t="s">
        <v>302</v>
      </c>
      <c r="F116" s="35">
        <v>622</v>
      </c>
      <c r="G116" s="35">
        <v>625.1</v>
      </c>
      <c r="H116" s="78">
        <v>3.1</v>
      </c>
      <c r="I116" s="20">
        <v>1350</v>
      </c>
      <c r="J116" s="21">
        <f t="shared" si="11"/>
        <v>4185</v>
      </c>
      <c r="K116" s="7"/>
      <c r="V116" s="36">
        <f t="shared" si="12"/>
        <v>1</v>
      </c>
      <c r="W116" s="36">
        <f t="shared" si="13"/>
        <v>0</v>
      </c>
    </row>
    <row r="117" spans="1:23" s="36" customFormat="1" x14ac:dyDescent="0.3">
      <c r="A117" s="6"/>
      <c r="B117" s="17">
        <f t="shared" si="10"/>
        <v>16</v>
      </c>
      <c r="C117" s="18">
        <v>44265</v>
      </c>
      <c r="D117" s="19" t="s">
        <v>18</v>
      </c>
      <c r="E117" s="19" t="s">
        <v>86</v>
      </c>
      <c r="F117" s="35">
        <v>5530</v>
      </c>
      <c r="G117" s="35">
        <v>5546</v>
      </c>
      <c r="H117" s="78">
        <v>16</v>
      </c>
      <c r="I117" s="20">
        <v>250</v>
      </c>
      <c r="J117" s="21">
        <f t="shared" si="11"/>
        <v>4000</v>
      </c>
      <c r="K117" s="7"/>
      <c r="V117" s="36">
        <f t="shared" si="12"/>
        <v>1</v>
      </c>
      <c r="W117" s="36">
        <f t="shared" si="13"/>
        <v>0</v>
      </c>
    </row>
    <row r="118" spans="1:23" s="36" customFormat="1" x14ac:dyDescent="0.3">
      <c r="A118" s="6"/>
      <c r="B118" s="17">
        <f t="shared" si="10"/>
        <v>17</v>
      </c>
      <c r="C118" s="18">
        <v>44267</v>
      </c>
      <c r="D118" s="19" t="s">
        <v>69</v>
      </c>
      <c r="E118" s="19" t="s">
        <v>304</v>
      </c>
      <c r="F118" s="35">
        <v>397.5</v>
      </c>
      <c r="G118" s="35">
        <v>395.2</v>
      </c>
      <c r="H118" s="35">
        <v>2.2999999999999998</v>
      </c>
      <c r="I118" s="20">
        <v>2000</v>
      </c>
      <c r="J118" s="21">
        <f t="shared" si="11"/>
        <v>4600</v>
      </c>
      <c r="K118" s="7"/>
      <c r="V118" s="36">
        <f t="shared" si="12"/>
        <v>1</v>
      </c>
      <c r="W118" s="36">
        <f t="shared" si="13"/>
        <v>0</v>
      </c>
    </row>
    <row r="119" spans="1:23" s="36" customFormat="1" x14ac:dyDescent="0.3">
      <c r="A119" s="6"/>
      <c r="B119" s="17">
        <f t="shared" si="10"/>
        <v>18</v>
      </c>
      <c r="C119" s="18">
        <v>44267</v>
      </c>
      <c r="D119" s="19" t="s">
        <v>18</v>
      </c>
      <c r="E119" s="19" t="s">
        <v>305</v>
      </c>
      <c r="F119" s="35">
        <v>3840</v>
      </c>
      <c r="G119" s="35">
        <v>3810</v>
      </c>
      <c r="H119" s="35">
        <v>-30</v>
      </c>
      <c r="I119" s="20">
        <v>250</v>
      </c>
      <c r="J119" s="21">
        <f t="shared" si="11"/>
        <v>-7500</v>
      </c>
      <c r="K119" s="7"/>
      <c r="V119" s="36">
        <f t="shared" si="12"/>
        <v>0</v>
      </c>
      <c r="W119" s="36">
        <f t="shared" si="13"/>
        <v>1</v>
      </c>
    </row>
    <row r="120" spans="1:23" s="36" customFormat="1" x14ac:dyDescent="0.3">
      <c r="A120" s="6"/>
      <c r="B120" s="17">
        <f t="shared" si="10"/>
        <v>19</v>
      </c>
      <c r="C120" s="18">
        <v>44270</v>
      </c>
      <c r="D120" s="19" t="s">
        <v>69</v>
      </c>
      <c r="E120" s="19" t="s">
        <v>181</v>
      </c>
      <c r="F120" s="35">
        <v>1650</v>
      </c>
      <c r="G120" s="35">
        <v>1635</v>
      </c>
      <c r="H120" s="35">
        <v>15</v>
      </c>
      <c r="I120" s="20">
        <v>500</v>
      </c>
      <c r="J120" s="21">
        <f t="shared" si="11"/>
        <v>7500</v>
      </c>
      <c r="K120" s="7"/>
    </row>
    <row r="121" spans="1:23" s="36" customFormat="1" x14ac:dyDescent="0.3">
      <c r="A121" s="6"/>
      <c r="B121" s="17">
        <f t="shared" si="10"/>
        <v>20</v>
      </c>
      <c r="C121" s="18">
        <v>44270</v>
      </c>
      <c r="D121" s="19" t="s">
        <v>18</v>
      </c>
      <c r="E121" s="19" t="s">
        <v>309</v>
      </c>
      <c r="F121" s="35">
        <v>2775</v>
      </c>
      <c r="G121" s="35">
        <v>2750</v>
      </c>
      <c r="H121" s="35">
        <v>-15</v>
      </c>
      <c r="I121" s="20">
        <v>375</v>
      </c>
      <c r="J121" s="21">
        <f t="shared" si="11"/>
        <v>-5625</v>
      </c>
      <c r="K121" s="7"/>
    </row>
    <row r="122" spans="1:23" s="36" customFormat="1" x14ac:dyDescent="0.3">
      <c r="A122" s="6"/>
      <c r="B122" s="17">
        <f t="shared" si="10"/>
        <v>21</v>
      </c>
      <c r="C122" s="18">
        <v>44271</v>
      </c>
      <c r="D122" s="19" t="s">
        <v>18</v>
      </c>
      <c r="E122" s="19" t="s">
        <v>301</v>
      </c>
      <c r="F122" s="35">
        <v>707</v>
      </c>
      <c r="G122" s="35">
        <v>711.8</v>
      </c>
      <c r="H122" s="35">
        <v>4.8</v>
      </c>
      <c r="I122" s="20">
        <v>1100</v>
      </c>
      <c r="J122" s="21">
        <f t="shared" si="11"/>
        <v>5280</v>
      </c>
      <c r="K122" s="7"/>
    </row>
    <row r="123" spans="1:23" s="36" customFormat="1" x14ac:dyDescent="0.3">
      <c r="A123" s="6"/>
      <c r="B123" s="17">
        <f t="shared" si="10"/>
        <v>22</v>
      </c>
      <c r="C123" s="18">
        <v>44271</v>
      </c>
      <c r="D123" s="19" t="s">
        <v>69</v>
      </c>
      <c r="E123" s="19" t="s">
        <v>310</v>
      </c>
      <c r="F123" s="35">
        <v>1089</v>
      </c>
      <c r="G123" s="35">
        <v>1082</v>
      </c>
      <c r="H123" s="35">
        <v>7</v>
      </c>
      <c r="I123" s="20">
        <v>1000</v>
      </c>
      <c r="J123" s="21">
        <f t="shared" si="11"/>
        <v>7000</v>
      </c>
      <c r="K123" s="7"/>
    </row>
    <row r="124" spans="1:23" s="36" customFormat="1" x14ac:dyDescent="0.3">
      <c r="A124" s="6"/>
      <c r="B124" s="17">
        <f t="shared" si="10"/>
        <v>23</v>
      </c>
      <c r="C124" s="18">
        <v>44272</v>
      </c>
      <c r="D124" s="19" t="s">
        <v>18</v>
      </c>
      <c r="E124" s="19" t="s">
        <v>181</v>
      </c>
      <c r="F124" s="35">
        <v>1705</v>
      </c>
      <c r="G124" s="35">
        <v>1716</v>
      </c>
      <c r="H124" s="35">
        <v>11</v>
      </c>
      <c r="I124" s="20">
        <v>500</v>
      </c>
      <c r="J124" s="21">
        <f t="shared" si="11"/>
        <v>5500</v>
      </c>
      <c r="K124" s="7"/>
    </row>
    <row r="125" spans="1:23" s="36" customFormat="1" x14ac:dyDescent="0.3">
      <c r="A125" s="6"/>
      <c r="B125" s="17">
        <f t="shared" si="10"/>
        <v>24</v>
      </c>
      <c r="C125" s="18">
        <v>44272</v>
      </c>
      <c r="D125" s="19" t="s">
        <v>18</v>
      </c>
      <c r="E125" s="19" t="s">
        <v>167</v>
      </c>
      <c r="F125" s="35">
        <v>545</v>
      </c>
      <c r="G125" s="35">
        <v>548.45000000000005</v>
      </c>
      <c r="H125" s="35">
        <v>3.45</v>
      </c>
      <c r="I125" s="20">
        <v>1250</v>
      </c>
      <c r="J125" s="21">
        <f t="shared" si="11"/>
        <v>4312.5</v>
      </c>
      <c r="K125" s="7"/>
    </row>
    <row r="126" spans="1:23" s="36" customFormat="1" x14ac:dyDescent="0.3">
      <c r="A126" s="6"/>
      <c r="B126" s="17">
        <f t="shared" si="10"/>
        <v>25</v>
      </c>
      <c r="C126" s="18">
        <v>44273</v>
      </c>
      <c r="D126" s="19" t="s">
        <v>18</v>
      </c>
      <c r="E126" s="19" t="s">
        <v>181</v>
      </c>
      <c r="F126" s="35">
        <v>1705</v>
      </c>
      <c r="G126" s="35">
        <v>1725.8</v>
      </c>
      <c r="H126" s="35">
        <v>20.8</v>
      </c>
      <c r="I126" s="20">
        <v>500</v>
      </c>
      <c r="J126" s="21">
        <f t="shared" si="11"/>
        <v>10400</v>
      </c>
      <c r="K126" s="7"/>
    </row>
    <row r="127" spans="1:23" s="36" customFormat="1" x14ac:dyDescent="0.3">
      <c r="A127" s="6"/>
      <c r="B127" s="17">
        <f t="shared" si="10"/>
        <v>26</v>
      </c>
      <c r="C127" s="18">
        <v>44273</v>
      </c>
      <c r="D127" s="19" t="s">
        <v>18</v>
      </c>
      <c r="E127" s="19" t="s">
        <v>311</v>
      </c>
      <c r="F127" s="35">
        <v>284</v>
      </c>
      <c r="G127" s="35">
        <v>285</v>
      </c>
      <c r="H127" s="35">
        <v>1</v>
      </c>
      <c r="I127" s="20">
        <v>3000</v>
      </c>
      <c r="J127" s="21">
        <f t="shared" si="11"/>
        <v>3000</v>
      </c>
      <c r="K127" s="7"/>
    </row>
    <row r="128" spans="1:23" s="36" customFormat="1" x14ac:dyDescent="0.3">
      <c r="A128" s="6"/>
      <c r="B128" s="17">
        <f t="shared" si="10"/>
        <v>27</v>
      </c>
      <c r="C128" s="18">
        <v>44274</v>
      </c>
      <c r="D128" s="19" t="s">
        <v>18</v>
      </c>
      <c r="E128" s="19" t="s">
        <v>312</v>
      </c>
      <c r="F128" s="35">
        <v>1340</v>
      </c>
      <c r="G128" s="35">
        <v>1325</v>
      </c>
      <c r="H128" s="35">
        <v>15</v>
      </c>
      <c r="I128" s="20">
        <v>600</v>
      </c>
      <c r="J128" s="21">
        <f t="shared" si="11"/>
        <v>9000</v>
      </c>
      <c r="K128" s="7"/>
    </row>
    <row r="129" spans="1:23" s="36" customFormat="1" x14ac:dyDescent="0.3">
      <c r="A129" s="6"/>
      <c r="B129" s="17">
        <f t="shared" si="10"/>
        <v>28</v>
      </c>
      <c r="C129" s="18">
        <v>44274</v>
      </c>
      <c r="D129" s="19" t="s">
        <v>18</v>
      </c>
      <c r="E129" s="19" t="s">
        <v>70</v>
      </c>
      <c r="F129" s="35">
        <v>716</v>
      </c>
      <c r="G129" s="35">
        <v>722</v>
      </c>
      <c r="H129" s="35">
        <v>6</v>
      </c>
      <c r="I129" s="20">
        <v>1200</v>
      </c>
      <c r="J129" s="21">
        <f t="shared" si="11"/>
        <v>7200</v>
      </c>
      <c r="K129" s="7"/>
    </row>
    <row r="130" spans="1:23" s="36" customFormat="1" x14ac:dyDescent="0.3">
      <c r="A130" s="6"/>
      <c r="B130" s="17">
        <f t="shared" si="10"/>
        <v>29</v>
      </c>
      <c r="C130" s="18">
        <v>44277</v>
      </c>
      <c r="D130" s="19" t="s">
        <v>18</v>
      </c>
      <c r="E130" s="19" t="s">
        <v>70</v>
      </c>
      <c r="F130" s="35">
        <v>728</v>
      </c>
      <c r="G130" s="35">
        <v>731.5</v>
      </c>
      <c r="H130" s="35">
        <v>3.5</v>
      </c>
      <c r="I130" s="20">
        <v>1200</v>
      </c>
      <c r="J130" s="21">
        <f t="shared" si="11"/>
        <v>4200</v>
      </c>
      <c r="K130" s="7"/>
      <c r="V130" s="36">
        <f t="shared" si="12"/>
        <v>1</v>
      </c>
      <c r="W130" s="36">
        <f t="shared" si="13"/>
        <v>0</v>
      </c>
    </row>
    <row r="131" spans="1:23" s="36" customFormat="1" x14ac:dyDescent="0.3">
      <c r="A131" s="6"/>
      <c r="B131" s="17">
        <f t="shared" si="10"/>
        <v>30</v>
      </c>
      <c r="C131" s="18">
        <v>44277</v>
      </c>
      <c r="D131" s="19" t="s">
        <v>18</v>
      </c>
      <c r="E131" s="19" t="s">
        <v>80</v>
      </c>
      <c r="F131" s="35">
        <v>1414</v>
      </c>
      <c r="G131" s="35">
        <v>1400</v>
      </c>
      <c r="H131" s="35">
        <v>-14</v>
      </c>
      <c r="I131" s="20">
        <v>550</v>
      </c>
      <c r="J131" s="21">
        <f t="shared" si="11"/>
        <v>-7700</v>
      </c>
      <c r="K131" s="7"/>
      <c r="V131" s="36">
        <f t="shared" si="12"/>
        <v>0</v>
      </c>
      <c r="W131" s="36">
        <f t="shared" si="13"/>
        <v>1</v>
      </c>
    </row>
    <row r="132" spans="1:23" s="36" customFormat="1" x14ac:dyDescent="0.3">
      <c r="A132" s="6"/>
      <c r="B132" s="17">
        <f>B131+1</f>
        <v>31</v>
      </c>
      <c r="C132" s="18">
        <v>44278</v>
      </c>
      <c r="D132" s="19" t="s">
        <v>69</v>
      </c>
      <c r="E132" s="19" t="s">
        <v>70</v>
      </c>
      <c r="F132" s="35">
        <v>719</v>
      </c>
      <c r="G132" s="35">
        <v>725</v>
      </c>
      <c r="H132" s="35">
        <v>-6</v>
      </c>
      <c r="I132" s="20">
        <v>1200</v>
      </c>
      <c r="J132" s="21">
        <f t="shared" si="11"/>
        <v>-7200</v>
      </c>
      <c r="K132" s="7"/>
      <c r="V132" s="36">
        <f t="shared" si="12"/>
        <v>0</v>
      </c>
      <c r="W132" s="36">
        <f t="shared" si="13"/>
        <v>1</v>
      </c>
    </row>
    <row r="133" spans="1:23" s="36" customFormat="1" x14ac:dyDescent="0.3">
      <c r="A133" s="6"/>
      <c r="B133" s="17">
        <f t="shared" si="10"/>
        <v>32</v>
      </c>
      <c r="C133" s="18">
        <v>44278</v>
      </c>
      <c r="D133" s="19" t="s">
        <v>18</v>
      </c>
      <c r="E133" s="19" t="s">
        <v>317</v>
      </c>
      <c r="F133" s="35">
        <v>750</v>
      </c>
      <c r="G133" s="35">
        <v>752</v>
      </c>
      <c r="H133" s="35">
        <v>2</v>
      </c>
      <c r="I133" s="20">
        <v>1100</v>
      </c>
      <c r="J133" s="21">
        <f t="shared" si="11"/>
        <v>2200</v>
      </c>
      <c r="K133" s="7"/>
      <c r="V133" s="36">
        <f t="shared" si="12"/>
        <v>1</v>
      </c>
      <c r="W133" s="36">
        <f t="shared" si="13"/>
        <v>0</v>
      </c>
    </row>
    <row r="134" spans="1:23" s="36" customFormat="1" x14ac:dyDescent="0.3">
      <c r="A134" s="6"/>
      <c r="B134" s="17">
        <f t="shared" si="10"/>
        <v>33</v>
      </c>
      <c r="C134" s="18">
        <v>44279</v>
      </c>
      <c r="D134" s="19" t="s">
        <v>18</v>
      </c>
      <c r="E134" s="19" t="s">
        <v>320</v>
      </c>
      <c r="F134" s="35">
        <v>468</v>
      </c>
      <c r="G134" s="35">
        <v>462</v>
      </c>
      <c r="H134" s="35">
        <v>-60</v>
      </c>
      <c r="I134" s="20">
        <v>1150</v>
      </c>
      <c r="J134" s="21">
        <f t="shared" si="11"/>
        <v>-69000</v>
      </c>
      <c r="K134" s="7"/>
      <c r="V134" s="36">
        <f t="shared" si="12"/>
        <v>0</v>
      </c>
      <c r="W134" s="36">
        <f t="shared" si="13"/>
        <v>1</v>
      </c>
    </row>
    <row r="135" spans="1:23" s="36" customFormat="1" x14ac:dyDescent="0.3">
      <c r="A135" s="6"/>
      <c r="B135" s="17">
        <f t="shared" si="10"/>
        <v>34</v>
      </c>
      <c r="C135" s="18">
        <v>44279</v>
      </c>
      <c r="D135" s="19" t="s">
        <v>18</v>
      </c>
      <c r="E135" s="19" t="s">
        <v>181</v>
      </c>
      <c r="F135" s="35">
        <v>1755</v>
      </c>
      <c r="G135" s="35">
        <v>1766.5</v>
      </c>
      <c r="H135" s="35">
        <v>11.5</v>
      </c>
      <c r="I135" s="20">
        <v>500</v>
      </c>
      <c r="J135" s="21">
        <f t="shared" si="11"/>
        <v>5750</v>
      </c>
      <c r="K135" s="7"/>
      <c r="V135" s="36">
        <f t="shared" si="12"/>
        <v>1</v>
      </c>
      <c r="W135" s="36">
        <f t="shared" si="13"/>
        <v>0</v>
      </c>
    </row>
    <row r="136" spans="1:23" s="36" customFormat="1" x14ac:dyDescent="0.3">
      <c r="A136" s="6"/>
      <c r="B136" s="17">
        <f t="shared" si="10"/>
        <v>35</v>
      </c>
      <c r="C136" s="18">
        <v>44280</v>
      </c>
      <c r="D136" s="19" t="s">
        <v>18</v>
      </c>
      <c r="E136" s="19" t="s">
        <v>80</v>
      </c>
      <c r="F136" s="35">
        <v>1378</v>
      </c>
      <c r="G136" s="35">
        <v>1386</v>
      </c>
      <c r="H136" s="35">
        <v>8</v>
      </c>
      <c r="I136" s="20">
        <v>550</v>
      </c>
      <c r="J136" s="21">
        <f t="shared" si="11"/>
        <v>4400</v>
      </c>
      <c r="K136" s="7"/>
      <c r="V136" s="36">
        <f t="shared" si="12"/>
        <v>1</v>
      </c>
      <c r="W136" s="36">
        <f t="shared" si="13"/>
        <v>0</v>
      </c>
    </row>
    <row r="137" spans="1:23" s="36" customFormat="1" x14ac:dyDescent="0.3">
      <c r="A137" s="6"/>
      <c r="B137" s="17">
        <f t="shared" si="10"/>
        <v>36</v>
      </c>
      <c r="C137" s="18">
        <v>44280</v>
      </c>
      <c r="D137" s="19" t="s">
        <v>18</v>
      </c>
      <c r="E137" s="19" t="s">
        <v>181</v>
      </c>
      <c r="F137" s="35">
        <v>1715</v>
      </c>
      <c r="G137" s="35">
        <v>1700</v>
      </c>
      <c r="H137" s="35">
        <v>-15</v>
      </c>
      <c r="I137" s="20">
        <v>500</v>
      </c>
      <c r="J137" s="21">
        <f t="shared" si="11"/>
        <v>-7500</v>
      </c>
      <c r="K137" s="7"/>
      <c r="V137" s="36">
        <f t="shared" si="12"/>
        <v>0</v>
      </c>
      <c r="W137" s="36">
        <f t="shared" si="13"/>
        <v>1</v>
      </c>
    </row>
    <row r="138" spans="1:23" s="36" customFormat="1" x14ac:dyDescent="0.3">
      <c r="A138" s="6"/>
      <c r="B138" s="17">
        <f t="shared" si="10"/>
        <v>37</v>
      </c>
      <c r="C138" s="18">
        <v>44281</v>
      </c>
      <c r="D138" s="19" t="s">
        <v>18</v>
      </c>
      <c r="E138" s="19" t="s">
        <v>86</v>
      </c>
      <c r="F138" s="35">
        <v>5210</v>
      </c>
      <c r="G138" s="35">
        <v>5270</v>
      </c>
      <c r="H138" s="35">
        <v>60</v>
      </c>
      <c r="I138" s="20">
        <v>250</v>
      </c>
      <c r="J138" s="21">
        <f t="shared" si="11"/>
        <v>15000</v>
      </c>
      <c r="K138" s="7"/>
      <c r="V138" s="36">
        <f t="shared" si="12"/>
        <v>1</v>
      </c>
      <c r="W138" s="36">
        <f t="shared" si="13"/>
        <v>0</v>
      </c>
    </row>
    <row r="139" spans="1:23" s="36" customFormat="1" x14ac:dyDescent="0.3">
      <c r="A139" s="6"/>
      <c r="B139" s="17">
        <f t="shared" si="10"/>
        <v>38</v>
      </c>
      <c r="C139" s="18">
        <v>44281</v>
      </c>
      <c r="D139" s="19" t="s">
        <v>18</v>
      </c>
      <c r="E139" s="19" t="s">
        <v>327</v>
      </c>
      <c r="F139" s="35">
        <v>706</v>
      </c>
      <c r="G139" s="35">
        <v>718</v>
      </c>
      <c r="H139" s="35">
        <v>12</v>
      </c>
      <c r="I139" s="20">
        <v>1000</v>
      </c>
      <c r="J139" s="21">
        <f t="shared" si="11"/>
        <v>12000</v>
      </c>
      <c r="K139" s="7"/>
      <c r="V139" s="36">
        <f t="shared" si="12"/>
        <v>1</v>
      </c>
      <c r="W139" s="36">
        <f t="shared" si="13"/>
        <v>0</v>
      </c>
    </row>
    <row r="140" spans="1:23" s="36" customFormat="1" x14ac:dyDescent="0.3">
      <c r="A140" s="6"/>
      <c r="B140" s="17">
        <f t="shared" si="10"/>
        <v>39</v>
      </c>
      <c r="C140" s="18">
        <v>44285</v>
      </c>
      <c r="D140" s="19" t="s">
        <v>69</v>
      </c>
      <c r="E140" s="19" t="s">
        <v>181</v>
      </c>
      <c r="F140" s="35">
        <v>1603</v>
      </c>
      <c r="G140" s="35">
        <v>1588</v>
      </c>
      <c r="H140" s="35">
        <v>15</v>
      </c>
      <c r="I140" s="20">
        <v>500</v>
      </c>
      <c r="J140" s="21">
        <f t="shared" si="11"/>
        <v>7500</v>
      </c>
      <c r="K140" s="7"/>
    </row>
    <row r="141" spans="1:23" s="36" customFormat="1" x14ac:dyDescent="0.3">
      <c r="A141" s="6"/>
      <c r="B141" s="17">
        <f t="shared" si="10"/>
        <v>40</v>
      </c>
      <c r="C141" s="18">
        <v>44286</v>
      </c>
      <c r="D141" s="19" t="s">
        <v>18</v>
      </c>
      <c r="E141" s="19" t="s">
        <v>86</v>
      </c>
      <c r="F141" s="35">
        <v>5230</v>
      </c>
      <c r="G141" s="35">
        <v>5200</v>
      </c>
      <c r="H141" s="35">
        <v>-30</v>
      </c>
      <c r="I141" s="20">
        <v>250</v>
      </c>
      <c r="J141" s="21">
        <f t="shared" si="11"/>
        <v>-7500</v>
      </c>
      <c r="K141" s="7"/>
    </row>
    <row r="142" spans="1:23" s="36" customFormat="1" x14ac:dyDescent="0.3">
      <c r="A142" s="6"/>
      <c r="B142" s="17">
        <f t="shared" si="10"/>
        <v>41</v>
      </c>
      <c r="C142" s="18">
        <v>44286</v>
      </c>
      <c r="D142" s="19" t="s">
        <v>18</v>
      </c>
      <c r="E142" s="19" t="s">
        <v>181</v>
      </c>
      <c r="F142" s="35">
        <v>1610</v>
      </c>
      <c r="G142" s="35">
        <v>1640</v>
      </c>
      <c r="H142" s="35">
        <v>30</v>
      </c>
      <c r="I142" s="20">
        <v>500</v>
      </c>
      <c r="J142" s="21">
        <f t="shared" si="11"/>
        <v>15000</v>
      </c>
      <c r="K142" s="7"/>
    </row>
    <row r="143" spans="1:23" s="36" customFormat="1" x14ac:dyDescent="0.3">
      <c r="A143" s="6"/>
      <c r="B143" s="17">
        <f t="shared" si="10"/>
        <v>42</v>
      </c>
      <c r="C143" s="18"/>
      <c r="D143" s="19"/>
      <c r="E143" s="19"/>
      <c r="F143" s="35"/>
      <c r="G143" s="35"/>
      <c r="H143" s="35"/>
      <c r="I143" s="20"/>
      <c r="J143" s="21">
        <f t="shared" si="11"/>
        <v>0</v>
      </c>
      <c r="K143" s="7"/>
    </row>
    <row r="144" spans="1:23" s="36" customFormat="1" x14ac:dyDescent="0.3">
      <c r="A144" s="6"/>
      <c r="B144" s="17">
        <f t="shared" si="10"/>
        <v>43</v>
      </c>
      <c r="C144" s="18"/>
      <c r="D144" s="19"/>
      <c r="E144" s="19"/>
      <c r="F144" s="35"/>
      <c r="G144" s="35"/>
      <c r="H144" s="35"/>
      <c r="I144" s="20"/>
      <c r="J144" s="21">
        <f t="shared" si="11"/>
        <v>0</v>
      </c>
      <c r="K144" s="7"/>
    </row>
    <row r="145" spans="1:23" s="36" customFormat="1" x14ac:dyDescent="0.3">
      <c r="A145" s="6"/>
      <c r="B145" s="17">
        <f t="shared" si="10"/>
        <v>44</v>
      </c>
      <c r="C145" s="18"/>
      <c r="D145" s="19"/>
      <c r="E145" s="19"/>
      <c r="F145" s="35"/>
      <c r="G145" s="35"/>
      <c r="H145" s="35"/>
      <c r="I145" s="20"/>
      <c r="J145" s="21">
        <f t="shared" si="11"/>
        <v>0</v>
      </c>
      <c r="K145" s="7"/>
    </row>
    <row r="146" spans="1:23" s="36" customFormat="1" x14ac:dyDescent="0.3">
      <c r="A146" s="6"/>
      <c r="B146" s="17">
        <f t="shared" si="10"/>
        <v>45</v>
      </c>
      <c r="C146" s="18"/>
      <c r="D146" s="19"/>
      <c r="E146" s="19"/>
      <c r="F146" s="35"/>
      <c r="G146" s="35"/>
      <c r="H146" s="35"/>
      <c r="I146" s="20"/>
      <c r="J146" s="21">
        <f t="shared" si="11"/>
        <v>0</v>
      </c>
      <c r="K146" s="7"/>
    </row>
    <row r="147" spans="1:23" s="36" customFormat="1" x14ac:dyDescent="0.3">
      <c r="A147" s="6"/>
      <c r="B147" s="17">
        <f t="shared" si="10"/>
        <v>46</v>
      </c>
      <c r="C147" s="18"/>
      <c r="D147" s="19"/>
      <c r="E147" s="19"/>
      <c r="F147" s="35"/>
      <c r="G147" s="35"/>
      <c r="H147" s="35"/>
      <c r="I147" s="20"/>
      <c r="J147" s="21">
        <f t="shared" si="11"/>
        <v>0</v>
      </c>
      <c r="K147" s="7"/>
    </row>
    <row r="148" spans="1:23" s="36" customFormat="1" x14ac:dyDescent="0.3">
      <c r="A148" s="6"/>
      <c r="B148" s="17">
        <f t="shared" si="10"/>
        <v>47</v>
      </c>
      <c r="C148" s="18"/>
      <c r="D148" s="19"/>
      <c r="E148" s="19"/>
      <c r="F148" s="35"/>
      <c r="G148" s="35"/>
      <c r="H148" s="35"/>
      <c r="I148" s="20"/>
      <c r="J148" s="21">
        <f t="shared" si="11"/>
        <v>0</v>
      </c>
      <c r="K148" s="7"/>
      <c r="V148" s="36">
        <f t="shared" si="12"/>
        <v>0</v>
      </c>
      <c r="W148" s="36">
        <f t="shared" si="13"/>
        <v>0</v>
      </c>
    </row>
    <row r="149" spans="1:23" s="36" customFormat="1" x14ac:dyDescent="0.3">
      <c r="A149" s="6"/>
      <c r="B149" s="17">
        <f t="shared" si="10"/>
        <v>48</v>
      </c>
      <c r="C149" s="18"/>
      <c r="D149" s="19"/>
      <c r="E149" s="19"/>
      <c r="F149" s="35"/>
      <c r="G149" s="35"/>
      <c r="H149" s="35"/>
      <c r="I149" s="20"/>
      <c r="J149" s="21">
        <f t="shared" si="11"/>
        <v>0</v>
      </c>
      <c r="K149" s="7"/>
    </row>
    <row r="150" spans="1:23" s="36" customFormat="1" x14ac:dyDescent="0.3">
      <c r="A150" s="6"/>
      <c r="B150" s="17">
        <f t="shared" si="10"/>
        <v>49</v>
      </c>
      <c r="C150" s="18"/>
      <c r="D150" s="19"/>
      <c r="E150" s="19"/>
      <c r="F150" s="35"/>
      <c r="G150" s="35"/>
      <c r="H150" s="35"/>
      <c r="I150" s="20"/>
      <c r="J150" s="21">
        <f t="shared" si="11"/>
        <v>0</v>
      </c>
      <c r="K150" s="7"/>
    </row>
    <row r="151" spans="1:23" s="36" customFormat="1" x14ac:dyDescent="0.3">
      <c r="A151" s="6"/>
      <c r="B151" s="17">
        <f t="shared" si="10"/>
        <v>50</v>
      </c>
      <c r="C151" s="18"/>
      <c r="D151" s="19"/>
      <c r="E151" s="19"/>
      <c r="F151" s="35"/>
      <c r="G151" s="35"/>
      <c r="H151" s="35"/>
      <c r="I151" s="20"/>
      <c r="J151" s="21">
        <f t="shared" si="11"/>
        <v>0</v>
      </c>
      <c r="K151" s="7"/>
    </row>
    <row r="152" spans="1:23" s="36" customFormat="1" x14ac:dyDescent="0.3">
      <c r="A152" s="6"/>
      <c r="B152" s="17">
        <f t="shared" si="10"/>
        <v>51</v>
      </c>
      <c r="C152" s="18"/>
      <c r="D152" s="19"/>
      <c r="E152" s="19"/>
      <c r="F152" s="35"/>
      <c r="G152" s="35"/>
      <c r="H152" s="35"/>
      <c r="I152" s="20"/>
      <c r="J152" s="21">
        <f t="shared" si="11"/>
        <v>0</v>
      </c>
      <c r="K152" s="7"/>
    </row>
    <row r="153" spans="1:23" s="36" customFormat="1" x14ac:dyDescent="0.3">
      <c r="A153" s="6"/>
      <c r="B153" s="17">
        <f t="shared" si="10"/>
        <v>52</v>
      </c>
      <c r="C153" s="18"/>
      <c r="D153" s="19"/>
      <c r="E153" s="19"/>
      <c r="F153" s="35"/>
      <c r="G153" s="35"/>
      <c r="H153" s="35"/>
      <c r="I153" s="20"/>
      <c r="J153" s="21">
        <f t="shared" si="11"/>
        <v>0</v>
      </c>
      <c r="K153" s="7"/>
    </row>
    <row r="154" spans="1:23" s="36" customFormat="1" ht="15" thickBot="1" x14ac:dyDescent="0.35">
      <c r="A154" s="6"/>
      <c r="B154" s="17">
        <f t="shared" si="10"/>
        <v>53</v>
      </c>
      <c r="C154" s="79"/>
      <c r="D154" s="80"/>
      <c r="E154" s="80"/>
      <c r="F154" s="81"/>
      <c r="G154" s="81"/>
      <c r="H154" s="80"/>
      <c r="I154" s="81"/>
      <c r="J154" s="82">
        <f t="shared" si="11"/>
        <v>0</v>
      </c>
      <c r="K154" s="7"/>
      <c r="V154" s="36">
        <f t="shared" si="12"/>
        <v>0</v>
      </c>
      <c r="W154" s="36">
        <f t="shared" si="13"/>
        <v>0</v>
      </c>
    </row>
    <row r="155" spans="1:23" s="36" customFormat="1" ht="24" thickBot="1" x14ac:dyDescent="0.5">
      <c r="A155" s="6"/>
      <c r="B155" s="165" t="s">
        <v>22</v>
      </c>
      <c r="C155" s="166"/>
      <c r="D155" s="166"/>
      <c r="E155" s="166"/>
      <c r="F155" s="166"/>
      <c r="G155" s="166"/>
      <c r="H155" s="167"/>
      <c r="I155" s="83" t="s">
        <v>23</v>
      </c>
      <c r="J155" s="84">
        <f>SUM(J102:J154)</f>
        <v>153692.5</v>
      </c>
      <c r="K155" s="7"/>
      <c r="L155" s="5"/>
      <c r="M155" s="5"/>
      <c r="N155" s="5"/>
      <c r="O155" s="5"/>
      <c r="P155" s="5"/>
      <c r="Q155" s="5"/>
      <c r="R155" s="5"/>
      <c r="V155" s="36" t="e">
        <f>SUM(V102:V154)</f>
        <v>#REF!</v>
      </c>
      <c r="W155" s="36" t="e">
        <f>SUM(W102:W154)</f>
        <v>#REF!</v>
      </c>
    </row>
    <row r="156" spans="1:23" s="36" customFormat="1" ht="30" customHeight="1" thickBot="1" x14ac:dyDescent="0.35">
      <c r="A156" s="30"/>
      <c r="B156" s="31"/>
      <c r="C156" s="31"/>
      <c r="D156" s="31"/>
      <c r="E156" s="31"/>
      <c r="F156" s="31"/>
      <c r="G156" s="31"/>
      <c r="H156" s="32"/>
      <c r="I156" s="31"/>
      <c r="J156" s="32"/>
      <c r="K156" s="33"/>
      <c r="L156" s="5"/>
      <c r="M156" s="5"/>
      <c r="N156" s="5"/>
      <c r="O156" s="5"/>
      <c r="P156" s="5"/>
      <c r="Q156" s="5"/>
      <c r="R156" s="5"/>
    </row>
    <row r="157" spans="1:23" ht="15" thickBot="1" x14ac:dyDescent="0.35"/>
    <row r="158" spans="1:23" s="36" customFormat="1" ht="30" customHeight="1" thickBot="1" x14ac:dyDescent="0.35">
      <c r="A158" s="1"/>
      <c r="B158" s="2"/>
      <c r="C158" s="2"/>
      <c r="D158" s="2"/>
      <c r="E158" s="2"/>
      <c r="F158" s="2"/>
      <c r="G158" s="2"/>
      <c r="H158" s="3"/>
      <c r="I158" s="2"/>
      <c r="J158" s="3"/>
      <c r="K158" s="4"/>
    </row>
    <row r="159" spans="1:23" s="36" customFormat="1" ht="25.2" thickBot="1" x14ac:dyDescent="0.35">
      <c r="A159" s="6" t="s">
        <v>1</v>
      </c>
      <c r="B159" s="119" t="s">
        <v>2</v>
      </c>
      <c r="C159" s="120"/>
      <c r="D159" s="120"/>
      <c r="E159" s="120"/>
      <c r="F159" s="120"/>
      <c r="G159" s="120"/>
      <c r="H159" s="120"/>
      <c r="I159" s="120"/>
      <c r="J159" s="121"/>
      <c r="K159" s="7"/>
    </row>
    <row r="160" spans="1:23" s="36" customFormat="1" ht="16.2" thickBot="1" x14ac:dyDescent="0.35">
      <c r="A160" s="6"/>
      <c r="B160" s="168" t="s">
        <v>331</v>
      </c>
      <c r="C160" s="169"/>
      <c r="D160" s="169"/>
      <c r="E160" s="169"/>
      <c r="F160" s="169"/>
      <c r="G160" s="169"/>
      <c r="H160" s="169"/>
      <c r="I160" s="169"/>
      <c r="J160" s="170"/>
      <c r="K160" s="7"/>
      <c r="L160" s="22"/>
    </row>
    <row r="161" spans="1:23" s="36" customFormat="1" ht="16.2" thickBot="1" x14ac:dyDescent="0.35">
      <c r="A161" s="6"/>
      <c r="B161" s="106" t="s">
        <v>215</v>
      </c>
      <c r="C161" s="107"/>
      <c r="D161" s="107"/>
      <c r="E161" s="107"/>
      <c r="F161" s="107"/>
      <c r="G161" s="107"/>
      <c r="H161" s="107"/>
      <c r="I161" s="107"/>
      <c r="J161" s="108"/>
      <c r="K161" s="7"/>
    </row>
    <row r="162" spans="1:23" s="22" customFormat="1" ht="15" thickBot="1" x14ac:dyDescent="0.35">
      <c r="A162" s="69"/>
      <c r="B162" s="70" t="s">
        <v>9</v>
      </c>
      <c r="C162" s="71" t="s">
        <v>10</v>
      </c>
      <c r="D162" s="72" t="s">
        <v>11</v>
      </c>
      <c r="E162" s="72" t="s">
        <v>12</v>
      </c>
      <c r="F162" s="73" t="s">
        <v>65</v>
      </c>
      <c r="G162" s="73" t="s">
        <v>66</v>
      </c>
      <c r="H162" s="74" t="s">
        <v>67</v>
      </c>
      <c r="I162" s="73" t="s">
        <v>68</v>
      </c>
      <c r="J162" s="75" t="s">
        <v>17</v>
      </c>
      <c r="K162" s="76"/>
      <c r="L162" s="36"/>
      <c r="M162" s="36"/>
      <c r="N162" s="36"/>
      <c r="O162" s="36" t="s">
        <v>21</v>
      </c>
      <c r="P162" s="36"/>
      <c r="Q162" s="36"/>
      <c r="R162" s="36"/>
      <c r="V162" s="5" t="s">
        <v>5</v>
      </c>
      <c r="W162" s="5" t="s">
        <v>6</v>
      </c>
    </row>
    <row r="163" spans="1:23" s="36" customFormat="1" x14ac:dyDescent="0.3">
      <c r="A163" s="6"/>
      <c r="B163" s="14">
        <v>1</v>
      </c>
      <c r="C163" s="18">
        <v>44256</v>
      </c>
      <c r="D163" s="19" t="s">
        <v>18</v>
      </c>
      <c r="E163" s="19" t="s">
        <v>286</v>
      </c>
      <c r="F163" s="35">
        <v>70</v>
      </c>
      <c r="G163" s="35">
        <v>84.8</v>
      </c>
      <c r="H163" s="35">
        <v>14.8</v>
      </c>
      <c r="I163" s="20">
        <v>300</v>
      </c>
      <c r="J163" s="16">
        <f t="shared" ref="J163:J208" si="14">I163*H163</f>
        <v>4440</v>
      </c>
      <c r="K163" s="7"/>
      <c r="V163" s="36">
        <f>IF($J163&gt;0,1,0)</f>
        <v>1</v>
      </c>
      <c r="W163" s="36">
        <f>IF($J163&lt;0,1,0)</f>
        <v>0</v>
      </c>
    </row>
    <row r="164" spans="1:23" s="36" customFormat="1" x14ac:dyDescent="0.3">
      <c r="A164" s="6"/>
      <c r="B164" s="17">
        <f>B163+1</f>
        <v>2</v>
      </c>
      <c r="C164" s="18">
        <v>44256</v>
      </c>
      <c r="D164" s="19" t="s">
        <v>18</v>
      </c>
      <c r="E164" s="19" t="s">
        <v>287</v>
      </c>
      <c r="F164" s="35">
        <v>85</v>
      </c>
      <c r="G164" s="35">
        <v>104</v>
      </c>
      <c r="H164" s="35">
        <v>19</v>
      </c>
      <c r="I164" s="20">
        <v>300</v>
      </c>
      <c r="J164" s="21">
        <f t="shared" si="14"/>
        <v>5700</v>
      </c>
      <c r="K164" s="7"/>
      <c r="L164" s="36" t="s">
        <v>21</v>
      </c>
      <c r="V164" s="36">
        <f t="shared" ref="V164:V208" si="15">IF($J164&gt;0,1,0)</f>
        <v>1</v>
      </c>
      <c r="W164" s="36">
        <f t="shared" ref="W164:W208" si="16">IF($J164&lt;0,1,0)</f>
        <v>0</v>
      </c>
    </row>
    <row r="165" spans="1:23" s="36" customFormat="1" x14ac:dyDescent="0.3">
      <c r="A165" s="6"/>
      <c r="B165" s="17">
        <f t="shared" ref="B165:B185" si="17">B164+1</f>
        <v>3</v>
      </c>
      <c r="C165" s="18">
        <v>44257</v>
      </c>
      <c r="D165" s="19" t="s">
        <v>18</v>
      </c>
      <c r="E165" s="19" t="s">
        <v>286</v>
      </c>
      <c r="F165" s="35">
        <v>80</v>
      </c>
      <c r="G165" s="35">
        <v>65</v>
      </c>
      <c r="H165" s="35">
        <v>-15</v>
      </c>
      <c r="I165" s="20">
        <v>300</v>
      </c>
      <c r="J165" s="21">
        <f t="shared" si="14"/>
        <v>-4500</v>
      </c>
      <c r="K165" s="7"/>
      <c r="V165" s="36">
        <f t="shared" si="15"/>
        <v>0</v>
      </c>
      <c r="W165" s="36">
        <f t="shared" si="16"/>
        <v>1</v>
      </c>
    </row>
    <row r="166" spans="1:23" s="36" customFormat="1" x14ac:dyDescent="0.3">
      <c r="A166" s="6"/>
      <c r="B166" s="17">
        <f t="shared" si="17"/>
        <v>4</v>
      </c>
      <c r="C166" s="18">
        <v>44257</v>
      </c>
      <c r="D166" s="19" t="s">
        <v>18</v>
      </c>
      <c r="E166" s="19" t="s">
        <v>290</v>
      </c>
      <c r="F166" s="35">
        <v>75</v>
      </c>
      <c r="G166" s="35">
        <v>60</v>
      </c>
      <c r="H166" s="35">
        <v>-15</v>
      </c>
      <c r="I166" s="20">
        <v>300</v>
      </c>
      <c r="J166" s="21">
        <f t="shared" si="14"/>
        <v>-4500</v>
      </c>
      <c r="K166" s="7"/>
      <c r="V166" s="36">
        <f t="shared" si="15"/>
        <v>0</v>
      </c>
      <c r="W166" s="36">
        <f t="shared" si="16"/>
        <v>1</v>
      </c>
    </row>
    <row r="167" spans="1:23" s="36" customFormat="1" x14ac:dyDescent="0.3">
      <c r="A167" s="6"/>
      <c r="B167" s="17">
        <f t="shared" si="17"/>
        <v>5</v>
      </c>
      <c r="C167" s="18">
        <v>44258</v>
      </c>
      <c r="D167" s="19" t="s">
        <v>18</v>
      </c>
      <c r="E167" s="19" t="s">
        <v>246</v>
      </c>
      <c r="F167" s="35">
        <v>70</v>
      </c>
      <c r="G167" s="35">
        <v>100</v>
      </c>
      <c r="H167" s="35">
        <v>30</v>
      </c>
      <c r="I167" s="20">
        <v>300</v>
      </c>
      <c r="J167" s="21">
        <f t="shared" si="14"/>
        <v>9000</v>
      </c>
      <c r="K167" s="7"/>
      <c r="V167" s="36">
        <f t="shared" si="15"/>
        <v>1</v>
      </c>
      <c r="W167" s="36">
        <f t="shared" si="16"/>
        <v>0</v>
      </c>
    </row>
    <row r="168" spans="1:23" s="36" customFormat="1" x14ac:dyDescent="0.3">
      <c r="A168" s="6"/>
      <c r="B168" s="17">
        <f t="shared" si="17"/>
        <v>6</v>
      </c>
      <c r="C168" s="18">
        <v>44258</v>
      </c>
      <c r="D168" s="19" t="s">
        <v>18</v>
      </c>
      <c r="E168" s="19" t="s">
        <v>257</v>
      </c>
      <c r="F168" s="20">
        <v>60</v>
      </c>
      <c r="G168" s="35">
        <v>90</v>
      </c>
      <c r="H168" s="35">
        <v>30</v>
      </c>
      <c r="I168" s="20">
        <v>300</v>
      </c>
      <c r="J168" s="21">
        <f t="shared" si="14"/>
        <v>9000</v>
      </c>
      <c r="K168" s="7"/>
      <c r="V168" s="36">
        <f t="shared" si="15"/>
        <v>1</v>
      </c>
      <c r="W168" s="36">
        <f t="shared" si="16"/>
        <v>0</v>
      </c>
    </row>
    <row r="169" spans="1:23" s="36" customFormat="1" x14ac:dyDescent="0.3">
      <c r="A169" s="6"/>
      <c r="B169" s="17">
        <f t="shared" si="17"/>
        <v>7</v>
      </c>
      <c r="C169" s="18">
        <v>44259</v>
      </c>
      <c r="D169" s="19" t="s">
        <v>18</v>
      </c>
      <c r="E169" s="19" t="s">
        <v>246</v>
      </c>
      <c r="F169" s="35">
        <v>55</v>
      </c>
      <c r="G169" s="35">
        <v>85</v>
      </c>
      <c r="H169" s="35">
        <v>30</v>
      </c>
      <c r="I169" s="20">
        <v>300</v>
      </c>
      <c r="J169" s="21">
        <f t="shared" si="14"/>
        <v>9000</v>
      </c>
      <c r="K169" s="7"/>
      <c r="V169" s="36">
        <f t="shared" si="15"/>
        <v>1</v>
      </c>
      <c r="W169" s="36">
        <f t="shared" si="16"/>
        <v>0</v>
      </c>
    </row>
    <row r="170" spans="1:23" s="36" customFormat="1" x14ac:dyDescent="0.3">
      <c r="A170" s="6"/>
      <c r="B170" s="17">
        <f t="shared" si="17"/>
        <v>8</v>
      </c>
      <c r="C170" s="18">
        <v>44259</v>
      </c>
      <c r="D170" s="19" t="s">
        <v>18</v>
      </c>
      <c r="E170" s="19" t="s">
        <v>292</v>
      </c>
      <c r="F170" s="35">
        <v>50</v>
      </c>
      <c r="G170" s="35">
        <v>35</v>
      </c>
      <c r="H170" s="35">
        <v>-15</v>
      </c>
      <c r="I170" s="20">
        <v>300</v>
      </c>
      <c r="J170" s="21">
        <f t="shared" si="14"/>
        <v>-4500</v>
      </c>
      <c r="K170" s="7"/>
      <c r="V170" s="36">
        <f t="shared" si="15"/>
        <v>0</v>
      </c>
      <c r="W170" s="36">
        <f t="shared" si="16"/>
        <v>1</v>
      </c>
    </row>
    <row r="171" spans="1:23" s="36" customFormat="1" x14ac:dyDescent="0.3">
      <c r="A171" s="6"/>
      <c r="B171" s="17">
        <f t="shared" si="17"/>
        <v>9</v>
      </c>
      <c r="C171" s="18">
        <v>44260</v>
      </c>
      <c r="D171" s="19" t="s">
        <v>18</v>
      </c>
      <c r="E171" s="19" t="s">
        <v>295</v>
      </c>
      <c r="F171" s="35">
        <v>90</v>
      </c>
      <c r="G171" s="35">
        <v>98.65</v>
      </c>
      <c r="H171" s="35">
        <v>8.65</v>
      </c>
      <c r="I171" s="20">
        <v>300</v>
      </c>
      <c r="J171" s="21">
        <f t="shared" si="14"/>
        <v>2595</v>
      </c>
      <c r="K171" s="7"/>
      <c r="V171" s="36">
        <f t="shared" si="15"/>
        <v>1</v>
      </c>
      <c r="W171" s="36">
        <f t="shared" si="16"/>
        <v>0</v>
      </c>
    </row>
    <row r="172" spans="1:23" s="36" customFormat="1" x14ac:dyDescent="0.3">
      <c r="A172" s="6"/>
      <c r="B172" s="17">
        <f t="shared" si="17"/>
        <v>10</v>
      </c>
      <c r="C172" s="18">
        <v>44260</v>
      </c>
      <c r="D172" s="19" t="s">
        <v>18</v>
      </c>
      <c r="E172" s="19" t="s">
        <v>296</v>
      </c>
      <c r="F172" s="35">
        <v>80</v>
      </c>
      <c r="G172" s="35">
        <v>65</v>
      </c>
      <c r="H172" s="35">
        <v>-15</v>
      </c>
      <c r="I172" s="20">
        <v>300</v>
      </c>
      <c r="J172" s="21">
        <f t="shared" si="14"/>
        <v>-4500</v>
      </c>
      <c r="K172" s="7"/>
      <c r="V172" s="36">
        <f t="shared" si="15"/>
        <v>0</v>
      </c>
      <c r="W172" s="36">
        <f t="shared" si="16"/>
        <v>1</v>
      </c>
    </row>
    <row r="173" spans="1:23" s="36" customFormat="1" x14ac:dyDescent="0.3">
      <c r="A173" s="6"/>
      <c r="B173" s="17">
        <f t="shared" si="17"/>
        <v>11</v>
      </c>
      <c r="C173" s="18">
        <v>44263</v>
      </c>
      <c r="D173" s="19" t="s">
        <v>18</v>
      </c>
      <c r="E173" s="19" t="s">
        <v>250</v>
      </c>
      <c r="F173" s="19">
        <v>65</v>
      </c>
      <c r="G173" s="35">
        <v>72.7</v>
      </c>
      <c r="H173" s="35">
        <v>7.7</v>
      </c>
      <c r="I173" s="20">
        <v>300</v>
      </c>
      <c r="J173" s="21">
        <f t="shared" si="14"/>
        <v>2310</v>
      </c>
      <c r="K173" s="7"/>
      <c r="V173" s="36">
        <f t="shared" si="15"/>
        <v>1</v>
      </c>
      <c r="W173" s="36">
        <f t="shared" si="16"/>
        <v>0</v>
      </c>
    </row>
    <row r="174" spans="1:23" s="36" customFormat="1" x14ac:dyDescent="0.3">
      <c r="A174" s="6"/>
      <c r="B174" s="17">
        <f t="shared" si="17"/>
        <v>12</v>
      </c>
      <c r="C174" s="18">
        <v>44263</v>
      </c>
      <c r="D174" s="19" t="s">
        <v>18</v>
      </c>
      <c r="E174" s="19" t="s">
        <v>257</v>
      </c>
      <c r="F174" s="35">
        <v>90</v>
      </c>
      <c r="G174" s="35">
        <v>103</v>
      </c>
      <c r="H174" s="35">
        <v>13</v>
      </c>
      <c r="I174" s="20">
        <v>300</v>
      </c>
      <c r="J174" s="21">
        <f t="shared" si="14"/>
        <v>3900</v>
      </c>
      <c r="K174" s="7"/>
      <c r="V174" s="36">
        <f t="shared" si="15"/>
        <v>1</v>
      </c>
      <c r="W174" s="36">
        <f t="shared" si="16"/>
        <v>0</v>
      </c>
    </row>
    <row r="175" spans="1:23" s="36" customFormat="1" x14ac:dyDescent="0.3">
      <c r="A175" s="6"/>
      <c r="B175" s="17">
        <f t="shared" si="17"/>
        <v>13</v>
      </c>
      <c r="C175" s="18">
        <v>44264</v>
      </c>
      <c r="D175" s="19" t="s">
        <v>18</v>
      </c>
      <c r="E175" s="19" t="s">
        <v>292</v>
      </c>
      <c r="F175" s="35">
        <v>65</v>
      </c>
      <c r="G175" s="35">
        <v>50</v>
      </c>
      <c r="H175" s="35">
        <v>-15</v>
      </c>
      <c r="I175" s="20">
        <v>300</v>
      </c>
      <c r="J175" s="21">
        <f t="shared" si="14"/>
        <v>-4500</v>
      </c>
      <c r="K175" s="7"/>
      <c r="V175" s="36">
        <f t="shared" si="15"/>
        <v>0</v>
      </c>
      <c r="W175" s="36">
        <f t="shared" si="16"/>
        <v>1</v>
      </c>
    </row>
    <row r="176" spans="1:23" s="36" customFormat="1" x14ac:dyDescent="0.3">
      <c r="A176" s="6"/>
      <c r="B176" s="17">
        <f t="shared" si="17"/>
        <v>14</v>
      </c>
      <c r="C176" s="18">
        <v>44264</v>
      </c>
      <c r="D176" s="19" t="s">
        <v>18</v>
      </c>
      <c r="E176" s="19" t="s">
        <v>255</v>
      </c>
      <c r="F176" s="77">
        <v>85</v>
      </c>
      <c r="G176" s="35">
        <v>106</v>
      </c>
      <c r="H176" s="78">
        <v>21</v>
      </c>
      <c r="I176" s="20">
        <v>300</v>
      </c>
      <c r="J176" s="21">
        <f t="shared" si="14"/>
        <v>6300</v>
      </c>
      <c r="K176" s="7"/>
      <c r="V176" s="36">
        <f t="shared" si="15"/>
        <v>1</v>
      </c>
      <c r="W176" s="36">
        <f t="shared" si="16"/>
        <v>0</v>
      </c>
    </row>
    <row r="177" spans="1:23" s="36" customFormat="1" x14ac:dyDescent="0.3">
      <c r="A177" s="6"/>
      <c r="B177" s="17">
        <f t="shared" si="17"/>
        <v>15</v>
      </c>
      <c r="C177" s="18">
        <v>44265</v>
      </c>
      <c r="D177" s="19" t="s">
        <v>18</v>
      </c>
      <c r="E177" s="19" t="s">
        <v>292</v>
      </c>
      <c r="F177" s="35">
        <v>65</v>
      </c>
      <c r="G177" s="35">
        <v>50</v>
      </c>
      <c r="H177" s="78">
        <v>-15</v>
      </c>
      <c r="I177" s="20">
        <v>300</v>
      </c>
      <c r="J177" s="21">
        <f t="shared" si="14"/>
        <v>-4500</v>
      </c>
      <c r="K177" s="7"/>
      <c r="V177" s="36">
        <f t="shared" si="15"/>
        <v>0</v>
      </c>
      <c r="W177" s="36">
        <f t="shared" si="16"/>
        <v>1</v>
      </c>
    </row>
    <row r="178" spans="1:23" s="36" customFormat="1" x14ac:dyDescent="0.3">
      <c r="A178" s="6"/>
      <c r="B178" s="17">
        <f t="shared" si="17"/>
        <v>16</v>
      </c>
      <c r="C178" s="18">
        <v>44265</v>
      </c>
      <c r="D178" s="19" t="s">
        <v>18</v>
      </c>
      <c r="E178" s="19" t="s">
        <v>257</v>
      </c>
      <c r="F178" s="35">
        <v>60</v>
      </c>
      <c r="G178" s="35">
        <v>90</v>
      </c>
      <c r="H178" s="78">
        <v>30</v>
      </c>
      <c r="I178" s="20">
        <v>300</v>
      </c>
      <c r="J178" s="21">
        <f t="shared" si="14"/>
        <v>9000</v>
      </c>
      <c r="K178" s="7"/>
      <c r="V178" s="36">
        <f t="shared" si="15"/>
        <v>1</v>
      </c>
      <c r="W178" s="36">
        <f t="shared" si="16"/>
        <v>0</v>
      </c>
    </row>
    <row r="179" spans="1:23" s="36" customFormat="1" x14ac:dyDescent="0.3">
      <c r="A179" s="6"/>
      <c r="B179" s="17">
        <f t="shared" si="17"/>
        <v>17</v>
      </c>
      <c r="C179" s="18">
        <v>44267</v>
      </c>
      <c r="D179" s="19" t="s">
        <v>18</v>
      </c>
      <c r="E179" s="19" t="s">
        <v>303</v>
      </c>
      <c r="F179" s="35">
        <v>75</v>
      </c>
      <c r="G179" s="35">
        <v>60</v>
      </c>
      <c r="H179" s="35">
        <v>-15</v>
      </c>
      <c r="I179" s="20">
        <v>300</v>
      </c>
      <c r="J179" s="21">
        <f t="shared" si="14"/>
        <v>-4500</v>
      </c>
      <c r="K179" s="7"/>
      <c r="V179" s="36">
        <f t="shared" si="15"/>
        <v>0</v>
      </c>
      <c r="W179" s="36">
        <f t="shared" si="16"/>
        <v>1</v>
      </c>
    </row>
    <row r="180" spans="1:23" s="36" customFormat="1" x14ac:dyDescent="0.3">
      <c r="A180" s="6"/>
      <c r="B180" s="17">
        <f t="shared" si="17"/>
        <v>18</v>
      </c>
      <c r="C180" s="18">
        <v>44267</v>
      </c>
      <c r="D180" s="19" t="s">
        <v>18</v>
      </c>
      <c r="E180" s="19" t="s">
        <v>256</v>
      </c>
      <c r="F180" s="35">
        <v>115</v>
      </c>
      <c r="G180" s="35">
        <v>145</v>
      </c>
      <c r="H180" s="35">
        <v>30</v>
      </c>
      <c r="I180" s="20">
        <v>300</v>
      </c>
      <c r="J180" s="21">
        <f t="shared" si="14"/>
        <v>9000</v>
      </c>
      <c r="K180" s="7"/>
      <c r="V180" s="36">
        <f t="shared" si="15"/>
        <v>1</v>
      </c>
      <c r="W180" s="36">
        <f t="shared" si="16"/>
        <v>0</v>
      </c>
    </row>
    <row r="181" spans="1:23" s="36" customFormat="1" x14ac:dyDescent="0.3">
      <c r="A181" s="6"/>
      <c r="B181" s="17">
        <f t="shared" si="17"/>
        <v>19</v>
      </c>
      <c r="C181" s="18">
        <v>44270</v>
      </c>
      <c r="D181" s="19" t="s">
        <v>18</v>
      </c>
      <c r="E181" s="19" t="s">
        <v>245</v>
      </c>
      <c r="F181" s="35">
        <v>115</v>
      </c>
      <c r="G181" s="35">
        <v>145</v>
      </c>
      <c r="H181" s="35">
        <v>30</v>
      </c>
      <c r="I181" s="20">
        <v>300</v>
      </c>
      <c r="J181" s="21">
        <f t="shared" si="14"/>
        <v>9000</v>
      </c>
      <c r="K181" s="7"/>
    </row>
    <row r="182" spans="1:23" s="36" customFormat="1" x14ac:dyDescent="0.3">
      <c r="A182" s="6"/>
      <c r="B182" s="17">
        <f t="shared" si="17"/>
        <v>20</v>
      </c>
      <c r="C182" s="18">
        <v>44270</v>
      </c>
      <c r="D182" s="19" t="s">
        <v>18</v>
      </c>
      <c r="E182" s="19" t="s">
        <v>280</v>
      </c>
      <c r="F182" s="35">
        <v>100</v>
      </c>
      <c r="G182" s="35">
        <v>110.9</v>
      </c>
      <c r="H182" s="35">
        <v>10.9</v>
      </c>
      <c r="I182" s="20">
        <v>300</v>
      </c>
      <c r="J182" s="21">
        <f t="shared" si="14"/>
        <v>3270</v>
      </c>
      <c r="K182" s="7"/>
    </row>
    <row r="183" spans="1:23" s="36" customFormat="1" x14ac:dyDescent="0.3">
      <c r="A183" s="6"/>
      <c r="B183" s="17">
        <f t="shared" si="17"/>
        <v>21</v>
      </c>
      <c r="C183" s="18">
        <v>44271</v>
      </c>
      <c r="D183" s="19" t="s">
        <v>18</v>
      </c>
      <c r="E183" s="19" t="s">
        <v>313</v>
      </c>
      <c r="F183" s="35">
        <v>85</v>
      </c>
      <c r="G183" s="35">
        <v>100</v>
      </c>
      <c r="H183" s="35">
        <v>15</v>
      </c>
      <c r="I183" s="20">
        <v>300</v>
      </c>
      <c r="J183" s="21">
        <f t="shared" si="14"/>
        <v>4500</v>
      </c>
      <c r="K183" s="7"/>
    </row>
    <row r="184" spans="1:23" s="36" customFormat="1" x14ac:dyDescent="0.3">
      <c r="A184" s="6"/>
      <c r="B184" s="17">
        <f t="shared" si="17"/>
        <v>22</v>
      </c>
      <c r="C184" s="18">
        <v>44271</v>
      </c>
      <c r="D184" s="19" t="s">
        <v>18</v>
      </c>
      <c r="E184" s="19" t="s">
        <v>246</v>
      </c>
      <c r="F184" s="35">
        <v>80</v>
      </c>
      <c r="G184" s="35">
        <v>103</v>
      </c>
      <c r="H184" s="35">
        <v>23</v>
      </c>
      <c r="I184" s="20">
        <v>300</v>
      </c>
      <c r="J184" s="21">
        <f t="shared" si="14"/>
        <v>6900</v>
      </c>
      <c r="K184" s="7"/>
    </row>
    <row r="185" spans="1:23" s="36" customFormat="1" x14ac:dyDescent="0.3">
      <c r="A185" s="6"/>
      <c r="B185" s="17">
        <f t="shared" si="17"/>
        <v>23</v>
      </c>
      <c r="C185" s="18">
        <v>44272</v>
      </c>
      <c r="D185" s="19" t="s">
        <v>18</v>
      </c>
      <c r="E185" s="19" t="s">
        <v>290</v>
      </c>
      <c r="F185" s="35">
        <v>80</v>
      </c>
      <c r="G185" s="35">
        <v>110</v>
      </c>
      <c r="H185" s="35">
        <v>30</v>
      </c>
      <c r="I185" s="20">
        <v>300</v>
      </c>
      <c r="J185" s="21">
        <f t="shared" si="14"/>
        <v>9000</v>
      </c>
      <c r="K185" s="7"/>
    </row>
    <row r="186" spans="1:23" s="36" customFormat="1" x14ac:dyDescent="0.3">
      <c r="A186" s="6"/>
      <c r="B186" s="17">
        <f>B185+1</f>
        <v>24</v>
      </c>
      <c r="C186" s="18">
        <v>44272</v>
      </c>
      <c r="D186" s="19" t="s">
        <v>18</v>
      </c>
      <c r="E186" s="19" t="s">
        <v>314</v>
      </c>
      <c r="F186" s="35">
        <v>70</v>
      </c>
      <c r="G186" s="35">
        <v>100</v>
      </c>
      <c r="H186" s="35">
        <v>30</v>
      </c>
      <c r="I186" s="20">
        <v>300</v>
      </c>
      <c r="J186" s="21">
        <f t="shared" si="14"/>
        <v>9000</v>
      </c>
      <c r="K186" s="7"/>
    </row>
    <row r="187" spans="1:23" s="36" customFormat="1" x14ac:dyDescent="0.3">
      <c r="A187" s="6"/>
      <c r="B187" s="17">
        <f t="shared" ref="B187:B208" si="18">B186+1</f>
        <v>25</v>
      </c>
      <c r="C187" s="18">
        <v>44273</v>
      </c>
      <c r="D187" s="19" t="s">
        <v>18</v>
      </c>
      <c r="E187" s="19" t="s">
        <v>314</v>
      </c>
      <c r="F187" s="35">
        <v>60</v>
      </c>
      <c r="G187" s="35">
        <v>75</v>
      </c>
      <c r="H187" s="35">
        <v>15</v>
      </c>
      <c r="I187" s="20">
        <v>300</v>
      </c>
      <c r="J187" s="21">
        <f t="shared" si="14"/>
        <v>4500</v>
      </c>
      <c r="K187" s="7"/>
    </row>
    <row r="188" spans="1:23" s="36" customFormat="1" x14ac:dyDescent="0.3">
      <c r="A188" s="6"/>
      <c r="B188" s="17">
        <f t="shared" si="18"/>
        <v>26</v>
      </c>
      <c r="C188" s="18">
        <v>44273</v>
      </c>
      <c r="D188" s="19" t="s">
        <v>18</v>
      </c>
      <c r="E188" s="19" t="s">
        <v>314</v>
      </c>
      <c r="F188" s="35">
        <v>55</v>
      </c>
      <c r="G188" s="35">
        <v>85</v>
      </c>
      <c r="H188" s="35">
        <v>30</v>
      </c>
      <c r="I188" s="20">
        <v>300</v>
      </c>
      <c r="J188" s="21">
        <f t="shared" si="14"/>
        <v>9000</v>
      </c>
      <c r="K188" s="7"/>
    </row>
    <row r="189" spans="1:23" s="36" customFormat="1" x14ac:dyDescent="0.3">
      <c r="A189" s="6"/>
      <c r="B189" s="17">
        <f t="shared" si="18"/>
        <v>27</v>
      </c>
      <c r="C189" s="18">
        <v>44274</v>
      </c>
      <c r="D189" s="19" t="s">
        <v>18</v>
      </c>
      <c r="E189" s="19" t="s">
        <v>216</v>
      </c>
      <c r="F189" s="35">
        <v>105</v>
      </c>
      <c r="G189" s="35">
        <v>85</v>
      </c>
      <c r="H189" s="35">
        <v>-15</v>
      </c>
      <c r="I189" s="20">
        <v>300</v>
      </c>
      <c r="J189" s="21">
        <f t="shared" si="14"/>
        <v>-4500</v>
      </c>
      <c r="K189" s="7"/>
    </row>
    <row r="190" spans="1:23" s="36" customFormat="1" x14ac:dyDescent="0.3">
      <c r="A190" s="6"/>
      <c r="B190" s="17">
        <f t="shared" si="18"/>
        <v>28</v>
      </c>
      <c r="C190" s="18">
        <v>44274</v>
      </c>
      <c r="D190" s="19" t="s">
        <v>18</v>
      </c>
      <c r="E190" s="19" t="s">
        <v>281</v>
      </c>
      <c r="F190" s="35">
        <v>140</v>
      </c>
      <c r="G190" s="35">
        <v>153</v>
      </c>
      <c r="H190" s="35">
        <v>13</v>
      </c>
      <c r="I190" s="20">
        <v>300</v>
      </c>
      <c r="J190" s="21">
        <f t="shared" si="14"/>
        <v>3900</v>
      </c>
      <c r="K190" s="7"/>
    </row>
    <row r="191" spans="1:23" s="36" customFormat="1" x14ac:dyDescent="0.3">
      <c r="A191" s="6"/>
      <c r="B191" s="17">
        <f t="shared" si="18"/>
        <v>29</v>
      </c>
      <c r="C191" s="18">
        <v>44277</v>
      </c>
      <c r="D191" s="19" t="s">
        <v>18</v>
      </c>
      <c r="E191" s="19" t="s">
        <v>287</v>
      </c>
      <c r="F191" s="35">
        <v>85</v>
      </c>
      <c r="G191" s="35">
        <v>115</v>
      </c>
      <c r="H191" s="35">
        <v>30</v>
      </c>
      <c r="I191" s="20">
        <v>300</v>
      </c>
      <c r="J191" s="21">
        <f t="shared" si="14"/>
        <v>9000</v>
      </c>
      <c r="K191" s="7"/>
    </row>
    <row r="192" spans="1:23" s="36" customFormat="1" x14ac:dyDescent="0.3">
      <c r="A192" s="6"/>
      <c r="B192" s="17">
        <f t="shared" si="18"/>
        <v>30</v>
      </c>
      <c r="C192" s="18">
        <v>44277</v>
      </c>
      <c r="D192" s="19" t="s">
        <v>18</v>
      </c>
      <c r="E192" s="19" t="s">
        <v>315</v>
      </c>
      <c r="F192" s="35">
        <v>85</v>
      </c>
      <c r="G192" s="35">
        <v>98.65</v>
      </c>
      <c r="H192" s="35">
        <v>13.65</v>
      </c>
      <c r="I192" s="20">
        <v>300</v>
      </c>
      <c r="J192" s="21">
        <f t="shared" si="14"/>
        <v>4095</v>
      </c>
      <c r="K192" s="7"/>
    </row>
    <row r="193" spans="1:23" s="36" customFormat="1" x14ac:dyDescent="0.3">
      <c r="A193" s="6"/>
      <c r="B193" s="17">
        <f t="shared" si="18"/>
        <v>31</v>
      </c>
      <c r="C193" s="18">
        <v>44278</v>
      </c>
      <c r="D193" s="19" t="s">
        <v>18</v>
      </c>
      <c r="E193" s="19" t="s">
        <v>290</v>
      </c>
      <c r="F193" s="35">
        <v>70</v>
      </c>
      <c r="G193" s="35">
        <v>100</v>
      </c>
      <c r="H193" s="35">
        <v>30</v>
      </c>
      <c r="I193" s="20">
        <v>300</v>
      </c>
      <c r="J193" s="21">
        <f t="shared" si="14"/>
        <v>9000</v>
      </c>
      <c r="K193" s="7"/>
    </row>
    <row r="194" spans="1:23" s="36" customFormat="1" x14ac:dyDescent="0.3">
      <c r="A194" s="6"/>
      <c r="B194" s="17">
        <f t="shared" si="18"/>
        <v>32</v>
      </c>
      <c r="C194" s="18">
        <v>44278</v>
      </c>
      <c r="D194" s="19" t="s">
        <v>18</v>
      </c>
      <c r="E194" s="19" t="s">
        <v>244</v>
      </c>
      <c r="F194" s="35">
        <v>95</v>
      </c>
      <c r="G194" s="35">
        <v>125</v>
      </c>
      <c r="H194" s="35">
        <v>30</v>
      </c>
      <c r="I194" s="20">
        <v>300</v>
      </c>
      <c r="J194" s="21">
        <f t="shared" si="14"/>
        <v>9000</v>
      </c>
      <c r="K194" s="7"/>
    </row>
    <row r="195" spans="1:23" s="36" customFormat="1" x14ac:dyDescent="0.3">
      <c r="A195" s="6"/>
      <c r="B195" s="17">
        <f t="shared" si="18"/>
        <v>33</v>
      </c>
      <c r="C195" s="18">
        <v>44279</v>
      </c>
      <c r="D195" s="19" t="s">
        <v>18</v>
      </c>
      <c r="E195" s="19" t="s">
        <v>318</v>
      </c>
      <c r="F195" s="35">
        <v>75</v>
      </c>
      <c r="G195" s="35">
        <v>105</v>
      </c>
      <c r="H195" s="35">
        <v>30</v>
      </c>
      <c r="I195" s="20">
        <v>300</v>
      </c>
      <c r="J195" s="21">
        <f t="shared" si="14"/>
        <v>9000</v>
      </c>
      <c r="K195" s="7"/>
    </row>
    <row r="196" spans="1:23" s="36" customFormat="1" x14ac:dyDescent="0.3">
      <c r="A196" s="6"/>
      <c r="B196" s="17">
        <f t="shared" si="18"/>
        <v>34</v>
      </c>
      <c r="C196" s="18">
        <v>44279</v>
      </c>
      <c r="D196" s="19" t="s">
        <v>18</v>
      </c>
      <c r="E196" s="19" t="s">
        <v>319</v>
      </c>
      <c r="F196" s="35">
        <v>85</v>
      </c>
      <c r="G196" s="35">
        <v>70</v>
      </c>
      <c r="H196" s="35">
        <v>-15</v>
      </c>
      <c r="I196" s="20">
        <v>300</v>
      </c>
      <c r="J196" s="21">
        <f t="shared" si="14"/>
        <v>-4500</v>
      </c>
      <c r="K196" s="7"/>
    </row>
    <row r="197" spans="1:23" s="36" customFormat="1" x14ac:dyDescent="0.3">
      <c r="A197" s="6"/>
      <c r="B197" s="17">
        <f t="shared" si="18"/>
        <v>35</v>
      </c>
      <c r="C197" s="18">
        <v>44280</v>
      </c>
      <c r="D197" s="19" t="s">
        <v>18</v>
      </c>
      <c r="E197" s="19" t="s">
        <v>315</v>
      </c>
      <c r="F197" s="35">
        <v>70</v>
      </c>
      <c r="G197" s="35">
        <v>100</v>
      </c>
      <c r="H197" s="35">
        <v>30</v>
      </c>
      <c r="I197" s="20">
        <v>300</v>
      </c>
      <c r="J197" s="21">
        <f t="shared" si="14"/>
        <v>9000</v>
      </c>
      <c r="K197" s="7"/>
    </row>
    <row r="198" spans="1:23" s="36" customFormat="1" x14ac:dyDescent="0.3">
      <c r="A198" s="6"/>
      <c r="B198" s="17">
        <f t="shared" si="18"/>
        <v>36</v>
      </c>
      <c r="C198" s="18">
        <v>44280</v>
      </c>
      <c r="D198" s="19" t="s">
        <v>18</v>
      </c>
      <c r="E198" s="19" t="s">
        <v>325</v>
      </c>
      <c r="F198" s="35">
        <v>45</v>
      </c>
      <c r="G198" s="35">
        <v>60</v>
      </c>
      <c r="H198" s="35">
        <v>15</v>
      </c>
      <c r="I198" s="20">
        <v>300</v>
      </c>
      <c r="J198" s="21">
        <f t="shared" si="14"/>
        <v>4500</v>
      </c>
      <c r="K198" s="7"/>
    </row>
    <row r="199" spans="1:23" s="36" customFormat="1" x14ac:dyDescent="0.3">
      <c r="A199" s="6"/>
      <c r="B199" s="17">
        <f t="shared" si="18"/>
        <v>37</v>
      </c>
      <c r="C199" s="18">
        <v>44281</v>
      </c>
      <c r="D199" s="19" t="s">
        <v>18</v>
      </c>
      <c r="E199" s="19" t="s">
        <v>326</v>
      </c>
      <c r="F199" s="35">
        <v>105</v>
      </c>
      <c r="G199" s="35">
        <v>120</v>
      </c>
      <c r="H199" s="35">
        <v>15</v>
      </c>
      <c r="I199" s="20">
        <v>300</v>
      </c>
      <c r="J199" s="21">
        <f t="shared" si="14"/>
        <v>4500</v>
      </c>
      <c r="K199" s="7"/>
    </row>
    <row r="200" spans="1:23" s="36" customFormat="1" x14ac:dyDescent="0.3">
      <c r="A200" s="6"/>
      <c r="B200" s="17">
        <f t="shared" si="18"/>
        <v>38</v>
      </c>
      <c r="C200" s="18">
        <v>44281</v>
      </c>
      <c r="D200" s="19" t="s">
        <v>18</v>
      </c>
      <c r="E200" s="19" t="s">
        <v>326</v>
      </c>
      <c r="F200" s="35">
        <v>90</v>
      </c>
      <c r="G200" s="35">
        <v>97.85</v>
      </c>
      <c r="H200" s="35">
        <v>7.85</v>
      </c>
      <c r="I200" s="20">
        <v>300</v>
      </c>
      <c r="J200" s="21">
        <f t="shared" si="14"/>
        <v>2355</v>
      </c>
      <c r="K200" s="7"/>
    </row>
    <row r="201" spans="1:23" s="36" customFormat="1" x14ac:dyDescent="0.3">
      <c r="A201" s="6"/>
      <c r="B201" s="17">
        <f t="shared" si="18"/>
        <v>39</v>
      </c>
      <c r="C201" s="18">
        <v>44285</v>
      </c>
      <c r="D201" s="19" t="s">
        <v>18</v>
      </c>
      <c r="E201" s="19" t="s">
        <v>328</v>
      </c>
      <c r="F201" s="35">
        <v>65</v>
      </c>
      <c r="G201" s="35">
        <v>80</v>
      </c>
      <c r="H201" s="35">
        <v>15</v>
      </c>
      <c r="I201" s="20">
        <v>300</v>
      </c>
      <c r="J201" s="21">
        <f t="shared" si="14"/>
        <v>4500</v>
      </c>
      <c r="K201" s="7"/>
    </row>
    <row r="202" spans="1:23" s="36" customFormat="1" x14ac:dyDescent="0.3">
      <c r="A202" s="6"/>
      <c r="B202" s="17">
        <f t="shared" si="18"/>
        <v>40</v>
      </c>
      <c r="C202" s="18">
        <v>44285</v>
      </c>
      <c r="D202" s="19" t="s">
        <v>18</v>
      </c>
      <c r="E202" s="19" t="s">
        <v>328</v>
      </c>
      <c r="F202" s="35">
        <v>60</v>
      </c>
      <c r="G202" s="35">
        <v>75</v>
      </c>
      <c r="H202" s="35">
        <v>15</v>
      </c>
      <c r="I202" s="20">
        <v>300</v>
      </c>
      <c r="J202" s="21">
        <f t="shared" si="14"/>
        <v>4500</v>
      </c>
      <c r="K202" s="7"/>
    </row>
    <row r="203" spans="1:23" s="36" customFormat="1" x14ac:dyDescent="0.3">
      <c r="A203" s="6"/>
      <c r="B203" s="17">
        <f t="shared" si="18"/>
        <v>41</v>
      </c>
      <c r="C203" s="18">
        <v>44286</v>
      </c>
      <c r="D203" s="19" t="s">
        <v>18</v>
      </c>
      <c r="E203" s="19" t="s">
        <v>277</v>
      </c>
      <c r="F203" s="35">
        <v>90</v>
      </c>
      <c r="G203" s="35">
        <v>111</v>
      </c>
      <c r="H203" s="35">
        <v>21</v>
      </c>
      <c r="I203" s="20">
        <v>300</v>
      </c>
      <c r="J203" s="21">
        <f t="shared" si="14"/>
        <v>6300</v>
      </c>
      <c r="K203" s="7"/>
    </row>
    <row r="204" spans="1:23" s="36" customFormat="1" x14ac:dyDescent="0.3">
      <c r="A204" s="6"/>
      <c r="B204" s="17">
        <f t="shared" si="18"/>
        <v>42</v>
      </c>
      <c r="C204" s="18">
        <v>44286</v>
      </c>
      <c r="D204" s="19" t="s">
        <v>18</v>
      </c>
      <c r="E204" s="19" t="s">
        <v>280</v>
      </c>
      <c r="F204" s="35">
        <v>80</v>
      </c>
      <c r="G204" s="35">
        <v>65</v>
      </c>
      <c r="H204" s="35">
        <v>-15</v>
      </c>
      <c r="I204" s="20">
        <v>300</v>
      </c>
      <c r="J204" s="21">
        <f t="shared" si="14"/>
        <v>-4500</v>
      </c>
      <c r="K204" s="7"/>
    </row>
    <row r="205" spans="1:23" s="36" customFormat="1" x14ac:dyDescent="0.3">
      <c r="A205" s="6"/>
      <c r="B205" s="17">
        <f t="shared" si="18"/>
        <v>43</v>
      </c>
      <c r="C205" s="18"/>
      <c r="D205" s="19"/>
      <c r="E205" s="19"/>
      <c r="F205" s="35"/>
      <c r="G205" s="35"/>
      <c r="H205" s="35"/>
      <c r="I205" s="20"/>
      <c r="J205" s="21">
        <f t="shared" si="14"/>
        <v>0</v>
      </c>
      <c r="K205" s="7"/>
      <c r="V205" s="36">
        <f t="shared" si="15"/>
        <v>0</v>
      </c>
      <c r="W205" s="36">
        <f t="shared" si="16"/>
        <v>0</v>
      </c>
    </row>
    <row r="206" spans="1:23" s="36" customFormat="1" x14ac:dyDescent="0.3">
      <c r="A206" s="6"/>
      <c r="B206" s="17">
        <f t="shared" si="18"/>
        <v>44</v>
      </c>
      <c r="C206" s="18"/>
      <c r="D206" s="19"/>
      <c r="E206" s="19"/>
      <c r="F206" s="35"/>
      <c r="G206" s="35"/>
      <c r="H206" s="35"/>
      <c r="I206" s="20"/>
      <c r="J206" s="21">
        <f t="shared" si="14"/>
        <v>0</v>
      </c>
      <c r="K206" s="7"/>
      <c r="V206" s="36">
        <f t="shared" si="15"/>
        <v>0</v>
      </c>
      <c r="W206" s="36">
        <f t="shared" si="16"/>
        <v>0</v>
      </c>
    </row>
    <row r="207" spans="1:23" s="36" customFormat="1" x14ac:dyDescent="0.3">
      <c r="A207" s="6"/>
      <c r="B207" s="17">
        <f t="shared" si="18"/>
        <v>45</v>
      </c>
      <c r="C207" s="18"/>
      <c r="D207" s="19"/>
      <c r="E207" s="19"/>
      <c r="F207" s="35"/>
      <c r="G207" s="35"/>
      <c r="H207" s="35"/>
      <c r="I207" s="20"/>
      <c r="J207" s="21">
        <f t="shared" si="14"/>
        <v>0</v>
      </c>
      <c r="K207" s="7"/>
      <c r="V207" s="36">
        <f t="shared" si="15"/>
        <v>0</v>
      </c>
      <c r="W207" s="36">
        <f t="shared" si="16"/>
        <v>0</v>
      </c>
    </row>
    <row r="208" spans="1:23" s="36" customFormat="1" x14ac:dyDescent="0.3">
      <c r="A208" s="6"/>
      <c r="B208" s="17">
        <f t="shared" si="18"/>
        <v>46</v>
      </c>
      <c r="C208" s="18"/>
      <c r="D208" s="19"/>
      <c r="E208" s="19"/>
      <c r="F208" s="35"/>
      <c r="G208" s="35"/>
      <c r="H208" s="35"/>
      <c r="I208" s="20"/>
      <c r="J208" s="21">
        <f t="shared" si="14"/>
        <v>0</v>
      </c>
      <c r="K208" s="7"/>
      <c r="V208" s="36">
        <f t="shared" si="15"/>
        <v>0</v>
      </c>
      <c r="W208" s="36">
        <f t="shared" si="16"/>
        <v>0</v>
      </c>
    </row>
    <row r="209" spans="1:23" s="36" customFormat="1" ht="24" thickBot="1" x14ac:dyDescent="0.5">
      <c r="A209" s="6"/>
      <c r="B209" s="165" t="s">
        <v>22</v>
      </c>
      <c r="C209" s="166"/>
      <c r="D209" s="166"/>
      <c r="E209" s="166"/>
      <c r="F209" s="166"/>
      <c r="G209" s="166"/>
      <c r="H209" s="167"/>
      <c r="I209" s="83" t="s">
        <v>23</v>
      </c>
      <c r="J209" s="84">
        <f>SUM(J163:J208)</f>
        <v>160065</v>
      </c>
      <c r="K209" s="7"/>
      <c r="L209" s="5"/>
      <c r="M209" s="5"/>
      <c r="N209" s="5"/>
      <c r="O209" s="5"/>
      <c r="P209" s="5"/>
      <c r="Q209" s="5"/>
      <c r="R209" s="5"/>
      <c r="V209" s="36">
        <f>SUM(V163:V208)</f>
        <v>11</v>
      </c>
      <c r="W209" s="36">
        <f>SUM(W163:W208)</f>
        <v>7</v>
      </c>
    </row>
    <row r="210" spans="1:23" s="36" customFormat="1" ht="30" customHeight="1" thickBot="1" x14ac:dyDescent="0.35">
      <c r="A210" s="30"/>
      <c r="B210" s="31"/>
      <c r="C210" s="31"/>
      <c r="D210" s="31"/>
      <c r="E210" s="31"/>
      <c r="F210" s="31"/>
      <c r="G210" s="31"/>
      <c r="H210" s="32"/>
      <c r="I210" s="31"/>
      <c r="J210" s="32"/>
      <c r="K210" s="33"/>
      <c r="L210" s="5"/>
      <c r="M210" s="5"/>
      <c r="N210" s="5"/>
      <c r="O210" s="5"/>
      <c r="P210" s="5"/>
      <c r="Q210" s="5"/>
      <c r="R210" s="5"/>
    </row>
  </sheetData>
  <mergeCells count="44">
    <mergeCell ref="B155:H155"/>
    <mergeCell ref="B159:J159"/>
    <mergeCell ref="B160:J160"/>
    <mergeCell ref="B161:J161"/>
    <mergeCell ref="B209:H209"/>
    <mergeCell ref="B100:J100"/>
    <mergeCell ref="M10:M11"/>
    <mergeCell ref="N10:N11"/>
    <mergeCell ref="O10:O11"/>
    <mergeCell ref="P10:P11"/>
    <mergeCell ref="M12:O14"/>
    <mergeCell ref="P12:R14"/>
    <mergeCell ref="B94:H94"/>
    <mergeCell ref="B98:J98"/>
    <mergeCell ref="B99:J99"/>
    <mergeCell ref="Q10:Q11"/>
    <mergeCell ref="R10:R11"/>
    <mergeCell ref="R8:R9"/>
    <mergeCell ref="M6:M7"/>
    <mergeCell ref="N6:N7"/>
    <mergeCell ref="O6:O7"/>
    <mergeCell ref="P6:P7"/>
    <mergeCell ref="Q6:Q7"/>
    <mergeCell ref="R6:R7"/>
    <mergeCell ref="M8:M9"/>
    <mergeCell ref="N8:N9"/>
    <mergeCell ref="O8:O9"/>
    <mergeCell ref="P8:P9"/>
    <mergeCell ref="Q8:Q9"/>
    <mergeCell ref="R2:R3"/>
    <mergeCell ref="B3:J3"/>
    <mergeCell ref="B4:J4"/>
    <mergeCell ref="M4:M5"/>
    <mergeCell ref="N4:N5"/>
    <mergeCell ref="O4:O5"/>
    <mergeCell ref="P4:P5"/>
    <mergeCell ref="Q4:Q5"/>
    <mergeCell ref="R4:R5"/>
    <mergeCell ref="B2:J2"/>
    <mergeCell ref="M2:M3"/>
    <mergeCell ref="N2:N3"/>
    <mergeCell ref="O2:O3"/>
    <mergeCell ref="P2:P3"/>
    <mergeCell ref="Q2:Q3"/>
  </mergeCells>
  <hyperlinks>
    <hyperlink ref="B94" r:id="rId1" xr:uid="{00000000-0004-0000-0800-000000000000}"/>
    <hyperlink ref="B155" r:id="rId2" xr:uid="{00000000-0004-0000-0800-000001000000}"/>
    <hyperlink ref="B209" r:id="rId3" xr:uid="{00000000-0004-0000-0800-000002000000}"/>
    <hyperlink ref="M1" location="MASTER!A1" display="Back" xr:uid="{00000000-0004-0000-0800-000003000000}"/>
  </hyperlinks>
  <pageMargins left="0" right="0" top="0" bottom="0" header="0" footer="0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JULY 2020</vt:lpstr>
      <vt:lpstr>AUGUST 2020</vt:lpstr>
      <vt:lpstr>SEP 2020</vt:lpstr>
      <vt:lpstr>OCT 2020</vt:lpstr>
      <vt:lpstr>NOV 2020</vt:lpstr>
      <vt:lpstr>DEC 2020</vt:lpstr>
      <vt:lpstr>JAN 2021</vt:lpstr>
      <vt:lpstr>FEB 2021</vt:lpstr>
      <vt:lpstr>MARCH 2021</vt:lpstr>
      <vt:lpstr>APRIL 2021</vt:lpstr>
      <vt:lpstr>MAY 2021</vt:lpstr>
      <vt:lpstr>JUNE 2021</vt:lpstr>
      <vt:lpstr>JULY 2021</vt:lpstr>
      <vt:lpstr>AUGUST 2021</vt:lpstr>
      <vt:lpstr>SEP 2021</vt:lpstr>
      <vt:lpstr>OCT 2021</vt:lpstr>
      <vt:lpstr>NOV 2021</vt:lpstr>
      <vt:lpstr>DEC 2021</vt:lpstr>
      <vt:lpstr>JAN 2022</vt:lpstr>
      <vt:lpstr>FEB 2022</vt:lpstr>
      <vt:lpstr>MAR 2022</vt:lpstr>
      <vt:lpstr>APRIL 2022</vt:lpstr>
      <vt:lpstr>MAY 2022</vt:lpstr>
      <vt:lpstr>JUNE 2022</vt:lpstr>
      <vt:lpstr>JULY 2022</vt:lpstr>
      <vt:lpstr>AUGUST 2022</vt:lpstr>
      <vt:lpstr>SEP 2022</vt:lpstr>
      <vt:lpstr>OCTOBER 2022</vt:lpstr>
      <vt:lpstr>NOV 2022</vt:lpstr>
      <vt:lpstr>DEC 2022</vt:lpstr>
      <vt:lpstr>JAN 2023</vt:lpstr>
      <vt:lpstr>FEB 2023</vt:lpstr>
      <vt:lpstr>MARCH 2023</vt:lpstr>
      <vt:lpstr>APRIL 2023</vt:lpstr>
      <vt:lpstr>MAY 2023</vt:lpstr>
      <vt:lpstr>JUN 2023</vt:lpstr>
      <vt:lpstr>JULY 2023</vt:lpstr>
      <vt:lpstr>AUGUST 2023</vt:lpstr>
      <vt:lpstr>SEP 2023</vt:lpstr>
      <vt:lpstr>OCT 2023</vt:lpstr>
      <vt:lpstr>NOV-2023</vt:lpstr>
      <vt:lpstr>DEC 2023</vt:lpstr>
      <vt:lpstr>JAN 2024</vt:lpstr>
      <vt:lpstr>FEB 2024</vt:lpstr>
      <vt:lpstr>MARCH 2024</vt:lpstr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</dc:creator>
  <cp:lastModifiedBy>DELL</cp:lastModifiedBy>
  <dcterms:created xsi:type="dcterms:W3CDTF">2018-11-17T16:20:30Z</dcterms:created>
  <dcterms:modified xsi:type="dcterms:W3CDTF">2024-04-01T07:02:42Z</dcterms:modified>
</cp:coreProperties>
</file>