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Madhavi 2017\"/>
    </mc:Choice>
  </mc:AlternateContent>
  <xr:revisionPtr revIDLastSave="0" documentId="13_ncr:1_{31E57098-0409-4933-99F9-939852A60E25}" xr6:coauthVersionLast="47" xr6:coauthVersionMax="47" xr10:uidLastSave="{00000000-0000-0000-0000-000000000000}"/>
  <bookViews>
    <workbookView xWindow="-108" yWindow="-108" windowWidth="23256" windowHeight="12576" firstSheet="126" activeTab="130" xr2:uid="{00000000-000D-0000-FFFF-FFFF00000000}"/>
  </bookViews>
  <sheets>
    <sheet name="MARCH 2013" sheetId="1" r:id="rId1"/>
    <sheet name="APRIL 2013" sheetId="2" r:id="rId2"/>
    <sheet name="MAY 2013" sheetId="3" r:id="rId3"/>
    <sheet name="JUNE 2013" sheetId="4" r:id="rId4"/>
    <sheet name="JULY 2013" sheetId="5" r:id="rId5"/>
    <sheet name="AUG 2013" sheetId="6" r:id="rId6"/>
    <sheet name="SEP 2013" sheetId="7" r:id="rId7"/>
    <sheet name="OCT 2013" sheetId="8" r:id="rId8"/>
    <sheet name="NOV 2013" sheetId="9" r:id="rId9"/>
    <sheet name="DEC 2013" sheetId="10" r:id="rId10"/>
    <sheet name="JAN 2014" sheetId="11" r:id="rId11"/>
    <sheet name="FEB 2014" sheetId="12" r:id="rId12"/>
    <sheet name="MARCH 2014" sheetId="13" r:id="rId13"/>
    <sheet name="APRIL 2014" sheetId="14" r:id="rId14"/>
    <sheet name="MAY 2014" sheetId="16" r:id="rId15"/>
    <sheet name="JUNE 2014" sheetId="17" r:id="rId16"/>
    <sheet name="JULY 2014" sheetId="18" r:id="rId17"/>
    <sheet name="AUG 2014" sheetId="20" r:id="rId18"/>
    <sheet name="SEP 2014" sheetId="21" r:id="rId19"/>
    <sheet name="OCT 2014" sheetId="22" r:id="rId20"/>
    <sheet name="NOV 2014" sheetId="23" r:id="rId21"/>
    <sheet name="DEC 2014" sheetId="24" r:id="rId22"/>
    <sheet name="JAN 2015" sheetId="25" r:id="rId23"/>
    <sheet name="FEB 2015" sheetId="26" r:id="rId24"/>
    <sheet name="MARCH 2015" sheetId="27" r:id="rId25"/>
    <sheet name="APRIL 2015" sheetId="28" r:id="rId26"/>
    <sheet name="MAY 2015" sheetId="29" r:id="rId27"/>
    <sheet name="JUNE 2015" sheetId="30" r:id="rId28"/>
    <sheet name="JULY 2015" sheetId="31" r:id="rId29"/>
    <sheet name="AUGUST 2015" sheetId="32" r:id="rId30"/>
    <sheet name="SEP 2015" sheetId="33" r:id="rId31"/>
    <sheet name="OCT 2015" sheetId="34" r:id="rId32"/>
    <sheet name="NOV 2015" sheetId="35" r:id="rId33"/>
    <sheet name="DEC 2015" sheetId="36" r:id="rId34"/>
    <sheet name="JAN 2016" sheetId="37" r:id="rId35"/>
    <sheet name="FEB 2016" sheetId="38" r:id="rId36"/>
    <sheet name="MARCH 2016" sheetId="39" r:id="rId37"/>
    <sheet name="APRIL 2016" sheetId="40" r:id="rId38"/>
    <sheet name="MAY 2016" sheetId="41" r:id="rId39"/>
    <sheet name="JUNE 2016" sheetId="42" r:id="rId40"/>
    <sheet name="JULY 2016" sheetId="43" r:id="rId41"/>
    <sheet name="AUG 2016" sheetId="44" r:id="rId42"/>
    <sheet name="SEP 2016" sheetId="45" r:id="rId43"/>
    <sheet name="OCT 2016" sheetId="46" r:id="rId44"/>
    <sheet name="NOV 2016" sheetId="47" r:id="rId45"/>
    <sheet name="DEC 2016" sheetId="48" r:id="rId46"/>
    <sheet name="JAN 2017" sheetId="49" r:id="rId47"/>
    <sheet name="FEB 2017" sheetId="50" r:id="rId48"/>
    <sheet name="MARCH 2017" sheetId="51" r:id="rId49"/>
    <sheet name="APRIL 2017" sheetId="52" r:id="rId50"/>
    <sheet name="MAY 2017" sheetId="53" r:id="rId51"/>
    <sheet name="JUNE 2017" sheetId="54" r:id="rId52"/>
    <sheet name="JULY 2017" sheetId="55" r:id="rId53"/>
    <sheet name="AUG 2017" sheetId="57" r:id="rId54"/>
    <sheet name="SEP 2017" sheetId="60" r:id="rId55"/>
    <sheet name="OCT 2017" sheetId="61" r:id="rId56"/>
    <sheet name="NOV 2017" sheetId="62" r:id="rId57"/>
    <sheet name="DEC 2017" sheetId="63" r:id="rId58"/>
    <sheet name="JAN 2018" sheetId="64" r:id="rId59"/>
    <sheet name="FEB 2018" sheetId="65" r:id="rId60"/>
    <sheet name="MARCH 2018" sheetId="66" r:id="rId61"/>
    <sheet name="APRIL 2018" sheetId="67" r:id="rId62"/>
    <sheet name="MAY 2018" sheetId="68" r:id="rId63"/>
    <sheet name="JUNE 2018" sheetId="69" r:id="rId64"/>
    <sheet name="JULY 2018" sheetId="70" r:id="rId65"/>
    <sheet name="AUGUST-2018" sheetId="71" r:id="rId66"/>
    <sheet name="SEP 2018" sheetId="72" r:id="rId67"/>
    <sheet name="OCT 2018" sheetId="73" r:id="rId68"/>
    <sheet name="NOV 2018" sheetId="74" r:id="rId69"/>
    <sheet name="DEC-2018" sheetId="75" r:id="rId70"/>
    <sheet name="JAN-2019" sheetId="76" r:id="rId71"/>
    <sheet name="FEB 2019" sheetId="77" r:id="rId72"/>
    <sheet name="MARCH 2019" sheetId="78" r:id="rId73"/>
    <sheet name="APRIL 2019" sheetId="79" r:id="rId74"/>
    <sheet name="MAY 2019" sheetId="80" r:id="rId75"/>
    <sheet name="JUN 2019" sheetId="81" r:id="rId76"/>
    <sheet name="JULY 2019" sheetId="82" r:id="rId77"/>
    <sheet name="AUGUST 2019" sheetId="83" r:id="rId78"/>
    <sheet name="SEP 2019" sheetId="84" r:id="rId79"/>
    <sheet name="OCT 2019" sheetId="85" r:id="rId80"/>
    <sheet name="NOV 2019" sheetId="86" r:id="rId81"/>
    <sheet name="DEC 2019" sheetId="87" r:id="rId82"/>
    <sheet name="JAN 2020" sheetId="88" r:id="rId83"/>
    <sheet name="FEB 2020" sheetId="89" r:id="rId84"/>
    <sheet name="MARCH 2020" sheetId="90" r:id="rId85"/>
    <sheet name="APRIL 2020" sheetId="91" r:id="rId86"/>
    <sheet name="MAY 2020" sheetId="92" r:id="rId87"/>
    <sheet name="JUNE 2020" sheetId="93" r:id="rId88"/>
    <sheet name="JULY 2020" sheetId="94" r:id="rId89"/>
    <sheet name="AUGUST 2020" sheetId="95" r:id="rId90"/>
    <sheet name="SEP 2020" sheetId="96" r:id="rId91"/>
    <sheet name="OCT 2020" sheetId="97" r:id="rId92"/>
    <sheet name=" NOV 2020" sheetId="98" r:id="rId93"/>
    <sheet name="DEC 2020" sheetId="99" r:id="rId94"/>
    <sheet name="JAN 2021" sheetId="100" r:id="rId95"/>
    <sheet name="FEB 2021" sheetId="101" r:id="rId96"/>
    <sheet name="MARCH 2021" sheetId="102" r:id="rId97"/>
    <sheet name="APRIL 2021" sheetId="103" r:id="rId98"/>
    <sheet name="MAY 2021" sheetId="104" r:id="rId99"/>
    <sheet name="JUNE 2021" sheetId="105" r:id="rId100"/>
    <sheet name="JULY 2021" sheetId="106" r:id="rId101"/>
    <sheet name="AUGUST 2021" sheetId="107" r:id="rId102"/>
    <sheet name="SEP 2021" sheetId="108" r:id="rId103"/>
    <sheet name="OCT 2021" sheetId="109" r:id="rId104"/>
    <sheet name="NOV 2021" sheetId="110" r:id="rId105"/>
    <sheet name="DEC 2021" sheetId="111" r:id="rId106"/>
    <sheet name="JAN 2022" sheetId="112" r:id="rId107"/>
    <sheet name="FEB 2022" sheetId="113" r:id="rId108"/>
    <sheet name="MARCH 2022" sheetId="114" r:id="rId109"/>
    <sheet name="APRIL 2022" sheetId="115" r:id="rId110"/>
    <sheet name="MAY 2022" sheetId="116" r:id="rId111"/>
    <sheet name="JUN 2022" sheetId="117" r:id="rId112"/>
    <sheet name="JULY 2022" sheetId="118" r:id="rId113"/>
    <sheet name="AUGUST 2022" sheetId="119" r:id="rId114"/>
    <sheet name="SEP 2022" sheetId="120" r:id="rId115"/>
    <sheet name="OCT 2022" sheetId="121" r:id="rId116"/>
    <sheet name="NOV 2022" sheetId="122" r:id="rId117"/>
    <sheet name="DEC 2022" sheetId="123" r:id="rId118"/>
    <sheet name="JAN 2023" sheetId="124" r:id="rId119"/>
    <sheet name="FEB 2023" sheetId="125" r:id="rId120"/>
    <sheet name="MARCH 2023" sheetId="126" r:id="rId121"/>
    <sheet name="APRIL 2023" sheetId="127" r:id="rId122"/>
    <sheet name="MAY 2023" sheetId="128" r:id="rId123"/>
    <sheet name="JUN 2023" sheetId="129" r:id="rId124"/>
    <sheet name="JULY 2023" sheetId="130" r:id="rId125"/>
    <sheet name="AUGUST 2023" sheetId="131" r:id="rId126"/>
    <sheet name="SEP 2023" sheetId="132" r:id="rId127"/>
    <sheet name="OCT 2023" sheetId="133" r:id="rId128"/>
    <sheet name="NOV 2023" sheetId="134" r:id="rId129"/>
    <sheet name="DEC 2023" sheetId="135" r:id="rId130"/>
    <sheet name="JAN 2024" sheetId="136" r:id="rId131"/>
    <sheet name="FEB 2024" sheetId="137" r:id="rId132"/>
    <sheet name="MARCH 2024" sheetId="138" r:id="rId133"/>
    <sheet name="Home Page" sheetId="58" r:id="rId134"/>
  </sheets>
  <calcPr calcId="181029"/>
</workbook>
</file>

<file path=xl/calcChain.xml><?xml version="1.0" encoding="utf-8"?>
<calcChain xmlns="http://schemas.openxmlformats.org/spreadsheetml/2006/main">
  <c r="J28" i="138" l="1"/>
  <c r="J46" i="138" l="1"/>
  <c r="I45" i="138"/>
  <c r="I43" i="138"/>
  <c r="J25" i="138"/>
  <c r="J6" i="138"/>
  <c r="K56" i="138" l="1"/>
  <c r="X56" i="138" s="1"/>
  <c r="K55" i="138"/>
  <c r="Y54" i="138"/>
  <c r="X54" i="138"/>
  <c r="K54" i="138"/>
  <c r="K53" i="138"/>
  <c r="K52" i="138"/>
  <c r="K51" i="138"/>
  <c r="X51" i="138" s="1"/>
  <c r="K50" i="138"/>
  <c r="Y50" i="138" s="1"/>
  <c r="K49" i="138"/>
  <c r="Y49" i="138" s="1"/>
  <c r="X48" i="138"/>
  <c r="K48" i="138"/>
  <c r="Y48" i="138" s="1"/>
  <c r="K47" i="138"/>
  <c r="K46" i="138"/>
  <c r="Y46" i="138" s="1"/>
  <c r="B46" i="138"/>
  <c r="B47" i="138" s="1"/>
  <c r="B48" i="138" s="1"/>
  <c r="B49" i="138" s="1"/>
  <c r="B50" i="138" s="1"/>
  <c r="B51" i="138" s="1"/>
  <c r="B52" i="138" s="1"/>
  <c r="B53" i="138" s="1"/>
  <c r="B54" i="138" s="1"/>
  <c r="K45" i="138"/>
  <c r="Y45" i="138" s="1"/>
  <c r="K44" i="138"/>
  <c r="X44" i="138" s="1"/>
  <c r="K43" i="138"/>
  <c r="Y43" i="138" s="1"/>
  <c r="K34" i="138"/>
  <c r="X34" i="138" s="1"/>
  <c r="K33" i="138"/>
  <c r="Y32" i="138"/>
  <c r="K32" i="138"/>
  <c r="X32" i="138" s="1"/>
  <c r="K31" i="138"/>
  <c r="K30" i="138"/>
  <c r="X30" i="138" s="1"/>
  <c r="K29" i="138"/>
  <c r="Y29" i="138" s="1"/>
  <c r="K28" i="138"/>
  <c r="K27" i="138"/>
  <c r="X27" i="138" s="1"/>
  <c r="K26" i="138"/>
  <c r="K25" i="138"/>
  <c r="X25" i="138" s="1"/>
  <c r="B25" i="138"/>
  <c r="B26" i="138" s="1"/>
  <c r="B27" i="138" s="1"/>
  <c r="B28" i="138" s="1"/>
  <c r="B29" i="138" s="1"/>
  <c r="B30" i="138" s="1"/>
  <c r="B31" i="138" s="1"/>
  <c r="B32" i="138" s="1"/>
  <c r="B33" i="138" s="1"/>
  <c r="B34" i="138" s="1"/>
  <c r="K24" i="138"/>
  <c r="Y24" i="138" s="1"/>
  <c r="Y15" i="138"/>
  <c r="X15" i="138"/>
  <c r="K14" i="138"/>
  <c r="Y14" i="138" s="1"/>
  <c r="K13" i="138"/>
  <c r="Y13" i="138" s="1"/>
  <c r="Y12" i="138"/>
  <c r="K12" i="138"/>
  <c r="X12" i="138" s="1"/>
  <c r="Y11" i="138"/>
  <c r="X11" i="138"/>
  <c r="K11" i="138"/>
  <c r="K10" i="138"/>
  <c r="X10" i="138" s="1"/>
  <c r="K9" i="138"/>
  <c r="P8" i="138"/>
  <c r="K8" i="138"/>
  <c r="B8" i="138"/>
  <c r="B9" i="138" s="1"/>
  <c r="B10" i="138" s="1"/>
  <c r="B11" i="138" s="1"/>
  <c r="B12" i="138" s="1"/>
  <c r="B13" i="138" s="1"/>
  <c r="B14" i="138" s="1"/>
  <c r="B15" i="138" s="1"/>
  <c r="K7" i="138"/>
  <c r="B7" i="138"/>
  <c r="P6" i="138"/>
  <c r="K6" i="138"/>
  <c r="X6" i="138" s="1"/>
  <c r="P4" i="138"/>
  <c r="J7" i="137"/>
  <c r="K7" i="137" s="1"/>
  <c r="X7" i="137" s="1"/>
  <c r="J32" i="137"/>
  <c r="K32" i="137" s="1"/>
  <c r="Y32" i="137" s="1"/>
  <c r="J31" i="137"/>
  <c r="K31" i="137" s="1"/>
  <c r="Y31" i="137" s="1"/>
  <c r="J56" i="137"/>
  <c r="K56" i="137" s="1"/>
  <c r="Y56" i="137" s="1"/>
  <c r="J55" i="137"/>
  <c r="K55" i="137" s="1"/>
  <c r="J53" i="137"/>
  <c r="K53" i="137" s="1"/>
  <c r="Y53" i="137" s="1"/>
  <c r="J52" i="137"/>
  <c r="K52" i="137" s="1"/>
  <c r="Y52" i="137" s="1"/>
  <c r="K54" i="137"/>
  <c r="X54" i="137" s="1"/>
  <c r="J51" i="137"/>
  <c r="K51" i="137" s="1"/>
  <c r="X51" i="137" s="1"/>
  <c r="J48" i="137"/>
  <c r="K48" i="137" s="1"/>
  <c r="Y48" i="137" s="1"/>
  <c r="J30" i="137"/>
  <c r="K30" i="137" s="1"/>
  <c r="J28" i="137"/>
  <c r="K28" i="137" s="1"/>
  <c r="J9" i="137"/>
  <c r="K9" i="137" s="1"/>
  <c r="Y9" i="137" s="1"/>
  <c r="J47" i="137"/>
  <c r="K47" i="137" s="1"/>
  <c r="Y47" i="137" s="1"/>
  <c r="J44" i="137"/>
  <c r="K44" i="137" s="1"/>
  <c r="Y44" i="137" s="1"/>
  <c r="J27" i="137"/>
  <c r="K27" i="137" s="1"/>
  <c r="Y27" i="137" s="1"/>
  <c r="J26" i="137"/>
  <c r="K26" i="137" s="1"/>
  <c r="Y26" i="137" s="1"/>
  <c r="J25" i="137"/>
  <c r="K25" i="137" s="1"/>
  <c r="X25" i="137" s="1"/>
  <c r="K24" i="137"/>
  <c r="J8" i="137"/>
  <c r="K8" i="137" s="1"/>
  <c r="J6" i="137"/>
  <c r="K6" i="137" s="1"/>
  <c r="K50" i="137"/>
  <c r="Y50" i="137" s="1"/>
  <c r="K49" i="137"/>
  <c r="K46" i="137"/>
  <c r="Y46" i="137" s="1"/>
  <c r="B46" i="137"/>
  <c r="B47" i="137" s="1"/>
  <c r="B48" i="137" s="1"/>
  <c r="B49" i="137" s="1"/>
  <c r="B50" i="137" s="1"/>
  <c r="B51" i="137" s="1"/>
  <c r="B52" i="137" s="1"/>
  <c r="B53" i="137" s="1"/>
  <c r="B54" i="137" s="1"/>
  <c r="K45" i="137"/>
  <c r="Y45" i="137" s="1"/>
  <c r="K43" i="137"/>
  <c r="Y43" i="137" s="1"/>
  <c r="K34" i="137"/>
  <c r="Y34" i="137" s="1"/>
  <c r="K33" i="137"/>
  <c r="K29" i="137"/>
  <c r="X29" i="137" s="1"/>
  <c r="B25" i="137"/>
  <c r="B26" i="137" s="1"/>
  <c r="B27" i="137" s="1"/>
  <c r="B28" i="137" s="1"/>
  <c r="B29" i="137" s="1"/>
  <c r="B30" i="137" s="1"/>
  <c r="B31" i="137" s="1"/>
  <c r="B32" i="137" s="1"/>
  <c r="B33" i="137" s="1"/>
  <c r="B34" i="137" s="1"/>
  <c r="Y15" i="137"/>
  <c r="X15" i="137"/>
  <c r="K14" i="137"/>
  <c r="Y14" i="137" s="1"/>
  <c r="K13" i="137"/>
  <c r="Y13" i="137" s="1"/>
  <c r="K12" i="137"/>
  <c r="Y12" i="137" s="1"/>
  <c r="K11" i="137"/>
  <c r="Y11" i="137" s="1"/>
  <c r="K10" i="137"/>
  <c r="Y10" i="137" s="1"/>
  <c r="P8" i="137"/>
  <c r="B7" i="137"/>
  <c r="B8" i="137" s="1"/>
  <c r="B9" i="137" s="1"/>
  <c r="B10" i="137" s="1"/>
  <c r="B11" i="137" s="1"/>
  <c r="B12" i="137" s="1"/>
  <c r="B13" i="137" s="1"/>
  <c r="B14" i="137" s="1"/>
  <c r="B15" i="137" s="1"/>
  <c r="P6" i="137"/>
  <c r="P4" i="137"/>
  <c r="J50" i="136"/>
  <c r="J32" i="136"/>
  <c r="X46" i="138" l="1"/>
  <c r="X45" i="138"/>
  <c r="X49" i="138"/>
  <c r="Y44" i="138"/>
  <c r="K57" i="138"/>
  <c r="X50" i="138"/>
  <c r="X24" i="138"/>
  <c r="X29" i="138"/>
  <c r="P10" i="138"/>
  <c r="Y27" i="138"/>
  <c r="Y10" i="138"/>
  <c r="Y7" i="138"/>
  <c r="X7" i="138"/>
  <c r="Y26" i="138"/>
  <c r="X26" i="138"/>
  <c r="Y28" i="138"/>
  <c r="X28" i="138"/>
  <c r="Y52" i="138"/>
  <c r="X52" i="138"/>
  <c r="X9" i="138"/>
  <c r="Y9" i="138"/>
  <c r="Y31" i="138"/>
  <c r="X31" i="138"/>
  <c r="Y53" i="138"/>
  <c r="X53" i="138"/>
  <c r="Y8" i="138"/>
  <c r="X8" i="138"/>
  <c r="Y47" i="138"/>
  <c r="X47" i="138"/>
  <c r="Y25" i="138"/>
  <c r="Y30" i="138"/>
  <c r="Y34" i="138"/>
  <c r="Y51" i="138"/>
  <c r="Y56" i="138"/>
  <c r="K35" i="138"/>
  <c r="X43" i="138"/>
  <c r="Y6" i="138"/>
  <c r="K16" i="138"/>
  <c r="X13" i="138"/>
  <c r="X14" i="138"/>
  <c r="Y54" i="137"/>
  <c r="X53" i="137"/>
  <c r="X52" i="137"/>
  <c r="Y7" i="137"/>
  <c r="X34" i="137"/>
  <c r="X56" i="137"/>
  <c r="Y51" i="137"/>
  <c r="Y29" i="137"/>
  <c r="X45" i="137"/>
  <c r="Y25" i="137"/>
  <c r="X8" i="137"/>
  <c r="Y8" i="137"/>
  <c r="X6" i="137"/>
  <c r="Y6" i="137"/>
  <c r="X47" i="137"/>
  <c r="X50" i="137"/>
  <c r="X44" i="137"/>
  <c r="P10" i="137"/>
  <c r="X46" i="137"/>
  <c r="X31" i="137"/>
  <c r="X26" i="137"/>
  <c r="X10" i="137"/>
  <c r="K16" i="137"/>
  <c r="X9" i="137"/>
  <c r="X11" i="137"/>
  <c r="X24" i="137"/>
  <c r="Y24" i="137"/>
  <c r="K35" i="137"/>
  <c r="Y49" i="137"/>
  <c r="X49" i="137"/>
  <c r="X30" i="137"/>
  <c r="Y30" i="137"/>
  <c r="Y28" i="137"/>
  <c r="X28" i="137"/>
  <c r="X12" i="137"/>
  <c r="X13" i="137"/>
  <c r="X14" i="137"/>
  <c r="X27" i="137"/>
  <c r="X32" i="137"/>
  <c r="X43" i="137"/>
  <c r="X48" i="137"/>
  <c r="K57" i="137"/>
  <c r="J49" i="136"/>
  <c r="J9" i="136"/>
  <c r="X35" i="138" l="1"/>
  <c r="Q6" i="138" s="1"/>
  <c r="T6" i="138" s="1"/>
  <c r="X57" i="138"/>
  <c r="Q8" i="138" s="1"/>
  <c r="T8" i="138" s="1"/>
  <c r="Y57" i="138"/>
  <c r="R8" i="138" s="1"/>
  <c r="Y35" i="138"/>
  <c r="R6" i="138" s="1"/>
  <c r="Y16" i="138"/>
  <c r="R4" i="138" s="1"/>
  <c r="X16" i="138"/>
  <c r="Q4" i="138" s="1"/>
  <c r="Y16" i="137"/>
  <c r="R4" i="137" s="1"/>
  <c r="Y57" i="137"/>
  <c r="R8" i="137" s="1"/>
  <c r="X16" i="137"/>
  <c r="Q4" i="137" s="1"/>
  <c r="X57" i="137"/>
  <c r="T8" i="137" s="1"/>
  <c r="Y35" i="137"/>
  <c r="R6" i="137" s="1"/>
  <c r="X35" i="137"/>
  <c r="Q6" i="137" s="1"/>
  <c r="T6" i="137" s="1"/>
  <c r="J31" i="136"/>
  <c r="J27" i="136"/>
  <c r="Q10" i="138" l="1"/>
  <c r="T10" i="138" s="1"/>
  <c r="R12" i="138" s="1"/>
  <c r="R10" i="138"/>
  <c r="S4" i="138"/>
  <c r="S10" i="138" s="1"/>
  <c r="T4" i="138"/>
  <c r="S4" i="137"/>
  <c r="S10" i="137" s="1"/>
  <c r="R10" i="137"/>
  <c r="T4" i="137"/>
  <c r="Q10" i="137"/>
  <c r="T10" i="137" s="1"/>
  <c r="R12" i="137" s="1"/>
  <c r="J48" i="136"/>
  <c r="K48" i="136" s="1"/>
  <c r="J45" i="136"/>
  <c r="K45" i="136" s="1"/>
  <c r="X45" i="136" s="1"/>
  <c r="J30" i="136"/>
  <c r="K30" i="136" s="1"/>
  <c r="Y30" i="136" s="1"/>
  <c r="J28" i="136"/>
  <c r="K28" i="136" s="1"/>
  <c r="Y28" i="136" s="1"/>
  <c r="J26" i="136"/>
  <c r="J24" i="136"/>
  <c r="K52" i="136"/>
  <c r="X52" i="136" s="1"/>
  <c r="K51" i="136"/>
  <c r="Y51" i="136" s="1"/>
  <c r="K50" i="136"/>
  <c r="X50" i="136" s="1"/>
  <c r="K49" i="136"/>
  <c r="K47" i="136"/>
  <c r="X47" i="136" s="1"/>
  <c r="K46" i="136"/>
  <c r="Y46" i="136" s="1"/>
  <c r="B46" i="136"/>
  <c r="B47" i="136" s="1"/>
  <c r="B48" i="136" s="1"/>
  <c r="B49" i="136" s="1"/>
  <c r="B50" i="136" s="1"/>
  <c r="B51" i="136" s="1"/>
  <c r="B52" i="136" s="1"/>
  <c r="K44" i="136"/>
  <c r="Y44" i="136" s="1"/>
  <c r="K43" i="136"/>
  <c r="K34" i="136"/>
  <c r="Y34" i="136" s="1"/>
  <c r="K33" i="136"/>
  <c r="K32" i="136"/>
  <c r="X32" i="136" s="1"/>
  <c r="K31" i="136"/>
  <c r="Y31" i="136" s="1"/>
  <c r="K29" i="136"/>
  <c r="K27" i="136"/>
  <c r="Y27" i="136" s="1"/>
  <c r="K26" i="136"/>
  <c r="B26" i="136"/>
  <c r="B27" i="136" s="1"/>
  <c r="B28" i="136" s="1"/>
  <c r="B29" i="136" s="1"/>
  <c r="B30" i="136" s="1"/>
  <c r="B31" i="136" s="1"/>
  <c r="B32" i="136" s="1"/>
  <c r="B33" i="136" s="1"/>
  <c r="B34" i="136" s="1"/>
  <c r="K25" i="136"/>
  <c r="Y25" i="136" s="1"/>
  <c r="B25" i="136"/>
  <c r="K24" i="136"/>
  <c r="Y24" i="136" s="1"/>
  <c r="Y15" i="136"/>
  <c r="X15" i="136"/>
  <c r="K14" i="136"/>
  <c r="Y14" i="136" s="1"/>
  <c r="K13" i="136"/>
  <c r="Y13" i="136" s="1"/>
  <c r="K12" i="136"/>
  <c r="Y12" i="136" s="1"/>
  <c r="K11" i="136"/>
  <c r="Y11" i="136" s="1"/>
  <c r="K10" i="136"/>
  <c r="Y10" i="136" s="1"/>
  <c r="K9" i="136"/>
  <c r="X9" i="136" s="1"/>
  <c r="P8" i="136"/>
  <c r="K8" i="136"/>
  <c r="K7" i="136"/>
  <c r="B7" i="136"/>
  <c r="B8" i="136" s="1"/>
  <c r="B9" i="136" s="1"/>
  <c r="B10" i="136" s="1"/>
  <c r="B11" i="136" s="1"/>
  <c r="B12" i="136" s="1"/>
  <c r="B13" i="136" s="1"/>
  <c r="B14" i="136" s="1"/>
  <c r="B15" i="136" s="1"/>
  <c r="P6" i="136"/>
  <c r="K6" i="136"/>
  <c r="P4" i="136"/>
  <c r="Y32" i="136" l="1"/>
  <c r="X31" i="136"/>
  <c r="Y50" i="136"/>
  <c r="Y45" i="136"/>
  <c r="X44" i="136"/>
  <c r="X24" i="136"/>
  <c r="Y9" i="136"/>
  <c r="X10" i="136"/>
  <c r="X30" i="136"/>
  <c r="P10" i="136"/>
  <c r="Y7" i="136"/>
  <c r="X7" i="136"/>
  <c r="X29" i="136"/>
  <c r="Y29" i="136"/>
  <c r="K53" i="136"/>
  <c r="Y26" i="136"/>
  <c r="X26" i="136"/>
  <c r="X49" i="136"/>
  <c r="Y49" i="136"/>
  <c r="K16" i="136"/>
  <c r="X8" i="136"/>
  <c r="Y8" i="136"/>
  <c r="Y48" i="136"/>
  <c r="X48" i="136"/>
  <c r="K35" i="136"/>
  <c r="X11" i="136"/>
  <c r="X25" i="136"/>
  <c r="X46" i="136"/>
  <c r="X51" i="136"/>
  <c r="Y6" i="136"/>
  <c r="X27" i="136"/>
  <c r="X28" i="136"/>
  <c r="X34" i="136"/>
  <c r="Y43" i="136"/>
  <c r="Y47" i="136"/>
  <c r="Y52" i="136"/>
  <c r="X6" i="136"/>
  <c r="X43" i="136"/>
  <c r="X12" i="136"/>
  <c r="X13" i="136"/>
  <c r="X14" i="136"/>
  <c r="J51" i="135"/>
  <c r="J50" i="135"/>
  <c r="J11" i="135"/>
  <c r="Y35" i="136" l="1"/>
  <c r="R6" i="136" s="1"/>
  <c r="Y16" i="136"/>
  <c r="R4" i="136" s="1"/>
  <c r="X35" i="136"/>
  <c r="Q6" i="136" s="1"/>
  <c r="T6" i="136" s="1"/>
  <c r="X53" i="136"/>
  <c r="Q8" i="136" s="1"/>
  <c r="T8" i="136" s="1"/>
  <c r="Y53" i="136"/>
  <c r="R8" i="136" s="1"/>
  <c r="X16" i="136"/>
  <c r="Q4" i="136" s="1"/>
  <c r="J6" i="135"/>
  <c r="J7" i="135"/>
  <c r="J8" i="135"/>
  <c r="R10" i="136" l="1"/>
  <c r="S4" i="136"/>
  <c r="S10" i="136" s="1"/>
  <c r="T4" i="136"/>
  <c r="Q10" i="136"/>
  <c r="T10" i="136" s="1"/>
  <c r="R12" i="136" s="1"/>
  <c r="J49" i="135"/>
  <c r="J48" i="135"/>
  <c r="J31" i="135"/>
  <c r="J29" i="135"/>
  <c r="J46" i="135" l="1"/>
  <c r="J45" i="135"/>
  <c r="K45" i="135" s="1"/>
  <c r="X45" i="135" s="1"/>
  <c r="K44" i="135"/>
  <c r="Y44" i="135" s="1"/>
  <c r="J43" i="135"/>
  <c r="K43" i="135" s="1"/>
  <c r="J26" i="135"/>
  <c r="J25" i="135"/>
  <c r="J24" i="135"/>
  <c r="K7" i="135"/>
  <c r="K52" i="135"/>
  <c r="X52" i="135" s="1"/>
  <c r="K51" i="135"/>
  <c r="X51" i="135" s="1"/>
  <c r="K50" i="135"/>
  <c r="X50" i="135" s="1"/>
  <c r="K49" i="135"/>
  <c r="X49" i="135" s="1"/>
  <c r="K48" i="135"/>
  <c r="X48" i="135" s="1"/>
  <c r="K47" i="135"/>
  <c r="X47" i="135" s="1"/>
  <c r="K46" i="135"/>
  <c r="X46" i="135" s="1"/>
  <c r="B46" i="135"/>
  <c r="B47" i="135" s="1"/>
  <c r="B48" i="135" s="1"/>
  <c r="B49" i="135" s="1"/>
  <c r="B50" i="135" s="1"/>
  <c r="B51" i="135" s="1"/>
  <c r="B52" i="135" s="1"/>
  <c r="K34" i="135"/>
  <c r="Y34" i="135" s="1"/>
  <c r="K33" i="135"/>
  <c r="K32" i="135"/>
  <c r="Y32" i="135" s="1"/>
  <c r="K31" i="135"/>
  <c r="Y31" i="135" s="1"/>
  <c r="K30" i="135"/>
  <c r="Y30" i="135" s="1"/>
  <c r="K29" i="135"/>
  <c r="Y29" i="135" s="1"/>
  <c r="K28" i="135"/>
  <c r="Y28" i="135" s="1"/>
  <c r="K27" i="135"/>
  <c r="Y27" i="135" s="1"/>
  <c r="K26" i="135"/>
  <c r="Y26" i="135" s="1"/>
  <c r="B26" i="135"/>
  <c r="B27" i="135" s="1"/>
  <c r="B28" i="135" s="1"/>
  <c r="B29" i="135" s="1"/>
  <c r="B30" i="135" s="1"/>
  <c r="B31" i="135" s="1"/>
  <c r="B32" i="135" s="1"/>
  <c r="B33" i="135" s="1"/>
  <c r="B34" i="135" s="1"/>
  <c r="K25" i="135"/>
  <c r="B25" i="135"/>
  <c r="K24" i="135"/>
  <c r="Y15" i="135"/>
  <c r="X15" i="135"/>
  <c r="K14" i="135"/>
  <c r="X14" i="135" s="1"/>
  <c r="K13" i="135"/>
  <c r="X13" i="135" s="1"/>
  <c r="K12" i="135"/>
  <c r="X12" i="135" s="1"/>
  <c r="K11" i="135"/>
  <c r="Y11" i="135" s="1"/>
  <c r="K10" i="135"/>
  <c r="Y10" i="135" s="1"/>
  <c r="K9" i="135"/>
  <c r="X9" i="135" s="1"/>
  <c r="P8" i="135"/>
  <c r="K8" i="135"/>
  <c r="B7" i="135"/>
  <c r="B8" i="135" s="1"/>
  <c r="B9" i="135" s="1"/>
  <c r="B10" i="135" s="1"/>
  <c r="B11" i="135" s="1"/>
  <c r="B12" i="135" s="1"/>
  <c r="B13" i="135" s="1"/>
  <c r="B14" i="135" s="1"/>
  <c r="B15" i="135" s="1"/>
  <c r="P6" i="135"/>
  <c r="K6" i="135"/>
  <c r="P4" i="135"/>
  <c r="Y14" i="135" l="1"/>
  <c r="X34" i="135"/>
  <c r="Y12" i="135"/>
  <c r="Y13" i="135"/>
  <c r="K53" i="135"/>
  <c r="Y43" i="135"/>
  <c r="K35" i="135"/>
  <c r="X44" i="135"/>
  <c r="P10" i="135"/>
  <c r="Y8" i="135"/>
  <c r="X8" i="135"/>
  <c r="Y25" i="135"/>
  <c r="X25" i="135"/>
  <c r="K16" i="135"/>
  <c r="Y6" i="135"/>
  <c r="X6" i="135"/>
  <c r="Y7" i="135"/>
  <c r="X7" i="135"/>
  <c r="Y45" i="135"/>
  <c r="Y46" i="135"/>
  <c r="Y47" i="135"/>
  <c r="Y48" i="135"/>
  <c r="Y49" i="135"/>
  <c r="Y50" i="135"/>
  <c r="Y51" i="135"/>
  <c r="Y52" i="135"/>
  <c r="X24" i="135"/>
  <c r="Y9" i="135"/>
  <c r="X10" i="135"/>
  <c r="X11" i="135"/>
  <c r="Y24" i="135"/>
  <c r="X26" i="135"/>
  <c r="X27" i="135"/>
  <c r="X28" i="135"/>
  <c r="X29" i="135"/>
  <c r="X30" i="135"/>
  <c r="X31" i="135"/>
  <c r="X32" i="135"/>
  <c r="X43" i="135"/>
  <c r="J43" i="134"/>
  <c r="K43" i="134" s="1"/>
  <c r="J25" i="134"/>
  <c r="K25" i="134" s="1"/>
  <c r="Y25" i="134" s="1"/>
  <c r="J24" i="134"/>
  <c r="J7" i="134"/>
  <c r="J8" i="134"/>
  <c r="K8" i="134" s="1"/>
  <c r="Y8" i="134" s="1"/>
  <c r="J9" i="134"/>
  <c r="J6" i="134"/>
  <c r="K52" i="134"/>
  <c r="Y52" i="134" s="1"/>
  <c r="K51" i="134"/>
  <c r="Y51" i="134" s="1"/>
  <c r="K50" i="134"/>
  <c r="Y50" i="134" s="1"/>
  <c r="K49" i="134"/>
  <c r="Y49" i="134" s="1"/>
  <c r="K48" i="134"/>
  <c r="Y48" i="134" s="1"/>
  <c r="Y47" i="134"/>
  <c r="K47" i="134"/>
  <c r="X47" i="134" s="1"/>
  <c r="K46" i="134"/>
  <c r="B46" i="134"/>
  <c r="B47" i="134" s="1"/>
  <c r="B48" i="134" s="1"/>
  <c r="B49" i="134" s="1"/>
  <c r="B50" i="134" s="1"/>
  <c r="B51" i="134" s="1"/>
  <c r="B52" i="134" s="1"/>
  <c r="K45" i="134"/>
  <c r="K44" i="134"/>
  <c r="Y34" i="134"/>
  <c r="X34" i="134"/>
  <c r="K34" i="134"/>
  <c r="K33" i="134"/>
  <c r="K32" i="134"/>
  <c r="Y32" i="134" s="1"/>
  <c r="K31" i="134"/>
  <c r="Y31" i="134" s="1"/>
  <c r="K30" i="134"/>
  <c r="Y30" i="134" s="1"/>
  <c r="K29" i="134"/>
  <c r="Y29" i="134" s="1"/>
  <c r="K28" i="134"/>
  <c r="Y28" i="134" s="1"/>
  <c r="K27" i="134"/>
  <c r="Y27" i="134" s="1"/>
  <c r="K26" i="134"/>
  <c r="B25" i="134"/>
  <c r="B26" i="134" s="1"/>
  <c r="B27" i="134" s="1"/>
  <c r="B28" i="134" s="1"/>
  <c r="B29" i="134" s="1"/>
  <c r="B30" i="134" s="1"/>
  <c r="B31" i="134" s="1"/>
  <c r="B32" i="134" s="1"/>
  <c r="B33" i="134" s="1"/>
  <c r="B34" i="134" s="1"/>
  <c r="K24" i="134"/>
  <c r="Y15" i="134"/>
  <c r="X15" i="134"/>
  <c r="K14" i="134"/>
  <c r="Y14" i="134" s="1"/>
  <c r="K13" i="134"/>
  <c r="Y13" i="134" s="1"/>
  <c r="Y12" i="134"/>
  <c r="K12" i="134"/>
  <c r="X12" i="134" s="1"/>
  <c r="Y11" i="134"/>
  <c r="X11" i="134"/>
  <c r="K11" i="134"/>
  <c r="K10" i="134"/>
  <c r="Y10" i="134" s="1"/>
  <c r="K9" i="134"/>
  <c r="P8" i="134"/>
  <c r="K7" i="134"/>
  <c r="B7" i="134"/>
  <c r="B8" i="134" s="1"/>
  <c r="B9" i="134" s="1"/>
  <c r="B10" i="134" s="1"/>
  <c r="B11" i="134" s="1"/>
  <c r="B12" i="134" s="1"/>
  <c r="B13" i="134" s="1"/>
  <c r="B14" i="134" s="1"/>
  <c r="B15" i="134" s="1"/>
  <c r="P6" i="134"/>
  <c r="K6" i="134"/>
  <c r="P4" i="134"/>
  <c r="X53" i="135" l="1"/>
  <c r="Q8" i="135" s="1"/>
  <c r="T8" i="135" s="1"/>
  <c r="Y53" i="135"/>
  <c r="R8" i="135" s="1"/>
  <c r="Y35" i="135"/>
  <c r="R6" i="135" s="1"/>
  <c r="X16" i="135"/>
  <c r="Q4" i="135" s="1"/>
  <c r="T4" i="135" s="1"/>
  <c r="X35" i="135"/>
  <c r="Q6" i="135" s="1"/>
  <c r="T6" i="135" s="1"/>
  <c r="Y16" i="135"/>
  <c r="R4" i="135" s="1"/>
  <c r="K16" i="134"/>
  <c r="X48" i="134"/>
  <c r="P10" i="134"/>
  <c r="X10" i="134"/>
  <c r="Y44" i="134"/>
  <c r="X44" i="134"/>
  <c r="K35" i="134"/>
  <c r="Y45" i="134"/>
  <c r="X45" i="134"/>
  <c r="Y26" i="134"/>
  <c r="X26" i="134"/>
  <c r="Y7" i="134"/>
  <c r="X7" i="134"/>
  <c r="X9" i="134"/>
  <c r="Y9" i="134"/>
  <c r="K53" i="134"/>
  <c r="Y46" i="134"/>
  <c r="X46" i="134"/>
  <c r="X6" i="134"/>
  <c r="X13" i="134"/>
  <c r="X14" i="134"/>
  <c r="Y6" i="134"/>
  <c r="X8" i="134"/>
  <c r="X24" i="134"/>
  <c r="X25" i="134"/>
  <c r="X49" i="134"/>
  <c r="X50" i="134"/>
  <c r="X51" i="134"/>
  <c r="X52" i="134"/>
  <c r="Y24" i="134"/>
  <c r="Y35" i="134" s="1"/>
  <c r="R6" i="134" s="1"/>
  <c r="X27" i="134"/>
  <c r="X28" i="134"/>
  <c r="X29" i="134"/>
  <c r="X30" i="134"/>
  <c r="X31" i="134"/>
  <c r="X32" i="134"/>
  <c r="X43" i="134"/>
  <c r="Y43" i="134"/>
  <c r="J49" i="133"/>
  <c r="J47" i="133"/>
  <c r="J46" i="133"/>
  <c r="J45" i="133"/>
  <c r="K45" i="133" s="1"/>
  <c r="J44" i="133"/>
  <c r="J26" i="133"/>
  <c r="K26" i="133" s="1"/>
  <c r="Y26" i="133" s="1"/>
  <c r="J7" i="133"/>
  <c r="J9" i="133"/>
  <c r="K52" i="133"/>
  <c r="Y52" i="133" s="1"/>
  <c r="K51" i="133"/>
  <c r="Y51" i="133" s="1"/>
  <c r="K50" i="133"/>
  <c r="K49" i="133"/>
  <c r="Y49" i="133" s="1"/>
  <c r="K48" i="133"/>
  <c r="Y48" i="133" s="1"/>
  <c r="K47" i="133"/>
  <c r="Y47" i="133" s="1"/>
  <c r="K46" i="133"/>
  <c r="B46" i="133"/>
  <c r="B47" i="133" s="1"/>
  <c r="B48" i="133" s="1"/>
  <c r="B49" i="133" s="1"/>
  <c r="B50" i="133" s="1"/>
  <c r="B51" i="133" s="1"/>
  <c r="B52" i="133" s="1"/>
  <c r="K44" i="133"/>
  <c r="X44" i="133" s="1"/>
  <c r="K43" i="133"/>
  <c r="X34" i="133"/>
  <c r="K34" i="133"/>
  <c r="Y34" i="133" s="1"/>
  <c r="K33" i="133"/>
  <c r="K32" i="133"/>
  <c r="Y32" i="133" s="1"/>
  <c r="K31" i="133"/>
  <c r="Y31" i="133" s="1"/>
  <c r="K30" i="133"/>
  <c r="Y30" i="133" s="1"/>
  <c r="K29" i="133"/>
  <c r="Y29" i="133" s="1"/>
  <c r="K28" i="133"/>
  <c r="Y28" i="133" s="1"/>
  <c r="K27" i="133"/>
  <c r="Y27" i="133" s="1"/>
  <c r="K25" i="133"/>
  <c r="B25" i="133"/>
  <c r="B26" i="133" s="1"/>
  <c r="B27" i="133" s="1"/>
  <c r="B28" i="133" s="1"/>
  <c r="B29" i="133" s="1"/>
  <c r="B30" i="133" s="1"/>
  <c r="B31" i="133" s="1"/>
  <c r="B32" i="133" s="1"/>
  <c r="B33" i="133" s="1"/>
  <c r="B34" i="133" s="1"/>
  <c r="K24" i="133"/>
  <c r="Y15" i="133"/>
  <c r="X15" i="133"/>
  <c r="Y14" i="133"/>
  <c r="K14" i="133"/>
  <c r="X14" i="133" s="1"/>
  <c r="X13" i="133"/>
  <c r="K13" i="133"/>
  <c r="Y13" i="133" s="1"/>
  <c r="K12" i="133"/>
  <c r="Y12" i="133" s="1"/>
  <c r="K11" i="133"/>
  <c r="X11" i="133" s="1"/>
  <c r="K10" i="133"/>
  <c r="X10" i="133" s="1"/>
  <c r="K9" i="133"/>
  <c r="Y9" i="133" s="1"/>
  <c r="P8" i="133"/>
  <c r="K8" i="133"/>
  <c r="Y8" i="133" s="1"/>
  <c r="K7" i="133"/>
  <c r="B7" i="133"/>
  <c r="B8" i="133" s="1"/>
  <c r="B9" i="133" s="1"/>
  <c r="B10" i="133" s="1"/>
  <c r="B11" i="133" s="1"/>
  <c r="B12" i="133" s="1"/>
  <c r="B13" i="133" s="1"/>
  <c r="B14" i="133" s="1"/>
  <c r="B15" i="133" s="1"/>
  <c r="P6" i="133"/>
  <c r="K6" i="133"/>
  <c r="P4" i="133"/>
  <c r="X12" i="133" l="1"/>
  <c r="Y11" i="133"/>
  <c r="R10" i="135"/>
  <c r="Q10" i="135"/>
  <c r="T10" i="135" s="1"/>
  <c r="R12" i="135" s="1"/>
  <c r="S4" i="135"/>
  <c r="S10" i="135" s="1"/>
  <c r="X35" i="134"/>
  <c r="Q6" i="134" s="1"/>
  <c r="T6" i="134" s="1"/>
  <c r="X16" i="134"/>
  <c r="Q4" i="134" s="1"/>
  <c r="Y16" i="134"/>
  <c r="R4" i="134" s="1"/>
  <c r="Y53" i="134"/>
  <c r="R8" i="134" s="1"/>
  <c r="X53" i="134"/>
  <c r="Q8" i="134" s="1"/>
  <c r="T8" i="134" s="1"/>
  <c r="P10" i="133"/>
  <c r="Y10" i="133"/>
  <c r="Y46" i="133"/>
  <c r="X46" i="133"/>
  <c r="Y25" i="133"/>
  <c r="X25" i="133"/>
  <c r="Y44" i="133"/>
  <c r="Y50" i="133"/>
  <c r="X50" i="133"/>
  <c r="X43" i="133"/>
  <c r="K53" i="133"/>
  <c r="X45" i="133"/>
  <c r="Y45" i="133"/>
  <c r="Y6" i="133"/>
  <c r="K16" i="133"/>
  <c r="X6" i="133"/>
  <c r="Y7" i="133"/>
  <c r="X7" i="133"/>
  <c r="K35" i="133"/>
  <c r="Y24" i="133"/>
  <c r="X24" i="133"/>
  <c r="Y43" i="133"/>
  <c r="X47" i="133"/>
  <c r="X48" i="133"/>
  <c r="X49" i="133"/>
  <c r="X8" i="133"/>
  <c r="X9" i="133"/>
  <c r="X26" i="133"/>
  <c r="X27" i="133"/>
  <c r="X28" i="133"/>
  <c r="X29" i="133"/>
  <c r="X30" i="133"/>
  <c r="X31" i="133"/>
  <c r="X32" i="133"/>
  <c r="X51" i="133"/>
  <c r="X52" i="133"/>
  <c r="J46" i="132"/>
  <c r="J25" i="132"/>
  <c r="J7" i="132"/>
  <c r="R10" i="134" l="1"/>
  <c r="T4" i="134"/>
  <c r="S4" i="134"/>
  <c r="S10" i="134" s="1"/>
  <c r="Q10" i="134"/>
  <c r="T10" i="134" s="1"/>
  <c r="R12" i="134" s="1"/>
  <c r="Y16" i="133"/>
  <c r="R4" i="133" s="1"/>
  <c r="X53" i="133"/>
  <c r="Q8" i="133" s="1"/>
  <c r="T8" i="133" s="1"/>
  <c r="Y53" i="133"/>
  <c r="R8" i="133" s="1"/>
  <c r="X35" i="133"/>
  <c r="Q6" i="133" s="1"/>
  <c r="T6" i="133" s="1"/>
  <c r="Y35" i="133"/>
  <c r="R6" i="133" s="1"/>
  <c r="X16" i="133"/>
  <c r="Q4" i="133" s="1"/>
  <c r="J26" i="131"/>
  <c r="R10" i="133" l="1"/>
  <c r="Q10" i="133"/>
  <c r="T10" i="133" s="1"/>
  <c r="R12" i="133" s="1"/>
  <c r="T4" i="133"/>
  <c r="S4" i="133"/>
  <c r="S10" i="133" s="1"/>
  <c r="J50" i="132"/>
  <c r="J47" i="132"/>
  <c r="J45" i="132"/>
  <c r="J44" i="132"/>
  <c r="K44" i="132" s="1"/>
  <c r="X44" i="132" s="1"/>
  <c r="J43" i="132"/>
  <c r="K52" i="132"/>
  <c r="Y52" i="132" s="1"/>
  <c r="X51" i="132"/>
  <c r="K51" i="132"/>
  <c r="Y51" i="132" s="1"/>
  <c r="K50" i="132"/>
  <c r="Y50" i="132" s="1"/>
  <c r="K49" i="132"/>
  <c r="K48" i="132"/>
  <c r="X48" i="132" s="1"/>
  <c r="K47" i="132"/>
  <c r="X47" i="132" s="1"/>
  <c r="K46" i="132"/>
  <c r="X46" i="132" s="1"/>
  <c r="B46" i="132"/>
  <c r="B47" i="132" s="1"/>
  <c r="B48" i="132" s="1"/>
  <c r="B49" i="132" s="1"/>
  <c r="B50" i="132" s="1"/>
  <c r="B51" i="132" s="1"/>
  <c r="B52" i="132" s="1"/>
  <c r="K45" i="132"/>
  <c r="K43" i="132"/>
  <c r="X43" i="132" s="1"/>
  <c r="K34" i="132"/>
  <c r="X34" i="132" s="1"/>
  <c r="K33" i="132"/>
  <c r="K32" i="132"/>
  <c r="X32" i="132" s="1"/>
  <c r="K31" i="132"/>
  <c r="X31" i="132" s="1"/>
  <c r="K30" i="132"/>
  <c r="X30" i="132" s="1"/>
  <c r="K29" i="132"/>
  <c r="X29" i="132" s="1"/>
  <c r="K28" i="132"/>
  <c r="X28" i="132" s="1"/>
  <c r="K27" i="132"/>
  <c r="X27" i="132" s="1"/>
  <c r="K26" i="132"/>
  <c r="X26" i="132" s="1"/>
  <c r="K25" i="132"/>
  <c r="X25" i="132" s="1"/>
  <c r="B25" i="132"/>
  <c r="B26" i="132" s="1"/>
  <c r="B27" i="132" s="1"/>
  <c r="B28" i="132" s="1"/>
  <c r="B29" i="132" s="1"/>
  <c r="B30" i="132" s="1"/>
  <c r="B31" i="132" s="1"/>
  <c r="B32" i="132" s="1"/>
  <c r="B33" i="132" s="1"/>
  <c r="B34" i="132" s="1"/>
  <c r="K24" i="132"/>
  <c r="Y15" i="132"/>
  <c r="X15" i="132"/>
  <c r="K14" i="132"/>
  <c r="Y14" i="132" s="1"/>
  <c r="Y13" i="132"/>
  <c r="X13" i="132"/>
  <c r="K13" i="132"/>
  <c r="K12" i="132"/>
  <c r="Y12" i="132" s="1"/>
  <c r="K11" i="132"/>
  <c r="Y11" i="132" s="1"/>
  <c r="K10" i="132"/>
  <c r="X10" i="132" s="1"/>
  <c r="K9" i="132"/>
  <c r="Y8" i="132"/>
  <c r="P8" i="132"/>
  <c r="K8" i="132"/>
  <c r="X8" i="132" s="1"/>
  <c r="K7" i="132"/>
  <c r="B7" i="132"/>
  <c r="B8" i="132" s="1"/>
  <c r="B9" i="132" s="1"/>
  <c r="B10" i="132" s="1"/>
  <c r="B11" i="132" s="1"/>
  <c r="B12" i="132" s="1"/>
  <c r="B13" i="132" s="1"/>
  <c r="B14" i="132" s="1"/>
  <c r="B15" i="132" s="1"/>
  <c r="P6" i="132"/>
  <c r="K6" i="132"/>
  <c r="P4" i="132"/>
  <c r="Y29" i="132" l="1"/>
  <c r="Y31" i="132"/>
  <c r="Y34" i="132"/>
  <c r="X14" i="132"/>
  <c r="X52" i="132"/>
  <c r="Y30" i="132"/>
  <c r="Y26" i="132"/>
  <c r="K35" i="132"/>
  <c r="Y28" i="132"/>
  <c r="Y44" i="132"/>
  <c r="K16" i="132"/>
  <c r="X50" i="132"/>
  <c r="Y25" i="132"/>
  <c r="Y27" i="132"/>
  <c r="Y24" i="132"/>
  <c r="Y10" i="132"/>
  <c r="Y49" i="132"/>
  <c r="X49" i="132"/>
  <c r="X9" i="132"/>
  <c r="Y9" i="132"/>
  <c r="Y7" i="132"/>
  <c r="X7" i="132"/>
  <c r="Y45" i="132"/>
  <c r="X45" i="132"/>
  <c r="Y32" i="132"/>
  <c r="Y43" i="132"/>
  <c r="Y46" i="132"/>
  <c r="Y47" i="132"/>
  <c r="Y48" i="132"/>
  <c r="X6" i="132"/>
  <c r="X11" i="132"/>
  <c r="Y6" i="132"/>
  <c r="X12" i="132"/>
  <c r="K53" i="132"/>
  <c r="P10" i="132"/>
  <c r="X24" i="132"/>
  <c r="X35" i="132" s="1"/>
  <c r="Q6" i="132" s="1"/>
  <c r="T6" i="132" s="1"/>
  <c r="J49" i="131"/>
  <c r="J46" i="131"/>
  <c r="J45" i="131"/>
  <c r="J9" i="131"/>
  <c r="J8" i="131"/>
  <c r="J7" i="131"/>
  <c r="J6" i="131"/>
  <c r="K6" i="131"/>
  <c r="K7" i="131"/>
  <c r="Y7" i="131" s="1"/>
  <c r="K43" i="131"/>
  <c r="X43" i="131" s="1"/>
  <c r="K44" i="131"/>
  <c r="Y44" i="131" s="1"/>
  <c r="K45" i="131"/>
  <c r="Y45" i="131" s="1"/>
  <c r="K46" i="131"/>
  <c r="Y46" i="131" s="1"/>
  <c r="K47" i="131"/>
  <c r="K48" i="131"/>
  <c r="K49" i="131"/>
  <c r="Y49" i="131" s="1"/>
  <c r="K50" i="131"/>
  <c r="K51" i="131"/>
  <c r="K52" i="131"/>
  <c r="X52" i="131" s="1"/>
  <c r="B46" i="131"/>
  <c r="B47" i="131" s="1"/>
  <c r="B48" i="131" s="1"/>
  <c r="B49" i="131" s="1"/>
  <c r="B50" i="131" s="1"/>
  <c r="B51" i="131" s="1"/>
  <c r="B52" i="131" s="1"/>
  <c r="K34" i="131"/>
  <c r="Y34" i="131" s="1"/>
  <c r="K33" i="131"/>
  <c r="K32" i="131"/>
  <c r="Y32" i="131" s="1"/>
  <c r="Y31" i="131"/>
  <c r="X31" i="131"/>
  <c r="K31" i="131"/>
  <c r="X30" i="131"/>
  <c r="K30" i="131"/>
  <c r="Y30" i="131" s="1"/>
  <c r="K29" i="131"/>
  <c r="Y29" i="131" s="1"/>
  <c r="K28" i="131"/>
  <c r="Y28" i="131" s="1"/>
  <c r="K27" i="131"/>
  <c r="X27" i="131" s="1"/>
  <c r="K26" i="131"/>
  <c r="X26" i="131" s="1"/>
  <c r="K25" i="131"/>
  <c r="Y25" i="131" s="1"/>
  <c r="B25" i="131"/>
  <c r="B26" i="131" s="1"/>
  <c r="B27" i="131" s="1"/>
  <c r="B28" i="131" s="1"/>
  <c r="B29" i="131" s="1"/>
  <c r="B30" i="131" s="1"/>
  <c r="B31" i="131" s="1"/>
  <c r="B32" i="131" s="1"/>
  <c r="B33" i="131" s="1"/>
  <c r="B34" i="131" s="1"/>
  <c r="K24" i="131"/>
  <c r="Y15" i="131"/>
  <c r="X15" i="131"/>
  <c r="K14" i="131"/>
  <c r="Y14" i="131" s="1"/>
  <c r="K13" i="131"/>
  <c r="Y13" i="131" s="1"/>
  <c r="K12" i="131"/>
  <c r="Y12" i="131" s="1"/>
  <c r="K11" i="131"/>
  <c r="Y11" i="131" s="1"/>
  <c r="K10" i="131"/>
  <c r="Y10" i="131" s="1"/>
  <c r="K9" i="131"/>
  <c r="P8" i="131"/>
  <c r="K8" i="131"/>
  <c r="B7" i="131"/>
  <c r="B8" i="131" s="1"/>
  <c r="B9" i="131" s="1"/>
  <c r="B10" i="131" s="1"/>
  <c r="B11" i="131" s="1"/>
  <c r="B12" i="131" s="1"/>
  <c r="B13" i="131" s="1"/>
  <c r="B14" i="131" s="1"/>
  <c r="B15" i="131" s="1"/>
  <c r="P6" i="131"/>
  <c r="P4" i="131"/>
  <c r="X29" i="131" l="1"/>
  <c r="Y52" i="131"/>
  <c r="X28" i="131"/>
  <c r="X32" i="131"/>
  <c r="X34" i="131"/>
  <c r="Y16" i="132"/>
  <c r="R4" i="132" s="1"/>
  <c r="X53" i="132"/>
  <c r="Q8" i="132" s="1"/>
  <c r="T8" i="132" s="1"/>
  <c r="Y35" i="132"/>
  <c r="R6" i="132" s="1"/>
  <c r="X16" i="132"/>
  <c r="Q4" i="132" s="1"/>
  <c r="Y53" i="132"/>
  <c r="R8" i="132" s="1"/>
  <c r="Y27" i="131"/>
  <c r="Y26" i="131"/>
  <c r="X46" i="131"/>
  <c r="X45" i="131"/>
  <c r="X44" i="131"/>
  <c r="Y43" i="131"/>
  <c r="X10" i="131"/>
  <c r="K16" i="131"/>
  <c r="X25" i="131"/>
  <c r="X51" i="131"/>
  <c r="Y51" i="131"/>
  <c r="K53" i="131"/>
  <c r="Y47" i="131"/>
  <c r="X47" i="131"/>
  <c r="K35" i="131"/>
  <c r="X24" i="131"/>
  <c r="Y24" i="131"/>
  <c r="Y50" i="131"/>
  <c r="X50" i="131"/>
  <c r="X8" i="131"/>
  <c r="Y8" i="131"/>
  <c r="Y9" i="131"/>
  <c r="X9" i="131"/>
  <c r="X48" i="131"/>
  <c r="Y48" i="131"/>
  <c r="X49" i="131"/>
  <c r="P10" i="131"/>
  <c r="X11" i="131"/>
  <c r="X6" i="131"/>
  <c r="X7" i="131"/>
  <c r="X12" i="131"/>
  <c r="X13" i="131"/>
  <c r="X14" i="131"/>
  <c r="Y6" i="131"/>
  <c r="J51" i="130"/>
  <c r="J50" i="130"/>
  <c r="Y35" i="131" l="1"/>
  <c r="R10" i="132"/>
  <c r="T4" i="132"/>
  <c r="Q10" i="132"/>
  <c r="T10" i="132" s="1"/>
  <c r="R12" i="132" s="1"/>
  <c r="S4" i="132"/>
  <c r="S10" i="132" s="1"/>
  <c r="X35" i="131"/>
  <c r="T6" i="131" s="1"/>
  <c r="X53" i="131"/>
  <c r="Q8" i="131" s="1"/>
  <c r="T8" i="131" s="1"/>
  <c r="X16" i="131"/>
  <c r="Q4" i="131" s="1"/>
  <c r="T4" i="131" s="1"/>
  <c r="Y53" i="131"/>
  <c r="R8" i="131" s="1"/>
  <c r="Y16" i="131"/>
  <c r="R4" i="131" s="1"/>
  <c r="J49" i="130"/>
  <c r="J48" i="130"/>
  <c r="J47" i="130"/>
  <c r="I24" i="130"/>
  <c r="J8" i="130"/>
  <c r="J9" i="130"/>
  <c r="R10" i="131" l="1"/>
  <c r="Q10" i="131"/>
  <c r="T10" i="131" s="1"/>
  <c r="R12" i="131" s="1"/>
  <c r="S4" i="131"/>
  <c r="S10" i="131" s="1"/>
  <c r="Y52" i="130"/>
  <c r="K52" i="130"/>
  <c r="X52" i="130" s="1"/>
  <c r="K51" i="130"/>
  <c r="X51" i="130" s="1"/>
  <c r="K50" i="130"/>
  <c r="K49" i="130"/>
  <c r="Y49" i="130" s="1"/>
  <c r="K48" i="130"/>
  <c r="K47" i="130"/>
  <c r="X47" i="130" s="1"/>
  <c r="K46" i="130"/>
  <c r="X46" i="130" s="1"/>
  <c r="B46" i="130"/>
  <c r="B47" i="130" s="1"/>
  <c r="B48" i="130" s="1"/>
  <c r="B49" i="130" s="1"/>
  <c r="B50" i="130" s="1"/>
  <c r="B51" i="130" s="1"/>
  <c r="B52" i="130" s="1"/>
  <c r="K45" i="130"/>
  <c r="Y45" i="130" s="1"/>
  <c r="K44" i="130"/>
  <c r="X44" i="130" s="1"/>
  <c r="K43" i="130"/>
  <c r="K34" i="130"/>
  <c r="Y34" i="130" s="1"/>
  <c r="K33" i="130"/>
  <c r="K32" i="130"/>
  <c r="Y32" i="130" s="1"/>
  <c r="K31" i="130"/>
  <c r="Y31" i="130" s="1"/>
  <c r="Y30" i="130"/>
  <c r="K30" i="130"/>
  <c r="X30" i="130" s="1"/>
  <c r="Y29" i="130"/>
  <c r="X29" i="130"/>
  <c r="K29" i="130"/>
  <c r="K28" i="130"/>
  <c r="Y28" i="130" s="1"/>
  <c r="K27" i="130"/>
  <c r="Y27" i="130" s="1"/>
  <c r="K26" i="130"/>
  <c r="Y26" i="130" s="1"/>
  <c r="K25" i="130"/>
  <c r="B25" i="130"/>
  <c r="B26" i="130" s="1"/>
  <c r="B27" i="130" s="1"/>
  <c r="B28" i="130" s="1"/>
  <c r="B29" i="130" s="1"/>
  <c r="B30" i="130" s="1"/>
  <c r="B31" i="130" s="1"/>
  <c r="B32" i="130" s="1"/>
  <c r="B33" i="130" s="1"/>
  <c r="B34" i="130" s="1"/>
  <c r="K24" i="130"/>
  <c r="X24" i="130" s="1"/>
  <c r="Y15" i="130"/>
  <c r="X15" i="130"/>
  <c r="K14" i="130"/>
  <c r="Y14" i="130" s="1"/>
  <c r="K13" i="130"/>
  <c r="Y13" i="130" s="1"/>
  <c r="K12" i="130"/>
  <c r="Y12" i="130" s="1"/>
  <c r="K11" i="130"/>
  <c r="Y11" i="130" s="1"/>
  <c r="K10" i="130"/>
  <c r="X10" i="130" s="1"/>
  <c r="K9" i="130"/>
  <c r="P8" i="130"/>
  <c r="K8" i="130"/>
  <c r="X8" i="130" s="1"/>
  <c r="K7" i="130"/>
  <c r="B7" i="130"/>
  <c r="B8" i="130" s="1"/>
  <c r="B9" i="130" s="1"/>
  <c r="B10" i="130" s="1"/>
  <c r="B11" i="130" s="1"/>
  <c r="B12" i="130" s="1"/>
  <c r="B13" i="130" s="1"/>
  <c r="B14" i="130" s="1"/>
  <c r="B15" i="130" s="1"/>
  <c r="P6" i="130"/>
  <c r="K6" i="130"/>
  <c r="P4" i="130"/>
  <c r="X28" i="130" l="1"/>
  <c r="X32" i="130"/>
  <c r="Y10" i="130"/>
  <c r="X27" i="130"/>
  <c r="X31" i="130"/>
  <c r="X26" i="130"/>
  <c r="Y24" i="130"/>
  <c r="X45" i="130"/>
  <c r="Y8" i="130"/>
  <c r="P10" i="130"/>
  <c r="Y51" i="130"/>
  <c r="X7" i="130"/>
  <c r="Y7" i="130"/>
  <c r="K16" i="130"/>
  <c r="Y6" i="130"/>
  <c r="X6" i="130"/>
  <c r="Y48" i="130"/>
  <c r="X48" i="130"/>
  <c r="Y25" i="130"/>
  <c r="Y35" i="130" s="1"/>
  <c r="R6" i="130" s="1"/>
  <c r="K35" i="130"/>
  <c r="X25" i="130"/>
  <c r="Y9" i="130"/>
  <c r="X9" i="130"/>
  <c r="K53" i="130"/>
  <c r="X50" i="130"/>
  <c r="Y50" i="130"/>
  <c r="X11" i="130"/>
  <c r="X34" i="130"/>
  <c r="Y43" i="130"/>
  <c r="Y44" i="130"/>
  <c r="Y46" i="130"/>
  <c r="Y47" i="130"/>
  <c r="X49" i="130"/>
  <c r="X43" i="130"/>
  <c r="X12" i="130"/>
  <c r="X13" i="130"/>
  <c r="X14" i="130"/>
  <c r="J46" i="129"/>
  <c r="J44" i="129"/>
  <c r="J50" i="129"/>
  <c r="K50" i="129" s="1"/>
  <c r="Y50" i="129" s="1"/>
  <c r="J48" i="129"/>
  <c r="K48" i="129" s="1"/>
  <c r="X48" i="129" s="1"/>
  <c r="J43" i="129"/>
  <c r="J25" i="129"/>
  <c r="K25" i="129" s="1"/>
  <c r="J9" i="129"/>
  <c r="K9" i="129" s="1"/>
  <c r="X9" i="129" s="1"/>
  <c r="J7" i="129"/>
  <c r="J6" i="129"/>
  <c r="K6" i="129" s="1"/>
  <c r="K52" i="129"/>
  <c r="Y52" i="129" s="1"/>
  <c r="K51" i="129"/>
  <c r="Y51" i="129" s="1"/>
  <c r="K49" i="129"/>
  <c r="X49" i="129" s="1"/>
  <c r="K47" i="129"/>
  <c r="Y47" i="129" s="1"/>
  <c r="K46" i="129"/>
  <c r="Y46" i="129" s="1"/>
  <c r="B46" i="129"/>
  <c r="B47" i="129" s="1"/>
  <c r="B48" i="129" s="1"/>
  <c r="B49" i="129" s="1"/>
  <c r="B50" i="129" s="1"/>
  <c r="B51" i="129" s="1"/>
  <c r="B52" i="129" s="1"/>
  <c r="K45" i="129"/>
  <c r="Y45" i="129" s="1"/>
  <c r="K44" i="129"/>
  <c r="X44" i="129" s="1"/>
  <c r="K43" i="129"/>
  <c r="Y43" i="129" s="1"/>
  <c r="K34" i="129"/>
  <c r="Y34" i="129" s="1"/>
  <c r="K33" i="129"/>
  <c r="Y32" i="129"/>
  <c r="X32" i="129"/>
  <c r="K32" i="129"/>
  <c r="K31" i="129"/>
  <c r="Y31" i="129" s="1"/>
  <c r="K30" i="129"/>
  <c r="Y30" i="129" s="1"/>
  <c r="K29" i="129"/>
  <c r="X29" i="129" s="1"/>
  <c r="Y28" i="129"/>
  <c r="K28" i="129"/>
  <c r="X28" i="129" s="1"/>
  <c r="K27" i="129"/>
  <c r="Y27" i="129" s="1"/>
  <c r="K26" i="129"/>
  <c r="Y26" i="129" s="1"/>
  <c r="B25" i="129"/>
  <c r="B26" i="129" s="1"/>
  <c r="B27" i="129" s="1"/>
  <c r="B28" i="129" s="1"/>
  <c r="B29" i="129" s="1"/>
  <c r="B30" i="129" s="1"/>
  <c r="B31" i="129" s="1"/>
  <c r="B32" i="129" s="1"/>
  <c r="B33" i="129" s="1"/>
  <c r="B34" i="129" s="1"/>
  <c r="K24" i="129"/>
  <c r="Y15" i="129"/>
  <c r="X15" i="129"/>
  <c r="K14" i="129"/>
  <c r="X14" i="129" s="1"/>
  <c r="K13" i="129"/>
  <c r="X13" i="129" s="1"/>
  <c r="K12" i="129"/>
  <c r="K11" i="129"/>
  <c r="K10" i="129"/>
  <c r="Y10" i="129" s="1"/>
  <c r="P8" i="129"/>
  <c r="K8" i="129"/>
  <c r="K7" i="129"/>
  <c r="B7" i="129"/>
  <c r="B8" i="129" s="1"/>
  <c r="B9" i="129" s="1"/>
  <c r="B10" i="129" s="1"/>
  <c r="B11" i="129" s="1"/>
  <c r="B12" i="129" s="1"/>
  <c r="B13" i="129" s="1"/>
  <c r="B14" i="129" s="1"/>
  <c r="B15" i="129" s="1"/>
  <c r="P6" i="129"/>
  <c r="P4" i="129"/>
  <c r="X31" i="129" l="1"/>
  <c r="Y29" i="129"/>
  <c r="Y16" i="130"/>
  <c r="R4" i="130" s="1"/>
  <c r="X35" i="130"/>
  <c r="Q6" i="130" s="1"/>
  <c r="T6" i="130" s="1"/>
  <c r="Y53" i="130"/>
  <c r="R8" i="130" s="1"/>
  <c r="X53" i="130"/>
  <c r="Q8" i="130" s="1"/>
  <c r="T8" i="130" s="1"/>
  <c r="X16" i="130"/>
  <c r="Q4" i="130" s="1"/>
  <c r="X46" i="129"/>
  <c r="Y44" i="129"/>
  <c r="Y49" i="129"/>
  <c r="Y48" i="129"/>
  <c r="Y53" i="129" s="1"/>
  <c r="R8" i="129" s="1"/>
  <c r="X45" i="129"/>
  <c r="X43" i="129"/>
  <c r="X47" i="129"/>
  <c r="K53" i="129"/>
  <c r="X27" i="129"/>
  <c r="X26" i="129"/>
  <c r="X30" i="129"/>
  <c r="Y9" i="129"/>
  <c r="P10" i="129"/>
  <c r="Y7" i="129"/>
  <c r="X7" i="129"/>
  <c r="Y11" i="129"/>
  <c r="X11" i="129"/>
  <c r="Y25" i="129"/>
  <c r="X25" i="129"/>
  <c r="Y6" i="129"/>
  <c r="K16" i="129"/>
  <c r="X6" i="129"/>
  <c r="Y8" i="129"/>
  <c r="X8" i="129"/>
  <c r="X12" i="129"/>
  <c r="Y12" i="129"/>
  <c r="Y24" i="129"/>
  <c r="X24" i="129"/>
  <c r="K35" i="129"/>
  <c r="X10" i="129"/>
  <c r="Y13" i="129"/>
  <c r="Y14" i="129"/>
  <c r="X50" i="129"/>
  <c r="X51" i="129"/>
  <c r="X52" i="129"/>
  <c r="X34" i="129"/>
  <c r="J12" i="128"/>
  <c r="J50" i="128"/>
  <c r="R10" i="130" l="1"/>
  <c r="T4" i="130"/>
  <c r="S4" i="130"/>
  <c r="S10" i="130" s="1"/>
  <c r="Q10" i="130"/>
  <c r="T10" i="130" s="1"/>
  <c r="R12" i="130" s="1"/>
  <c r="X53" i="129"/>
  <c r="Q8" i="129" s="1"/>
  <c r="T8" i="129" s="1"/>
  <c r="Y16" i="129"/>
  <c r="R4" i="129" s="1"/>
  <c r="X35" i="129"/>
  <c r="Q6" i="129" s="1"/>
  <c r="T6" i="129" s="1"/>
  <c r="Y35" i="129"/>
  <c r="R6" i="129" s="1"/>
  <c r="X16" i="129"/>
  <c r="Q4" i="129" s="1"/>
  <c r="J25" i="128"/>
  <c r="T4" i="129" l="1"/>
  <c r="Q10" i="129"/>
  <c r="T10" i="129" s="1"/>
  <c r="R12" i="129" s="1"/>
  <c r="S4" i="129"/>
  <c r="S10" i="129" s="1"/>
  <c r="R10" i="129"/>
  <c r="J48" i="128"/>
  <c r="J44" i="128"/>
  <c r="J26" i="128"/>
  <c r="J24" i="128"/>
  <c r="K24" i="128" s="1"/>
  <c r="X24" i="128" s="1"/>
  <c r="J11" i="128"/>
  <c r="J10" i="128"/>
  <c r="K10" i="128" s="1"/>
  <c r="J8" i="128"/>
  <c r="K8" i="128" s="1"/>
  <c r="J7" i="128"/>
  <c r="J6" i="128"/>
  <c r="K52" i="128"/>
  <c r="X52" i="128" s="1"/>
  <c r="Y51" i="128"/>
  <c r="K51" i="128"/>
  <c r="X51" i="128" s="1"/>
  <c r="K50" i="128"/>
  <c r="X50" i="128" s="1"/>
  <c r="K49" i="128"/>
  <c r="X49" i="128" s="1"/>
  <c r="K48" i="128"/>
  <c r="X48" i="128" s="1"/>
  <c r="K47" i="128"/>
  <c r="X47" i="128" s="1"/>
  <c r="K46" i="128"/>
  <c r="X46" i="128" s="1"/>
  <c r="B46" i="128"/>
  <c r="B47" i="128" s="1"/>
  <c r="B48" i="128" s="1"/>
  <c r="B49" i="128" s="1"/>
  <c r="B50" i="128" s="1"/>
  <c r="B51" i="128" s="1"/>
  <c r="B52" i="128" s="1"/>
  <c r="K45" i="128"/>
  <c r="X45" i="128" s="1"/>
  <c r="K44" i="128"/>
  <c r="Y44" i="128" s="1"/>
  <c r="K43" i="128"/>
  <c r="Y43" i="128" s="1"/>
  <c r="K34" i="128"/>
  <c r="Y34" i="128" s="1"/>
  <c r="K33" i="128"/>
  <c r="K32" i="128"/>
  <c r="Y32" i="128" s="1"/>
  <c r="K31" i="128"/>
  <c r="Y31" i="128" s="1"/>
  <c r="Y30" i="128"/>
  <c r="K30" i="128"/>
  <c r="X30" i="128" s="1"/>
  <c r="Y29" i="128"/>
  <c r="X29" i="128"/>
  <c r="K29" i="128"/>
  <c r="K28" i="128"/>
  <c r="X28" i="128" s="1"/>
  <c r="K27" i="128"/>
  <c r="Y27" i="128" s="1"/>
  <c r="K26" i="128"/>
  <c r="Y26" i="128" s="1"/>
  <c r="K25" i="128"/>
  <c r="B25" i="128"/>
  <c r="B26" i="128" s="1"/>
  <c r="B27" i="128" s="1"/>
  <c r="B28" i="128" s="1"/>
  <c r="B29" i="128" s="1"/>
  <c r="B30" i="128" s="1"/>
  <c r="B31" i="128" s="1"/>
  <c r="B32" i="128" s="1"/>
  <c r="B33" i="128" s="1"/>
  <c r="B34" i="128" s="1"/>
  <c r="Y15" i="128"/>
  <c r="X15" i="128"/>
  <c r="K14" i="128"/>
  <c r="Y14" i="128" s="1"/>
  <c r="K13" i="128"/>
  <c r="Y13" i="128" s="1"/>
  <c r="K12" i="128"/>
  <c r="Y12" i="128" s="1"/>
  <c r="K11" i="128"/>
  <c r="Y11" i="128" s="1"/>
  <c r="K9" i="128"/>
  <c r="Y9" i="128" s="1"/>
  <c r="P8" i="128"/>
  <c r="K7" i="128"/>
  <c r="B7" i="128"/>
  <c r="B8" i="128" s="1"/>
  <c r="B9" i="128" s="1"/>
  <c r="B10" i="128" s="1"/>
  <c r="B11" i="128" s="1"/>
  <c r="B12" i="128" s="1"/>
  <c r="B13" i="128" s="1"/>
  <c r="B14" i="128" s="1"/>
  <c r="B15" i="128" s="1"/>
  <c r="P6" i="128"/>
  <c r="K6" i="128"/>
  <c r="P4" i="128"/>
  <c r="X32" i="128" l="1"/>
  <c r="Y49" i="128"/>
  <c r="X31" i="128"/>
  <c r="Y52" i="128"/>
  <c r="X9" i="128"/>
  <c r="Y50" i="128"/>
  <c r="Y48" i="128"/>
  <c r="Y47" i="128"/>
  <c r="Y45" i="128"/>
  <c r="X27" i="128"/>
  <c r="Y28" i="128"/>
  <c r="X26" i="128"/>
  <c r="Y24" i="128"/>
  <c r="X10" i="128"/>
  <c r="Y10" i="128"/>
  <c r="Y8" i="128"/>
  <c r="X8" i="128"/>
  <c r="K16" i="128"/>
  <c r="X44" i="128"/>
  <c r="Y46" i="128"/>
  <c r="Y6" i="128"/>
  <c r="P10" i="128"/>
  <c r="K35" i="128"/>
  <c r="X25" i="128"/>
  <c r="X35" i="128" s="1"/>
  <c r="Q6" i="128" s="1"/>
  <c r="T6" i="128" s="1"/>
  <c r="Y25" i="128"/>
  <c r="Y7" i="128"/>
  <c r="X7" i="128"/>
  <c r="X43" i="128"/>
  <c r="X53" i="128" s="1"/>
  <c r="Q8" i="128" s="1"/>
  <c r="T8" i="128" s="1"/>
  <c r="K53" i="128"/>
  <c r="X34" i="128"/>
  <c r="X11" i="128"/>
  <c r="X12" i="128"/>
  <c r="X13" i="128"/>
  <c r="X14" i="128"/>
  <c r="X6" i="128"/>
  <c r="J43" i="127"/>
  <c r="K43" i="127" s="1"/>
  <c r="Y43" i="127" s="1"/>
  <c r="J25" i="127"/>
  <c r="J7" i="127"/>
  <c r="K52" i="127"/>
  <c r="X52" i="127" s="1"/>
  <c r="K51" i="127"/>
  <c r="X51" i="127" s="1"/>
  <c r="K50" i="127"/>
  <c r="X50" i="127" s="1"/>
  <c r="K49" i="127"/>
  <c r="X49" i="127" s="1"/>
  <c r="K48" i="127"/>
  <c r="X48" i="127" s="1"/>
  <c r="K47" i="127"/>
  <c r="K46" i="127"/>
  <c r="Y46" i="127" s="1"/>
  <c r="B46" i="127"/>
  <c r="B47" i="127" s="1"/>
  <c r="B48" i="127" s="1"/>
  <c r="B49" i="127" s="1"/>
  <c r="B50" i="127" s="1"/>
  <c r="B51" i="127" s="1"/>
  <c r="B52" i="127" s="1"/>
  <c r="K45" i="127"/>
  <c r="K44" i="127"/>
  <c r="Y44" i="127" s="1"/>
  <c r="K34" i="127"/>
  <c r="X34" i="127" s="1"/>
  <c r="K33" i="127"/>
  <c r="K32" i="127"/>
  <c r="Y32" i="127" s="1"/>
  <c r="K31" i="127"/>
  <c r="Y31" i="127" s="1"/>
  <c r="K30" i="127"/>
  <c r="Y30" i="127" s="1"/>
  <c r="K29" i="127"/>
  <c r="Y29" i="127" s="1"/>
  <c r="K28" i="127"/>
  <c r="Y28" i="127" s="1"/>
  <c r="K27" i="127"/>
  <c r="Y27" i="127" s="1"/>
  <c r="K26" i="127"/>
  <c r="Y26" i="127" s="1"/>
  <c r="K25" i="127"/>
  <c r="Y25" i="127" s="1"/>
  <c r="B25" i="127"/>
  <c r="B26" i="127" s="1"/>
  <c r="B27" i="127" s="1"/>
  <c r="B28" i="127" s="1"/>
  <c r="B29" i="127" s="1"/>
  <c r="B30" i="127" s="1"/>
  <c r="B31" i="127" s="1"/>
  <c r="B32" i="127" s="1"/>
  <c r="B33" i="127" s="1"/>
  <c r="B34" i="127" s="1"/>
  <c r="K24" i="127"/>
  <c r="Y15" i="127"/>
  <c r="X15" i="127"/>
  <c r="K14" i="127"/>
  <c r="Y14" i="127" s="1"/>
  <c r="K13" i="127"/>
  <c r="Y13" i="127" s="1"/>
  <c r="K12" i="127"/>
  <c r="Y12" i="127" s="1"/>
  <c r="K11" i="127"/>
  <c r="Y11" i="127" s="1"/>
  <c r="K10" i="127"/>
  <c r="Y10" i="127" s="1"/>
  <c r="K9" i="127"/>
  <c r="X9" i="127" s="1"/>
  <c r="P8" i="127"/>
  <c r="K8" i="127"/>
  <c r="K7" i="127"/>
  <c r="X7" i="127" s="1"/>
  <c r="B7" i="127"/>
  <c r="B8" i="127" s="1"/>
  <c r="B9" i="127" s="1"/>
  <c r="B10" i="127" s="1"/>
  <c r="B11" i="127" s="1"/>
  <c r="B12" i="127" s="1"/>
  <c r="B13" i="127" s="1"/>
  <c r="B14" i="127" s="1"/>
  <c r="B15" i="127" s="1"/>
  <c r="P6" i="127"/>
  <c r="K6" i="127"/>
  <c r="P4" i="127"/>
  <c r="Y9" i="127" l="1"/>
  <c r="Y52" i="127"/>
  <c r="Y34" i="127"/>
  <c r="Y35" i="128"/>
  <c r="R6" i="128" s="1"/>
  <c r="Y16" i="128"/>
  <c r="R4" i="128" s="1"/>
  <c r="Y53" i="128"/>
  <c r="R8" i="128" s="1"/>
  <c r="X16" i="128"/>
  <c r="Q4" i="128" s="1"/>
  <c r="Q10" i="128" s="1"/>
  <c r="T10" i="128" s="1"/>
  <c r="R12" i="128" s="1"/>
  <c r="X44" i="127"/>
  <c r="Y49" i="127"/>
  <c r="Y51" i="127"/>
  <c r="Y48" i="127"/>
  <c r="Y50" i="127"/>
  <c r="X25" i="127"/>
  <c r="X10" i="127"/>
  <c r="Y7" i="127"/>
  <c r="X24" i="127"/>
  <c r="K35" i="127"/>
  <c r="Y24" i="127"/>
  <c r="Y35" i="127" s="1"/>
  <c r="R6" i="127" s="1"/>
  <c r="Y8" i="127"/>
  <c r="X8" i="127"/>
  <c r="Y45" i="127"/>
  <c r="X45" i="127"/>
  <c r="Y47" i="127"/>
  <c r="X47" i="127"/>
  <c r="K16" i="127"/>
  <c r="X6" i="127"/>
  <c r="Y6" i="127"/>
  <c r="Y16" i="127" s="1"/>
  <c r="R4" i="127" s="1"/>
  <c r="X11" i="127"/>
  <c r="X26" i="127"/>
  <c r="X27" i="127"/>
  <c r="X28" i="127"/>
  <c r="X29" i="127"/>
  <c r="X30" i="127"/>
  <c r="X31" i="127"/>
  <c r="X32" i="127"/>
  <c r="X43" i="127"/>
  <c r="X46" i="127"/>
  <c r="K53" i="127"/>
  <c r="X12" i="127"/>
  <c r="P10" i="127"/>
  <c r="X13" i="127"/>
  <c r="X14" i="127"/>
  <c r="J26" i="126"/>
  <c r="J6" i="126"/>
  <c r="Y53" i="127" l="1"/>
  <c r="R8" i="127" s="1"/>
  <c r="R10" i="128"/>
  <c r="S4" i="128"/>
  <c r="S10" i="128" s="1"/>
  <c r="T4" i="128"/>
  <c r="X53" i="127"/>
  <c r="Q8" i="127" s="1"/>
  <c r="T8" i="127" s="1"/>
  <c r="X35" i="127"/>
  <c r="Q6" i="127" s="1"/>
  <c r="T6" i="127" s="1"/>
  <c r="R10" i="127"/>
  <c r="X16" i="127"/>
  <c r="Q4" i="127" s="1"/>
  <c r="J48" i="126"/>
  <c r="J47" i="126"/>
  <c r="J46" i="126"/>
  <c r="J45" i="126"/>
  <c r="J24" i="126"/>
  <c r="J8" i="126"/>
  <c r="Q10" i="127" l="1"/>
  <c r="T10" i="127" s="1"/>
  <c r="R12" i="127" s="1"/>
  <c r="T4" i="127"/>
  <c r="S4" i="127"/>
  <c r="S10" i="127" s="1"/>
  <c r="X52" i="126"/>
  <c r="K52" i="126"/>
  <c r="Y52" i="126" s="1"/>
  <c r="K51" i="126"/>
  <c r="Y51" i="126" s="1"/>
  <c r="K50" i="126"/>
  <c r="Y50" i="126" s="1"/>
  <c r="K49" i="126"/>
  <c r="Y49" i="126" s="1"/>
  <c r="K48" i="126"/>
  <c r="Y48" i="126" s="1"/>
  <c r="K47" i="126"/>
  <c r="Y47" i="126" s="1"/>
  <c r="K46" i="126"/>
  <c r="Y46" i="126" s="1"/>
  <c r="B46" i="126"/>
  <c r="B47" i="126" s="1"/>
  <c r="B48" i="126" s="1"/>
  <c r="B49" i="126" s="1"/>
  <c r="B50" i="126" s="1"/>
  <c r="B51" i="126" s="1"/>
  <c r="B52" i="126" s="1"/>
  <c r="K45" i="126"/>
  <c r="Y45" i="126" s="1"/>
  <c r="K44" i="126"/>
  <c r="X44" i="126" s="1"/>
  <c r="K43" i="126"/>
  <c r="Y34" i="126"/>
  <c r="K34" i="126"/>
  <c r="X34" i="126" s="1"/>
  <c r="K33" i="126"/>
  <c r="X32" i="126"/>
  <c r="K32" i="126"/>
  <c r="Y32" i="126" s="1"/>
  <c r="K31" i="126"/>
  <c r="Y31" i="126" s="1"/>
  <c r="X30" i="126"/>
  <c r="K30" i="126"/>
  <c r="Y30" i="126" s="1"/>
  <c r="K29" i="126"/>
  <c r="Y29" i="126" s="1"/>
  <c r="X28" i="126"/>
  <c r="K28" i="126"/>
  <c r="Y28" i="126" s="1"/>
  <c r="K27" i="126"/>
  <c r="Y27" i="126" s="1"/>
  <c r="K26" i="126"/>
  <c r="Y26" i="126" s="1"/>
  <c r="K25" i="126"/>
  <c r="Y25" i="126" s="1"/>
  <c r="B25" i="126"/>
  <c r="B26" i="126" s="1"/>
  <c r="B27" i="126" s="1"/>
  <c r="B28" i="126" s="1"/>
  <c r="B29" i="126" s="1"/>
  <c r="B30" i="126" s="1"/>
  <c r="B31" i="126" s="1"/>
  <c r="B32" i="126" s="1"/>
  <c r="B33" i="126" s="1"/>
  <c r="B34" i="126" s="1"/>
  <c r="K24" i="126"/>
  <c r="Y24" i="126" s="1"/>
  <c r="Y15" i="126"/>
  <c r="X15" i="126"/>
  <c r="K14" i="126"/>
  <c r="Y14" i="126" s="1"/>
  <c r="K13" i="126"/>
  <c r="Y13" i="126" s="1"/>
  <c r="K12" i="126"/>
  <c r="Y12" i="126" s="1"/>
  <c r="K11" i="126"/>
  <c r="K10" i="126"/>
  <c r="X10" i="126" s="1"/>
  <c r="K9" i="126"/>
  <c r="P8" i="126"/>
  <c r="K8" i="126"/>
  <c r="Y8" i="126" s="1"/>
  <c r="K7" i="126"/>
  <c r="X7" i="126" s="1"/>
  <c r="B7" i="126"/>
  <c r="B8" i="126" s="1"/>
  <c r="B9" i="126" s="1"/>
  <c r="B10" i="126" s="1"/>
  <c r="B11" i="126" s="1"/>
  <c r="B12" i="126" s="1"/>
  <c r="B13" i="126" s="1"/>
  <c r="B14" i="126" s="1"/>
  <c r="B15" i="126" s="1"/>
  <c r="P6" i="126"/>
  <c r="K6" i="126"/>
  <c r="P4" i="126"/>
  <c r="X27" i="126" l="1"/>
  <c r="X29" i="126"/>
  <c r="X31" i="126"/>
  <c r="X12" i="126"/>
  <c r="X51" i="126"/>
  <c r="X50" i="126"/>
  <c r="X49" i="126"/>
  <c r="X26" i="126"/>
  <c r="Y44" i="126"/>
  <c r="Y35" i="126"/>
  <c r="R6" i="126" s="1"/>
  <c r="Y7" i="126"/>
  <c r="Y10" i="126"/>
  <c r="X25" i="126"/>
  <c r="X24" i="126"/>
  <c r="K35" i="126"/>
  <c r="K53" i="126"/>
  <c r="X43" i="126"/>
  <c r="X47" i="126"/>
  <c r="X45" i="126"/>
  <c r="X46" i="126"/>
  <c r="P10" i="126"/>
  <c r="X48" i="126"/>
  <c r="X6" i="126"/>
  <c r="K16" i="126"/>
  <c r="Y6" i="126"/>
  <c r="Y11" i="126"/>
  <c r="X11" i="126"/>
  <c r="Y9" i="126"/>
  <c r="X9" i="126"/>
  <c r="X8" i="126"/>
  <c r="X13" i="126"/>
  <c r="X14" i="126"/>
  <c r="Y43" i="126"/>
  <c r="Y53" i="126" s="1"/>
  <c r="R8" i="126" s="1"/>
  <c r="K10" i="125"/>
  <c r="J6" i="125"/>
  <c r="J47" i="125"/>
  <c r="J46" i="125"/>
  <c r="J9" i="125"/>
  <c r="J8" i="125"/>
  <c r="J11" i="125"/>
  <c r="X35" i="126" l="1"/>
  <c r="Q6" i="126" s="1"/>
  <c r="T6" i="126" s="1"/>
  <c r="X53" i="126"/>
  <c r="Q8" i="126" s="1"/>
  <c r="T8" i="126" s="1"/>
  <c r="Y16" i="126"/>
  <c r="R4" i="126" s="1"/>
  <c r="R10" i="126" s="1"/>
  <c r="X16" i="126"/>
  <c r="Q4" i="126" s="1"/>
  <c r="K8" i="125"/>
  <c r="Y8" i="125" s="1"/>
  <c r="K52" i="125"/>
  <c r="X52" i="125" s="1"/>
  <c r="Y51" i="125"/>
  <c r="K51" i="125"/>
  <c r="X51" i="125" s="1"/>
  <c r="K50" i="125"/>
  <c r="X50" i="125" s="1"/>
  <c r="K49" i="125"/>
  <c r="X49" i="125" s="1"/>
  <c r="K48" i="125"/>
  <c r="K47" i="125"/>
  <c r="Y47" i="125" s="1"/>
  <c r="K46" i="125"/>
  <c r="B46" i="125"/>
  <c r="B47" i="125" s="1"/>
  <c r="B48" i="125" s="1"/>
  <c r="B49" i="125" s="1"/>
  <c r="B50" i="125" s="1"/>
  <c r="B51" i="125" s="1"/>
  <c r="B52" i="125" s="1"/>
  <c r="K45" i="125"/>
  <c r="Y45" i="125" s="1"/>
  <c r="K44" i="125"/>
  <c r="Y44" i="125" s="1"/>
  <c r="K43" i="125"/>
  <c r="Y43" i="125" s="1"/>
  <c r="K34" i="125"/>
  <c r="Y34" i="125" s="1"/>
  <c r="K33" i="125"/>
  <c r="X32" i="125"/>
  <c r="K32" i="125"/>
  <c r="Y32" i="125" s="1"/>
  <c r="K31" i="125"/>
  <c r="K30" i="125"/>
  <c r="X30" i="125" s="1"/>
  <c r="K29" i="125"/>
  <c r="X29" i="125" s="1"/>
  <c r="K28" i="125"/>
  <c r="X28" i="125" s="1"/>
  <c r="K27" i="125"/>
  <c r="K26" i="125"/>
  <c r="K25" i="125"/>
  <c r="Y25" i="125" s="1"/>
  <c r="B25" i="125"/>
  <c r="B26" i="125" s="1"/>
  <c r="B27" i="125" s="1"/>
  <c r="B28" i="125" s="1"/>
  <c r="B29" i="125" s="1"/>
  <c r="B30" i="125" s="1"/>
  <c r="B31" i="125" s="1"/>
  <c r="B32" i="125" s="1"/>
  <c r="B33" i="125" s="1"/>
  <c r="B34" i="125" s="1"/>
  <c r="K24" i="125"/>
  <c r="Y24" i="125" s="1"/>
  <c r="Y15" i="125"/>
  <c r="X15" i="125"/>
  <c r="Y14" i="125"/>
  <c r="K14" i="125"/>
  <c r="X14" i="125" s="1"/>
  <c r="Y13" i="125"/>
  <c r="X13" i="125"/>
  <c r="K13" i="125"/>
  <c r="X12" i="125"/>
  <c r="K12" i="125"/>
  <c r="Y12" i="125" s="1"/>
  <c r="K11" i="125"/>
  <c r="X11" i="125" s="1"/>
  <c r="X10" i="125"/>
  <c r="K9" i="125"/>
  <c r="Y9" i="125" s="1"/>
  <c r="P8" i="125"/>
  <c r="K7" i="125"/>
  <c r="Y7" i="125" s="1"/>
  <c r="B7" i="125"/>
  <c r="B8" i="125" s="1"/>
  <c r="B9" i="125" s="1"/>
  <c r="B10" i="125" s="1"/>
  <c r="B11" i="125" s="1"/>
  <c r="B12" i="125" s="1"/>
  <c r="B13" i="125" s="1"/>
  <c r="B14" i="125" s="1"/>
  <c r="B15" i="125" s="1"/>
  <c r="P6" i="125"/>
  <c r="K6" i="125"/>
  <c r="X6" i="125" s="1"/>
  <c r="P4" i="125"/>
  <c r="Y49" i="125" l="1"/>
  <c r="Y52" i="125"/>
  <c r="S4" i="126"/>
  <c r="S10" i="126" s="1"/>
  <c r="Q10" i="126"/>
  <c r="T10" i="126" s="1"/>
  <c r="R12" i="126" s="1"/>
  <c r="T4" i="126"/>
  <c r="Y11" i="125"/>
  <c r="Y10" i="125"/>
  <c r="X7" i="125"/>
  <c r="Y50" i="125"/>
  <c r="Y28" i="125"/>
  <c r="Y30" i="125"/>
  <c r="P10" i="125"/>
  <c r="Y29" i="125"/>
  <c r="X8" i="125"/>
  <c r="Y6" i="125"/>
  <c r="X27" i="125"/>
  <c r="Y27" i="125"/>
  <c r="Y46" i="125"/>
  <c r="X46" i="125"/>
  <c r="Y26" i="125"/>
  <c r="Y35" i="125" s="1"/>
  <c r="R6" i="125" s="1"/>
  <c r="X26" i="125"/>
  <c r="X31" i="125"/>
  <c r="Y31" i="125"/>
  <c r="X48" i="125"/>
  <c r="Y48" i="125"/>
  <c r="K35" i="125"/>
  <c r="K16" i="125"/>
  <c r="X24" i="125"/>
  <c r="X25" i="125"/>
  <c r="X43" i="125"/>
  <c r="X44" i="125"/>
  <c r="X45" i="125"/>
  <c r="K53" i="125"/>
  <c r="X9" i="125"/>
  <c r="X34" i="125"/>
  <c r="X47" i="125"/>
  <c r="K50" i="124"/>
  <c r="J31" i="124"/>
  <c r="Y16" i="125" l="1"/>
  <c r="R4" i="125" s="1"/>
  <c r="Y53" i="125"/>
  <c r="R8" i="125" s="1"/>
  <c r="X16" i="125"/>
  <c r="Q4" i="125" s="1"/>
  <c r="S4" i="125" s="1"/>
  <c r="S10" i="125" s="1"/>
  <c r="X53" i="125"/>
  <c r="Q8" i="125" s="1"/>
  <c r="T8" i="125" s="1"/>
  <c r="X35" i="125"/>
  <c r="Q6" i="125" s="1"/>
  <c r="T6" i="125" s="1"/>
  <c r="J48" i="124"/>
  <c r="J46" i="124"/>
  <c r="K46" i="124" s="1"/>
  <c r="I45" i="124"/>
  <c r="J44" i="124"/>
  <c r="J43" i="124"/>
  <c r="J27" i="124"/>
  <c r="J26" i="124"/>
  <c r="K26" i="124" s="1"/>
  <c r="J7" i="124"/>
  <c r="J6" i="124"/>
  <c r="P6" i="124"/>
  <c r="K52" i="124"/>
  <c r="Y52" i="124" s="1"/>
  <c r="K51" i="124"/>
  <c r="Y51" i="124" s="1"/>
  <c r="Y50" i="124"/>
  <c r="K49" i="124"/>
  <c r="Y49" i="124" s="1"/>
  <c r="K48" i="124"/>
  <c r="X48" i="124" s="1"/>
  <c r="K47" i="124"/>
  <c r="Y47" i="124" s="1"/>
  <c r="B46" i="124"/>
  <c r="B47" i="124" s="1"/>
  <c r="B48" i="124" s="1"/>
  <c r="B49" i="124" s="1"/>
  <c r="B50" i="124" s="1"/>
  <c r="B51" i="124" s="1"/>
  <c r="B52" i="124" s="1"/>
  <c r="K45" i="124"/>
  <c r="K44" i="124"/>
  <c r="K43" i="124"/>
  <c r="Y43" i="124" s="1"/>
  <c r="K34" i="124"/>
  <c r="Y34" i="124" s="1"/>
  <c r="K33" i="124"/>
  <c r="K32" i="124"/>
  <c r="Y32" i="124" s="1"/>
  <c r="K31" i="124"/>
  <c r="X31" i="124" s="1"/>
  <c r="Y30" i="124"/>
  <c r="K30" i="124"/>
  <c r="X30" i="124" s="1"/>
  <c r="K29" i="124"/>
  <c r="X29" i="124" s="1"/>
  <c r="K28" i="124"/>
  <c r="Y28" i="124" s="1"/>
  <c r="Y27" i="124"/>
  <c r="K27" i="124"/>
  <c r="X27" i="124" s="1"/>
  <c r="K25" i="124"/>
  <c r="Y25" i="124" s="1"/>
  <c r="B25" i="124"/>
  <c r="B26" i="124" s="1"/>
  <c r="B27" i="124" s="1"/>
  <c r="B28" i="124" s="1"/>
  <c r="B29" i="124" s="1"/>
  <c r="B30" i="124" s="1"/>
  <c r="B31" i="124" s="1"/>
  <c r="B32" i="124" s="1"/>
  <c r="B33" i="124" s="1"/>
  <c r="B34" i="124" s="1"/>
  <c r="K24" i="124"/>
  <c r="Y15" i="124"/>
  <c r="X15" i="124"/>
  <c r="K14" i="124"/>
  <c r="X14" i="124" s="1"/>
  <c r="K13" i="124"/>
  <c r="X13" i="124" s="1"/>
  <c r="K12" i="124"/>
  <c r="Y12" i="124" s="1"/>
  <c r="K11" i="124"/>
  <c r="X11" i="124" s="1"/>
  <c r="K10" i="124"/>
  <c r="Y10" i="124" s="1"/>
  <c r="K9" i="124"/>
  <c r="P8" i="124"/>
  <c r="T8" i="124" s="1"/>
  <c r="B8" i="124"/>
  <c r="B9" i="124" s="1"/>
  <c r="B10" i="124" s="1"/>
  <c r="B11" i="124" s="1"/>
  <c r="B12" i="124" s="1"/>
  <c r="B13" i="124" s="1"/>
  <c r="B14" i="124" s="1"/>
  <c r="B15" i="124" s="1"/>
  <c r="K7" i="124"/>
  <c r="B7" i="124"/>
  <c r="K6" i="124"/>
  <c r="P4" i="124"/>
  <c r="X32" i="124" l="1"/>
  <c r="R10" i="125"/>
  <c r="Q10" i="125"/>
  <c r="T10" i="125" s="1"/>
  <c r="R12" i="125" s="1"/>
  <c r="T4" i="125"/>
  <c r="X12" i="124"/>
  <c r="Y11" i="124"/>
  <c r="Y31" i="124"/>
  <c r="X10" i="124"/>
  <c r="Y29" i="124"/>
  <c r="X28" i="124"/>
  <c r="X43" i="124"/>
  <c r="Y48" i="124"/>
  <c r="X47" i="124"/>
  <c r="K53" i="124"/>
  <c r="T6" i="124"/>
  <c r="P10" i="124"/>
  <c r="X26" i="124"/>
  <c r="Y26" i="124"/>
  <c r="Y8" i="124"/>
  <c r="X8" i="124"/>
  <c r="Y45" i="124"/>
  <c r="X45" i="124"/>
  <c r="X9" i="124"/>
  <c r="Y9" i="124"/>
  <c r="K35" i="124"/>
  <c r="X6" i="124"/>
  <c r="K16" i="124"/>
  <c r="Y6" i="124"/>
  <c r="Y7" i="124"/>
  <c r="X7" i="124"/>
  <c r="X46" i="124"/>
  <c r="Y46" i="124"/>
  <c r="X34" i="124"/>
  <c r="X49" i="124"/>
  <c r="X50" i="124"/>
  <c r="X51" i="124"/>
  <c r="X52" i="124"/>
  <c r="Y13" i="124"/>
  <c r="Y14" i="124"/>
  <c r="X24" i="124"/>
  <c r="X25" i="124"/>
  <c r="X44" i="124"/>
  <c r="Y24" i="124"/>
  <c r="Y44" i="124"/>
  <c r="J49" i="123"/>
  <c r="J7" i="123"/>
  <c r="Y53" i="124" l="1"/>
  <c r="R8" i="124" s="1"/>
  <c r="X53" i="124"/>
  <c r="Y16" i="124"/>
  <c r="R4" i="124" s="1"/>
  <c r="X35" i="124"/>
  <c r="X16" i="124"/>
  <c r="Q4" i="124" s="1"/>
  <c r="Y35" i="124"/>
  <c r="R6" i="124" s="1"/>
  <c r="J26" i="123"/>
  <c r="T4" i="124" l="1"/>
  <c r="Q10" i="124"/>
  <c r="T10" i="124" s="1"/>
  <c r="R12" i="124" s="1"/>
  <c r="S4" i="124"/>
  <c r="S10" i="124" s="1"/>
  <c r="R10" i="124"/>
  <c r="J47" i="123"/>
  <c r="J46" i="123"/>
  <c r="J45" i="123"/>
  <c r="K45" i="123" s="1"/>
  <c r="J9" i="123"/>
  <c r="K9" i="123" s="1"/>
  <c r="J8" i="123"/>
  <c r="J6" i="123"/>
  <c r="K52" i="123"/>
  <c r="X52" i="123" s="1"/>
  <c r="K51" i="123"/>
  <c r="X51" i="123" s="1"/>
  <c r="K50" i="123"/>
  <c r="X50" i="123" s="1"/>
  <c r="K49" i="123"/>
  <c r="X49" i="123" s="1"/>
  <c r="K48" i="123"/>
  <c r="X48" i="123" s="1"/>
  <c r="K47" i="123"/>
  <c r="X47" i="123" s="1"/>
  <c r="K46" i="123"/>
  <c r="X46" i="123" s="1"/>
  <c r="B46" i="123"/>
  <c r="B47" i="123" s="1"/>
  <c r="B48" i="123" s="1"/>
  <c r="B49" i="123" s="1"/>
  <c r="B50" i="123" s="1"/>
  <c r="B51" i="123" s="1"/>
  <c r="B52" i="123" s="1"/>
  <c r="K44" i="123"/>
  <c r="Y44" i="123" s="1"/>
  <c r="K43" i="123"/>
  <c r="Y43" i="123" s="1"/>
  <c r="K34" i="123"/>
  <c r="X34" i="123" s="1"/>
  <c r="K33" i="123"/>
  <c r="K32" i="123"/>
  <c r="Y32" i="123" s="1"/>
  <c r="K31" i="123"/>
  <c r="Y31" i="123" s="1"/>
  <c r="K30" i="123"/>
  <c r="Y30" i="123" s="1"/>
  <c r="K29" i="123"/>
  <c r="K28" i="123"/>
  <c r="X28" i="123" s="1"/>
  <c r="K27" i="123"/>
  <c r="K26" i="123"/>
  <c r="Y26" i="123" s="1"/>
  <c r="K25" i="123"/>
  <c r="B25" i="123"/>
  <c r="B26" i="123" s="1"/>
  <c r="B27" i="123" s="1"/>
  <c r="B28" i="123" s="1"/>
  <c r="B29" i="123" s="1"/>
  <c r="B30" i="123" s="1"/>
  <c r="B31" i="123" s="1"/>
  <c r="B32" i="123" s="1"/>
  <c r="B33" i="123" s="1"/>
  <c r="B34" i="123" s="1"/>
  <c r="K24" i="123"/>
  <c r="Y24" i="123" s="1"/>
  <c r="Y15" i="123"/>
  <c r="X15" i="123"/>
  <c r="K14" i="123"/>
  <c r="X14" i="123" s="1"/>
  <c r="K13" i="123"/>
  <c r="X13" i="123" s="1"/>
  <c r="K12" i="123"/>
  <c r="K11" i="123"/>
  <c r="Y11" i="123" s="1"/>
  <c r="K10" i="123"/>
  <c r="Y10" i="123" s="1"/>
  <c r="P8" i="123"/>
  <c r="T8" i="123" s="1"/>
  <c r="K8" i="123"/>
  <c r="X8" i="123" s="1"/>
  <c r="K7" i="123"/>
  <c r="B7" i="123"/>
  <c r="B8" i="123" s="1"/>
  <c r="B9" i="123" s="1"/>
  <c r="B10" i="123" s="1"/>
  <c r="B11" i="123" s="1"/>
  <c r="B12" i="123" s="1"/>
  <c r="B13" i="123" s="1"/>
  <c r="B14" i="123" s="1"/>
  <c r="B15" i="123" s="1"/>
  <c r="P6" i="123"/>
  <c r="T6" i="123" s="1"/>
  <c r="K6" i="123"/>
  <c r="X6" i="123" s="1"/>
  <c r="P4" i="123"/>
  <c r="Y13" i="123" l="1"/>
  <c r="Y14" i="123"/>
  <c r="Y34" i="123"/>
  <c r="Y52" i="123"/>
  <c r="Y49" i="123"/>
  <c r="Y51" i="123"/>
  <c r="Y50" i="123"/>
  <c r="X45" i="123"/>
  <c r="Y45" i="123"/>
  <c r="X44" i="123"/>
  <c r="Y47" i="123"/>
  <c r="Y46" i="123"/>
  <c r="Y48" i="123"/>
  <c r="Y28" i="123"/>
  <c r="Y6" i="123"/>
  <c r="X10" i="123"/>
  <c r="Y8" i="123"/>
  <c r="X9" i="123"/>
  <c r="Y9" i="123"/>
  <c r="X12" i="123"/>
  <c r="Y12" i="123"/>
  <c r="Y29" i="123"/>
  <c r="X29" i="123"/>
  <c r="X27" i="123"/>
  <c r="Y27" i="123"/>
  <c r="Y25" i="123"/>
  <c r="X25" i="123"/>
  <c r="Y7" i="123"/>
  <c r="K16" i="123"/>
  <c r="X7" i="123"/>
  <c r="P10" i="123"/>
  <c r="X11" i="123"/>
  <c r="X24" i="123"/>
  <c r="X30" i="123"/>
  <c r="X31" i="123"/>
  <c r="X32" i="123"/>
  <c r="K35" i="123"/>
  <c r="X43" i="123"/>
  <c r="K53" i="123"/>
  <c r="X26" i="123"/>
  <c r="J12" i="122"/>
  <c r="X53" i="123" l="1"/>
  <c r="X35" i="123"/>
  <c r="Y53" i="123"/>
  <c r="R8" i="123" s="1"/>
  <c r="Y35" i="123"/>
  <c r="R6" i="123" s="1"/>
  <c r="X16" i="123"/>
  <c r="Q4" i="123" s="1"/>
  <c r="Q10" i="123" s="1"/>
  <c r="T10" i="123" s="1"/>
  <c r="R12" i="123" s="1"/>
  <c r="Y16" i="123"/>
  <c r="R4" i="123" s="1"/>
  <c r="J30" i="122"/>
  <c r="J29" i="122"/>
  <c r="K29" i="122" s="1"/>
  <c r="Y29" i="122" s="1"/>
  <c r="J27" i="122"/>
  <c r="J25" i="122"/>
  <c r="J24" i="122"/>
  <c r="J9" i="122"/>
  <c r="K9" i="122" s="1"/>
  <c r="Y9" i="122" s="1"/>
  <c r="J7" i="122"/>
  <c r="K52" i="122"/>
  <c r="Y52" i="122" s="1"/>
  <c r="K51" i="122"/>
  <c r="Y51" i="122" s="1"/>
  <c r="K50" i="122"/>
  <c r="Y50" i="122" s="1"/>
  <c r="K49" i="122"/>
  <c r="Y49" i="122" s="1"/>
  <c r="K48" i="122"/>
  <c r="Y48" i="122" s="1"/>
  <c r="K47" i="122"/>
  <c r="Y47" i="122" s="1"/>
  <c r="K46" i="122"/>
  <c r="X46" i="122" s="1"/>
  <c r="B46" i="122"/>
  <c r="B47" i="122" s="1"/>
  <c r="B48" i="122" s="1"/>
  <c r="B49" i="122" s="1"/>
  <c r="B50" i="122" s="1"/>
  <c r="B51" i="122" s="1"/>
  <c r="B52" i="122" s="1"/>
  <c r="K45" i="122"/>
  <c r="X45" i="122" s="1"/>
  <c r="K44" i="122"/>
  <c r="Y44" i="122" s="1"/>
  <c r="K43" i="122"/>
  <c r="Y34" i="122"/>
  <c r="K34" i="122"/>
  <c r="X34" i="122" s="1"/>
  <c r="K33" i="122"/>
  <c r="K32" i="122"/>
  <c r="Y32" i="122" s="1"/>
  <c r="K31" i="122"/>
  <c r="Y31" i="122" s="1"/>
  <c r="K30" i="122"/>
  <c r="Y30" i="122" s="1"/>
  <c r="K28" i="122"/>
  <c r="Y28" i="122" s="1"/>
  <c r="K27" i="122"/>
  <c r="Y27" i="122" s="1"/>
  <c r="K26" i="122"/>
  <c r="K25" i="122"/>
  <c r="B25" i="122"/>
  <c r="B26" i="122" s="1"/>
  <c r="B27" i="122" s="1"/>
  <c r="B28" i="122" s="1"/>
  <c r="B29" i="122" s="1"/>
  <c r="B30" i="122" s="1"/>
  <c r="B31" i="122" s="1"/>
  <c r="B32" i="122" s="1"/>
  <c r="B33" i="122" s="1"/>
  <c r="B34" i="122" s="1"/>
  <c r="K24" i="122"/>
  <c r="Y24" i="122" s="1"/>
  <c r="Y15" i="122"/>
  <c r="X15" i="122"/>
  <c r="Y14" i="122"/>
  <c r="X14" i="122"/>
  <c r="K14" i="122"/>
  <c r="X13" i="122"/>
  <c r="K13" i="122"/>
  <c r="Y13" i="122" s="1"/>
  <c r="K12" i="122"/>
  <c r="X12" i="122" s="1"/>
  <c r="K11" i="122"/>
  <c r="Y11" i="122" s="1"/>
  <c r="K10" i="122"/>
  <c r="Y10" i="122" s="1"/>
  <c r="P8" i="122"/>
  <c r="T8" i="122" s="1"/>
  <c r="K8" i="122"/>
  <c r="Y8" i="122" s="1"/>
  <c r="K7" i="122"/>
  <c r="X7" i="122" s="1"/>
  <c r="B7" i="122"/>
  <c r="B8" i="122" s="1"/>
  <c r="B9" i="122" s="1"/>
  <c r="B10" i="122" s="1"/>
  <c r="B11" i="122" s="1"/>
  <c r="B12" i="122" s="1"/>
  <c r="B13" i="122" s="1"/>
  <c r="B14" i="122" s="1"/>
  <c r="B15" i="122" s="1"/>
  <c r="P6" i="122"/>
  <c r="T6" i="122" s="1"/>
  <c r="K6" i="122"/>
  <c r="P4" i="122"/>
  <c r="X49" i="122" l="1"/>
  <c r="Y12" i="122"/>
  <c r="X31" i="122"/>
  <c r="X47" i="122"/>
  <c r="X52" i="122"/>
  <c r="R10" i="123"/>
  <c r="T4" i="123"/>
  <c r="S4" i="123"/>
  <c r="S10" i="123" s="1"/>
  <c r="Y46" i="122"/>
  <c r="Y45" i="122"/>
  <c r="X29" i="122"/>
  <c r="K35" i="122"/>
  <c r="X24" i="122"/>
  <c r="X25" i="122"/>
  <c r="X28" i="122"/>
  <c r="X27" i="122"/>
  <c r="X30" i="122"/>
  <c r="X32" i="122"/>
  <c r="X44" i="122"/>
  <c r="X48" i="122"/>
  <c r="X51" i="122"/>
  <c r="K53" i="122"/>
  <c r="X50" i="122"/>
  <c r="K16" i="122"/>
  <c r="X6" i="122"/>
  <c r="Y6" i="122"/>
  <c r="Y26" i="122"/>
  <c r="X26" i="122"/>
  <c r="X8" i="122"/>
  <c r="X9" i="122"/>
  <c r="Y7" i="122"/>
  <c r="X10" i="122"/>
  <c r="X11" i="122"/>
  <c r="Y25" i="122"/>
  <c r="X43" i="122"/>
  <c r="P10" i="122"/>
  <c r="Y43" i="122"/>
  <c r="Y53" i="122" s="1"/>
  <c r="R8" i="122" s="1"/>
  <c r="J50" i="121"/>
  <c r="Y16" i="122" l="1"/>
  <c r="R4" i="122" s="1"/>
  <c r="X35" i="122"/>
  <c r="Y35" i="122"/>
  <c r="R6" i="122" s="1"/>
  <c r="R10" i="122" s="1"/>
  <c r="X53" i="122"/>
  <c r="X16" i="122"/>
  <c r="Q4" i="122" s="1"/>
  <c r="J43" i="121"/>
  <c r="K43" i="121" s="1"/>
  <c r="J29" i="121"/>
  <c r="J28" i="121"/>
  <c r="K28" i="121" s="1"/>
  <c r="Y28" i="121" s="1"/>
  <c r="J26" i="121"/>
  <c r="I26" i="121"/>
  <c r="K26" i="121" s="1"/>
  <c r="Y26" i="121" s="1"/>
  <c r="J25" i="121"/>
  <c r="J9" i="121"/>
  <c r="K9" i="121" s="1"/>
  <c r="J6" i="121"/>
  <c r="K52" i="121"/>
  <c r="Y52" i="121" s="1"/>
  <c r="K51" i="121"/>
  <c r="Y51" i="121" s="1"/>
  <c r="K50" i="121"/>
  <c r="Y50" i="121" s="1"/>
  <c r="K49" i="121"/>
  <c r="Y49" i="121" s="1"/>
  <c r="K48" i="121"/>
  <c r="Y48" i="121" s="1"/>
  <c r="K47" i="121"/>
  <c r="Y47" i="121" s="1"/>
  <c r="K46" i="121"/>
  <c r="B46" i="121"/>
  <c r="B47" i="121" s="1"/>
  <c r="B48" i="121" s="1"/>
  <c r="B49" i="121" s="1"/>
  <c r="B50" i="121" s="1"/>
  <c r="B51" i="121" s="1"/>
  <c r="B52" i="121" s="1"/>
  <c r="K45" i="121"/>
  <c r="Y45" i="121" s="1"/>
  <c r="K44" i="121"/>
  <c r="K34" i="121"/>
  <c r="Y34" i="121" s="1"/>
  <c r="K33" i="121"/>
  <c r="K32" i="121"/>
  <c r="Y32" i="121" s="1"/>
  <c r="K31" i="121"/>
  <c r="Y31" i="121" s="1"/>
  <c r="K30" i="121"/>
  <c r="K29" i="121"/>
  <c r="Y29" i="121" s="1"/>
  <c r="K27" i="121"/>
  <c r="Y27" i="121" s="1"/>
  <c r="K25" i="121"/>
  <c r="Y25" i="121" s="1"/>
  <c r="B25" i="121"/>
  <c r="B26" i="121" s="1"/>
  <c r="B27" i="121" s="1"/>
  <c r="B28" i="121" s="1"/>
  <c r="B29" i="121" s="1"/>
  <c r="B30" i="121" s="1"/>
  <c r="B31" i="121" s="1"/>
  <c r="B32" i="121" s="1"/>
  <c r="B33" i="121" s="1"/>
  <c r="B34" i="121" s="1"/>
  <c r="K24" i="121"/>
  <c r="Y15" i="121"/>
  <c r="X15" i="121"/>
  <c r="K14" i="121"/>
  <c r="Y14" i="121" s="1"/>
  <c r="K13" i="121"/>
  <c r="Y13" i="121" s="1"/>
  <c r="K12" i="121"/>
  <c r="Y12" i="121" s="1"/>
  <c r="K11" i="121"/>
  <c r="Y11" i="121" s="1"/>
  <c r="Y10" i="121"/>
  <c r="K10" i="121"/>
  <c r="X10" i="121" s="1"/>
  <c r="P8" i="121"/>
  <c r="T8" i="121" s="1"/>
  <c r="K8" i="121"/>
  <c r="X8" i="121" s="1"/>
  <c r="K7" i="121"/>
  <c r="B7" i="121"/>
  <c r="B8" i="121" s="1"/>
  <c r="B9" i="121" s="1"/>
  <c r="B10" i="121" s="1"/>
  <c r="B11" i="121" s="1"/>
  <c r="B12" i="121" s="1"/>
  <c r="B13" i="121" s="1"/>
  <c r="B14" i="121" s="1"/>
  <c r="B15" i="121" s="1"/>
  <c r="P6" i="121"/>
  <c r="T6" i="121" s="1"/>
  <c r="K6" i="121"/>
  <c r="P4" i="121"/>
  <c r="X9" i="121" l="1"/>
  <c r="Y9" i="121"/>
  <c r="X34" i="121"/>
  <c r="X52" i="121"/>
  <c r="X12" i="121"/>
  <c r="T4" i="122"/>
  <c r="Q10" i="122"/>
  <c r="T10" i="122" s="1"/>
  <c r="R12" i="122" s="1"/>
  <c r="S4" i="122"/>
  <c r="S10" i="122" s="1"/>
  <c r="X50" i="121"/>
  <c r="X51" i="121"/>
  <c r="X49" i="121"/>
  <c r="X47" i="121"/>
  <c r="Y43" i="121"/>
  <c r="X43" i="121"/>
  <c r="X31" i="121"/>
  <c r="X32" i="121"/>
  <c r="X25" i="121"/>
  <c r="X48" i="121"/>
  <c r="P10" i="121"/>
  <c r="Y8" i="121"/>
  <c r="X11" i="121"/>
  <c r="X7" i="121"/>
  <c r="Y7" i="121"/>
  <c r="X24" i="121"/>
  <c r="K35" i="121"/>
  <c r="Y24" i="121"/>
  <c r="K53" i="121"/>
  <c r="Y6" i="121"/>
  <c r="K16" i="121"/>
  <c r="X6" i="121"/>
  <c r="Y44" i="121"/>
  <c r="X44" i="121"/>
  <c r="Y30" i="121"/>
  <c r="X30" i="121"/>
  <c r="Y46" i="121"/>
  <c r="X46" i="121"/>
  <c r="X26" i="121"/>
  <c r="X27" i="121"/>
  <c r="X28" i="121"/>
  <c r="X29" i="121"/>
  <c r="X45" i="121"/>
  <c r="X13" i="121"/>
  <c r="X14" i="121"/>
  <c r="J48" i="120"/>
  <c r="J47" i="120"/>
  <c r="J46" i="120"/>
  <c r="J30" i="120"/>
  <c r="K10" i="120"/>
  <c r="X53" i="121" l="1"/>
  <c r="Y35" i="121"/>
  <c r="R6" i="121" s="1"/>
  <c r="Y53" i="121"/>
  <c r="R8" i="121" s="1"/>
  <c r="Y16" i="121"/>
  <c r="R4" i="121" s="1"/>
  <c r="X35" i="121"/>
  <c r="X16" i="121"/>
  <c r="Q4" i="121" s="1"/>
  <c r="J26" i="120"/>
  <c r="R10" i="121" l="1"/>
  <c r="Q10" i="121"/>
  <c r="T10" i="121" s="1"/>
  <c r="R12" i="121" s="1"/>
  <c r="T4" i="121"/>
  <c r="S4" i="121"/>
  <c r="S10" i="121" s="1"/>
  <c r="J44" i="120"/>
  <c r="K44" i="120" s="1"/>
  <c r="K26" i="120"/>
  <c r="J25" i="120"/>
  <c r="J24" i="120"/>
  <c r="K24" i="120" s="1"/>
  <c r="X24" i="120" s="1"/>
  <c r="J8" i="120"/>
  <c r="J7" i="120"/>
  <c r="J6" i="120"/>
  <c r="X52" i="120"/>
  <c r="K52" i="120"/>
  <c r="Y52" i="120" s="1"/>
  <c r="K51" i="120"/>
  <c r="Y51" i="120" s="1"/>
  <c r="X50" i="120"/>
  <c r="K50" i="120"/>
  <c r="Y50" i="120" s="1"/>
  <c r="K49" i="120"/>
  <c r="Y49" i="120" s="1"/>
  <c r="K48" i="120"/>
  <c r="Y48" i="120" s="1"/>
  <c r="X47" i="120"/>
  <c r="K47" i="120"/>
  <c r="Y47" i="120" s="1"/>
  <c r="K46" i="120"/>
  <c r="B46" i="120"/>
  <c r="B47" i="120" s="1"/>
  <c r="B48" i="120" s="1"/>
  <c r="B49" i="120" s="1"/>
  <c r="B50" i="120" s="1"/>
  <c r="B51" i="120" s="1"/>
  <c r="B52" i="120" s="1"/>
  <c r="K45" i="120"/>
  <c r="Y45" i="120" s="1"/>
  <c r="K43" i="120"/>
  <c r="Y43" i="120" s="1"/>
  <c r="K34" i="120"/>
  <c r="X34" i="120" s="1"/>
  <c r="K33" i="120"/>
  <c r="K32" i="120"/>
  <c r="Y32" i="120" s="1"/>
  <c r="Y31" i="120"/>
  <c r="X31" i="120"/>
  <c r="K31" i="120"/>
  <c r="K30" i="120"/>
  <c r="Y30" i="120" s="1"/>
  <c r="K29" i="120"/>
  <c r="Y29" i="120" s="1"/>
  <c r="K28" i="120"/>
  <c r="X28" i="120" s="1"/>
  <c r="K27" i="120"/>
  <c r="B26" i="120"/>
  <c r="B27" i="120" s="1"/>
  <c r="B28" i="120" s="1"/>
  <c r="B29" i="120" s="1"/>
  <c r="B30" i="120" s="1"/>
  <c r="B31" i="120" s="1"/>
  <c r="B32" i="120" s="1"/>
  <c r="B33" i="120" s="1"/>
  <c r="B34" i="120" s="1"/>
  <c r="K25" i="120"/>
  <c r="Y25" i="120" s="1"/>
  <c r="B25" i="120"/>
  <c r="Y15" i="120"/>
  <c r="X15" i="120"/>
  <c r="K14" i="120"/>
  <c r="Y14" i="120" s="1"/>
  <c r="Y13" i="120"/>
  <c r="K13" i="120"/>
  <c r="X13" i="120" s="1"/>
  <c r="K12" i="120"/>
  <c r="X12" i="120" s="1"/>
  <c r="K11" i="120"/>
  <c r="Y11" i="120" s="1"/>
  <c r="Y10" i="120"/>
  <c r="K9" i="120"/>
  <c r="Y9" i="120" s="1"/>
  <c r="P8" i="120"/>
  <c r="T8" i="120" s="1"/>
  <c r="K8" i="120"/>
  <c r="K7" i="120"/>
  <c r="B7" i="120"/>
  <c r="B8" i="120" s="1"/>
  <c r="B9" i="120" s="1"/>
  <c r="B10" i="120" s="1"/>
  <c r="B11" i="120" s="1"/>
  <c r="B12" i="120" s="1"/>
  <c r="B13" i="120" s="1"/>
  <c r="B14" i="120" s="1"/>
  <c r="B15" i="120" s="1"/>
  <c r="P6" i="120"/>
  <c r="T6" i="120" s="1"/>
  <c r="K6" i="120"/>
  <c r="Y6" i="120" s="1"/>
  <c r="P4" i="120"/>
  <c r="X14" i="120" l="1"/>
  <c r="X32" i="120"/>
  <c r="X51" i="120"/>
  <c r="Y28" i="120"/>
  <c r="Y12" i="120"/>
  <c r="X43" i="120"/>
  <c r="X9" i="120"/>
  <c r="X30" i="120"/>
  <c r="X29" i="120"/>
  <c r="K35" i="120"/>
  <c r="Y24" i="120"/>
  <c r="P10" i="120"/>
  <c r="X49" i="120"/>
  <c r="X48" i="120"/>
  <c r="Y26" i="120"/>
  <c r="X26" i="120"/>
  <c r="Y8" i="120"/>
  <c r="X8" i="120"/>
  <c r="Y7" i="120"/>
  <c r="X7" i="120"/>
  <c r="K16" i="120"/>
  <c r="Y44" i="120"/>
  <c r="K53" i="120"/>
  <c r="X44" i="120"/>
  <c r="Y27" i="120"/>
  <c r="X27" i="120"/>
  <c r="Y46" i="120"/>
  <c r="X46" i="120"/>
  <c r="X6" i="120"/>
  <c r="X25" i="120"/>
  <c r="X10" i="120"/>
  <c r="X11" i="120"/>
  <c r="Y34" i="120"/>
  <c r="X45" i="120"/>
  <c r="J48" i="119"/>
  <c r="J47" i="119"/>
  <c r="K47" i="119" s="1"/>
  <c r="Y47" i="119" s="1"/>
  <c r="J46" i="119"/>
  <c r="J44" i="119"/>
  <c r="J27" i="119"/>
  <c r="K27" i="119" s="1"/>
  <c r="J26" i="119"/>
  <c r="K26" i="119" s="1"/>
  <c r="Y26" i="119" s="1"/>
  <c r="J25" i="119"/>
  <c r="J10" i="119"/>
  <c r="L8" i="119"/>
  <c r="J9" i="119"/>
  <c r="K9" i="119" s="1"/>
  <c r="Y9" i="119" s="1"/>
  <c r="J8" i="119"/>
  <c r="K8" i="119" s="1"/>
  <c r="J7" i="119"/>
  <c r="K52" i="119"/>
  <c r="Y52" i="119" s="1"/>
  <c r="K51" i="119"/>
  <c r="Y51" i="119" s="1"/>
  <c r="K50" i="119"/>
  <c r="Y50" i="119" s="1"/>
  <c r="K49" i="119"/>
  <c r="X49" i="119" s="1"/>
  <c r="K48" i="119"/>
  <c r="K46" i="119"/>
  <c r="B46" i="119"/>
  <c r="B47" i="119" s="1"/>
  <c r="B48" i="119" s="1"/>
  <c r="B49" i="119" s="1"/>
  <c r="B50" i="119" s="1"/>
  <c r="B51" i="119" s="1"/>
  <c r="B52" i="119" s="1"/>
  <c r="K45" i="119"/>
  <c r="Y45" i="119" s="1"/>
  <c r="K44" i="119"/>
  <c r="Y44" i="119" s="1"/>
  <c r="K43" i="119"/>
  <c r="Y34" i="119"/>
  <c r="X34" i="119"/>
  <c r="K34" i="119"/>
  <c r="K33" i="119"/>
  <c r="K32" i="119"/>
  <c r="Y32" i="119" s="1"/>
  <c r="K31" i="119"/>
  <c r="X31" i="119" s="1"/>
  <c r="K30" i="119"/>
  <c r="Y30" i="119" s="1"/>
  <c r="K29" i="119"/>
  <c r="X29" i="119" s="1"/>
  <c r="K28" i="119"/>
  <c r="Y28" i="119" s="1"/>
  <c r="K25" i="119"/>
  <c r="Y25" i="119" s="1"/>
  <c r="B25" i="119"/>
  <c r="B26" i="119" s="1"/>
  <c r="B27" i="119" s="1"/>
  <c r="B28" i="119" s="1"/>
  <c r="B29" i="119" s="1"/>
  <c r="B30" i="119" s="1"/>
  <c r="B31" i="119" s="1"/>
  <c r="B32" i="119" s="1"/>
  <c r="B33" i="119" s="1"/>
  <c r="B34" i="119" s="1"/>
  <c r="K24" i="119"/>
  <c r="Y24" i="119" s="1"/>
  <c r="Y15" i="119"/>
  <c r="X15" i="119"/>
  <c r="Y14" i="119"/>
  <c r="K14" i="119"/>
  <c r="X14" i="119" s="1"/>
  <c r="K13" i="119"/>
  <c r="Y13" i="119" s="1"/>
  <c r="K12" i="119"/>
  <c r="K11" i="119"/>
  <c r="Y11" i="119" s="1"/>
  <c r="K10" i="119"/>
  <c r="P8" i="119"/>
  <c r="T8" i="119" s="1"/>
  <c r="B8" i="119"/>
  <c r="B9" i="119" s="1"/>
  <c r="B10" i="119" s="1"/>
  <c r="B11" i="119" s="1"/>
  <c r="B12" i="119" s="1"/>
  <c r="B13" i="119" s="1"/>
  <c r="B14" i="119" s="1"/>
  <c r="B15" i="119" s="1"/>
  <c r="K7" i="119"/>
  <c r="B7" i="119"/>
  <c r="P6" i="119"/>
  <c r="T6" i="119" s="1"/>
  <c r="K6" i="119"/>
  <c r="X6" i="119" s="1"/>
  <c r="P4" i="119"/>
  <c r="Y27" i="119" l="1"/>
  <c r="X27" i="119"/>
  <c r="X13" i="119"/>
  <c r="Y49" i="119"/>
  <c r="X53" i="120"/>
  <c r="X16" i="120"/>
  <c r="Q4" i="120" s="1"/>
  <c r="T4" i="120" s="1"/>
  <c r="Y16" i="120"/>
  <c r="R4" i="120" s="1"/>
  <c r="X35" i="120"/>
  <c r="Y35" i="120"/>
  <c r="R6" i="120" s="1"/>
  <c r="Y53" i="120"/>
  <c r="R8" i="120" s="1"/>
  <c r="X26" i="119"/>
  <c r="X24" i="119"/>
  <c r="X25" i="119"/>
  <c r="P10" i="119"/>
  <c r="K53" i="119"/>
  <c r="X50" i="119"/>
  <c r="Y8" i="119"/>
  <c r="X8" i="119"/>
  <c r="Y10" i="119"/>
  <c r="X10" i="119"/>
  <c r="Y48" i="119"/>
  <c r="X48" i="119"/>
  <c r="X12" i="119"/>
  <c r="Y12" i="119"/>
  <c r="Y46" i="119"/>
  <c r="X46" i="119"/>
  <c r="Y7" i="119"/>
  <c r="X7" i="119"/>
  <c r="K16" i="119"/>
  <c r="X11" i="119"/>
  <c r="X28" i="119"/>
  <c r="X30" i="119"/>
  <c r="X32" i="119"/>
  <c r="K35" i="119"/>
  <c r="X44" i="119"/>
  <c r="X45" i="119"/>
  <c r="X51" i="119"/>
  <c r="X52" i="119"/>
  <c r="Y6" i="119"/>
  <c r="X9" i="119"/>
  <c r="Y29" i="119"/>
  <c r="Y35" i="119" s="1"/>
  <c r="R6" i="119" s="1"/>
  <c r="Y31" i="119"/>
  <c r="Y43" i="119"/>
  <c r="X47" i="119"/>
  <c r="X43" i="119"/>
  <c r="J51" i="118"/>
  <c r="J50" i="118"/>
  <c r="R10" i="120" l="1"/>
  <c r="S4" i="120"/>
  <c r="S10" i="120" s="1"/>
  <c r="Q10" i="120"/>
  <c r="T10" i="120" s="1"/>
  <c r="R12" i="120" s="1"/>
  <c r="X53" i="119"/>
  <c r="X35" i="119"/>
  <c r="X16" i="119"/>
  <c r="Q4" i="119" s="1"/>
  <c r="Q10" i="119" s="1"/>
  <c r="T10" i="119" s="1"/>
  <c r="R12" i="119" s="1"/>
  <c r="Y53" i="119"/>
  <c r="R8" i="119" s="1"/>
  <c r="Y16" i="119"/>
  <c r="R4" i="119" s="1"/>
  <c r="J48" i="118"/>
  <c r="J46" i="118"/>
  <c r="J45" i="118"/>
  <c r="J44" i="118"/>
  <c r="T4" i="119" l="1"/>
  <c r="R10" i="119"/>
  <c r="S4" i="119"/>
  <c r="S10" i="119" s="1"/>
  <c r="J28" i="118"/>
  <c r="J12" i="118"/>
  <c r="J11" i="118"/>
  <c r="K11" i="118" s="1"/>
  <c r="J10" i="118"/>
  <c r="K10" i="118" s="1"/>
  <c r="Y10" i="118" s="1"/>
  <c r="J8" i="118"/>
  <c r="K8" i="118" s="1"/>
  <c r="Y8" i="118" s="1"/>
  <c r="J7" i="118"/>
  <c r="K52" i="118"/>
  <c r="X52" i="118" s="1"/>
  <c r="K51" i="118"/>
  <c r="X51" i="118" s="1"/>
  <c r="K50" i="118"/>
  <c r="X50" i="118" s="1"/>
  <c r="K49" i="118"/>
  <c r="X49" i="118" s="1"/>
  <c r="K48" i="118"/>
  <c r="Y48" i="118" s="1"/>
  <c r="K47" i="118"/>
  <c r="K46" i="118"/>
  <c r="Y46" i="118" s="1"/>
  <c r="B46" i="118"/>
  <c r="B47" i="118" s="1"/>
  <c r="B48" i="118" s="1"/>
  <c r="B49" i="118" s="1"/>
  <c r="B50" i="118" s="1"/>
  <c r="B51" i="118" s="1"/>
  <c r="B52" i="118" s="1"/>
  <c r="K45" i="118"/>
  <c r="Y45" i="118" s="1"/>
  <c r="K44" i="118"/>
  <c r="Y44" i="118" s="1"/>
  <c r="K43" i="118"/>
  <c r="X43" i="118" s="1"/>
  <c r="K34" i="118"/>
  <c r="Y34" i="118" s="1"/>
  <c r="K33" i="118"/>
  <c r="K32" i="118"/>
  <c r="Y32" i="118" s="1"/>
  <c r="K31" i="118"/>
  <c r="Y31" i="118" s="1"/>
  <c r="K30" i="118"/>
  <c r="Y30" i="118" s="1"/>
  <c r="K29" i="118"/>
  <c r="K28" i="118"/>
  <c r="Y28" i="118" s="1"/>
  <c r="K27" i="118"/>
  <c r="X27" i="118" s="1"/>
  <c r="K26" i="118"/>
  <c r="X26" i="118" s="1"/>
  <c r="B26" i="118"/>
  <c r="B27" i="118" s="1"/>
  <c r="B28" i="118" s="1"/>
  <c r="B29" i="118" s="1"/>
  <c r="B30" i="118" s="1"/>
  <c r="B31" i="118" s="1"/>
  <c r="B32" i="118" s="1"/>
  <c r="B33" i="118" s="1"/>
  <c r="B34" i="118" s="1"/>
  <c r="K25" i="118"/>
  <c r="B25" i="118"/>
  <c r="K24" i="118"/>
  <c r="X24" i="118" s="1"/>
  <c r="Y15" i="118"/>
  <c r="X15" i="118"/>
  <c r="K14" i="118"/>
  <c r="Y14" i="118" s="1"/>
  <c r="K13" i="118"/>
  <c r="K12" i="118"/>
  <c r="K9" i="118"/>
  <c r="Y9" i="118" s="1"/>
  <c r="P8" i="118"/>
  <c r="T8" i="118" s="1"/>
  <c r="K7" i="118"/>
  <c r="B7" i="118"/>
  <c r="B8" i="118" s="1"/>
  <c r="B9" i="118" s="1"/>
  <c r="B10" i="118" s="1"/>
  <c r="B11" i="118" s="1"/>
  <c r="B12" i="118" s="1"/>
  <c r="B13" i="118" s="1"/>
  <c r="B14" i="118" s="1"/>
  <c r="B15" i="118" s="1"/>
  <c r="P6" i="118"/>
  <c r="T6" i="118" s="1"/>
  <c r="K6" i="118"/>
  <c r="P4" i="118"/>
  <c r="X31" i="118" l="1"/>
  <c r="X34" i="118"/>
  <c r="Y52" i="118"/>
  <c r="X30" i="118"/>
  <c r="X32" i="118"/>
  <c r="Y27" i="118"/>
  <c r="Y26" i="118"/>
  <c r="X44" i="118"/>
  <c r="Y49" i="118"/>
  <c r="Y51" i="118"/>
  <c r="Y43" i="118"/>
  <c r="X48" i="118"/>
  <c r="Y50" i="118"/>
  <c r="P10" i="118"/>
  <c r="Y24" i="118"/>
  <c r="Y13" i="118"/>
  <c r="X13" i="118"/>
  <c r="X11" i="118"/>
  <c r="Y11" i="118"/>
  <c r="X7" i="118"/>
  <c r="Y7" i="118"/>
  <c r="Y12" i="118"/>
  <c r="X12" i="118"/>
  <c r="X25" i="118"/>
  <c r="Y25" i="118"/>
  <c r="Y47" i="118"/>
  <c r="X47" i="118"/>
  <c r="K16" i="118"/>
  <c r="X6" i="118"/>
  <c r="Y6" i="118"/>
  <c r="Y29" i="118"/>
  <c r="X29" i="118"/>
  <c r="X28" i="118"/>
  <c r="X45" i="118"/>
  <c r="X46" i="118"/>
  <c r="K53" i="118"/>
  <c r="X8" i="118"/>
  <c r="X9" i="118"/>
  <c r="X10" i="118"/>
  <c r="X14" i="118"/>
  <c r="K35" i="118"/>
  <c r="J49" i="117"/>
  <c r="J29" i="117"/>
  <c r="X35" i="118" l="1"/>
  <c r="Y53" i="118"/>
  <c r="R8" i="118" s="1"/>
  <c r="X53" i="118"/>
  <c r="Y35" i="118"/>
  <c r="R6" i="118" s="1"/>
  <c r="Y16" i="118"/>
  <c r="R4" i="118" s="1"/>
  <c r="X16" i="118"/>
  <c r="Q4" i="118" s="1"/>
  <c r="J28" i="117"/>
  <c r="J13" i="117"/>
  <c r="J12" i="117"/>
  <c r="J11" i="117"/>
  <c r="R10" i="118" l="1"/>
  <c r="Q10" i="118"/>
  <c r="T10" i="118" s="1"/>
  <c r="R12" i="118" s="1"/>
  <c r="T4" i="118"/>
  <c r="S4" i="118"/>
  <c r="S10" i="118" s="1"/>
  <c r="J6" i="117"/>
  <c r="J9" i="117"/>
  <c r="J8" i="117"/>
  <c r="J7" i="117"/>
  <c r="K7" i="117" s="1"/>
  <c r="X7" i="117" s="1"/>
  <c r="J25" i="117"/>
  <c r="J47" i="117"/>
  <c r="K47" i="117" s="1"/>
  <c r="J43" i="117"/>
  <c r="K28" i="117"/>
  <c r="Y28" i="117" s="1"/>
  <c r="K52" i="117"/>
  <c r="X52" i="117" s="1"/>
  <c r="K51" i="117"/>
  <c r="X51" i="117" s="1"/>
  <c r="K50" i="117"/>
  <c r="K49" i="117"/>
  <c r="Y49" i="117" s="1"/>
  <c r="K48" i="117"/>
  <c r="Y48" i="117" s="1"/>
  <c r="K46" i="117"/>
  <c r="Y46" i="117" s="1"/>
  <c r="B46" i="117"/>
  <c r="B47" i="117" s="1"/>
  <c r="B48" i="117" s="1"/>
  <c r="B49" i="117" s="1"/>
  <c r="B50" i="117" s="1"/>
  <c r="B51" i="117" s="1"/>
  <c r="B52" i="117" s="1"/>
  <c r="K45" i="117"/>
  <c r="K44" i="117"/>
  <c r="K43" i="117"/>
  <c r="X43" i="117" s="1"/>
  <c r="K34" i="117"/>
  <c r="X34" i="117" s="1"/>
  <c r="K33" i="117"/>
  <c r="K32" i="117"/>
  <c r="Y32" i="117" s="1"/>
  <c r="Y31" i="117"/>
  <c r="K31" i="117"/>
  <c r="X31" i="117" s="1"/>
  <c r="Y30" i="117"/>
  <c r="X30" i="117"/>
  <c r="K30" i="117"/>
  <c r="K29" i="117"/>
  <c r="K27" i="117"/>
  <c r="X27" i="117" s="1"/>
  <c r="K26" i="117"/>
  <c r="X26" i="117" s="1"/>
  <c r="K25" i="117"/>
  <c r="X25" i="117" s="1"/>
  <c r="B25" i="117"/>
  <c r="B26" i="117" s="1"/>
  <c r="B27" i="117" s="1"/>
  <c r="B28" i="117" s="1"/>
  <c r="B29" i="117" s="1"/>
  <c r="B30" i="117" s="1"/>
  <c r="B31" i="117" s="1"/>
  <c r="B32" i="117" s="1"/>
  <c r="B33" i="117" s="1"/>
  <c r="B34" i="117" s="1"/>
  <c r="K24" i="117"/>
  <c r="X24" i="117" s="1"/>
  <c r="Y15" i="117"/>
  <c r="X15" i="117"/>
  <c r="K14" i="117"/>
  <c r="Y14" i="117" s="1"/>
  <c r="K13" i="117"/>
  <c r="Y13" i="117" s="1"/>
  <c r="K12" i="117"/>
  <c r="Y12" i="117" s="1"/>
  <c r="K11" i="117"/>
  <c r="Y11" i="117" s="1"/>
  <c r="K10" i="117"/>
  <c r="X10" i="117" s="1"/>
  <c r="K9" i="117"/>
  <c r="P8" i="117"/>
  <c r="T8" i="117" s="1"/>
  <c r="K8" i="117"/>
  <c r="B7" i="117"/>
  <c r="B8" i="117" s="1"/>
  <c r="B9" i="117" s="1"/>
  <c r="B10" i="117" s="1"/>
  <c r="B11" i="117" s="1"/>
  <c r="B12" i="117" s="1"/>
  <c r="B13" i="117" s="1"/>
  <c r="B14" i="117" s="1"/>
  <c r="B15" i="117" s="1"/>
  <c r="P6" i="117"/>
  <c r="T6" i="117" s="1"/>
  <c r="K6" i="117"/>
  <c r="Y6" i="117" s="1"/>
  <c r="P4" i="117"/>
  <c r="X32" i="117" l="1"/>
  <c r="X28" i="117"/>
  <c r="X12" i="117"/>
  <c r="Y7" i="117"/>
  <c r="Y47" i="117"/>
  <c r="X47" i="117"/>
  <c r="Y43" i="117"/>
  <c r="X46" i="117"/>
  <c r="P10" i="117"/>
  <c r="Y10" i="117"/>
  <c r="X11" i="117"/>
  <c r="K16" i="117"/>
  <c r="Y9" i="117"/>
  <c r="X9" i="117"/>
  <c r="X44" i="117"/>
  <c r="Y44" i="117"/>
  <c r="K53" i="117"/>
  <c r="X50" i="117"/>
  <c r="Y50" i="117"/>
  <c r="Y29" i="117"/>
  <c r="K35" i="117"/>
  <c r="X29" i="117"/>
  <c r="Y45" i="117"/>
  <c r="X45" i="117"/>
  <c r="X8" i="117"/>
  <c r="Y8" i="117"/>
  <c r="Y24" i="117"/>
  <c r="Y25" i="117"/>
  <c r="Y26" i="117"/>
  <c r="Y27" i="117"/>
  <c r="Y34" i="117"/>
  <c r="Y51" i="117"/>
  <c r="Y52" i="117"/>
  <c r="X13" i="117"/>
  <c r="X14" i="117"/>
  <c r="X48" i="117"/>
  <c r="X49" i="117"/>
  <c r="X6" i="117"/>
  <c r="J29" i="116"/>
  <c r="K28" i="116"/>
  <c r="J28" i="116"/>
  <c r="J50" i="116"/>
  <c r="Y16" i="117" l="1"/>
  <c r="R4" i="117" s="1"/>
  <c r="X35" i="117"/>
  <c r="X53" i="117"/>
  <c r="Y53" i="117"/>
  <c r="R8" i="117" s="1"/>
  <c r="Y35" i="117"/>
  <c r="R6" i="117" s="1"/>
  <c r="X16" i="117"/>
  <c r="Q4" i="117" s="1"/>
  <c r="J48" i="116"/>
  <c r="R10" i="117" l="1"/>
  <c r="T4" i="117"/>
  <c r="Q10" i="117"/>
  <c r="T10" i="117" s="1"/>
  <c r="R12" i="117" s="1"/>
  <c r="S4" i="117"/>
  <c r="S10" i="117" s="1"/>
  <c r="J45" i="116"/>
  <c r="J44" i="116"/>
  <c r="J9" i="116"/>
  <c r="K9" i="116" s="1"/>
  <c r="J8" i="116"/>
  <c r="K8" i="116" s="1"/>
  <c r="K52" i="116"/>
  <c r="X52" i="116" s="1"/>
  <c r="K51" i="116"/>
  <c r="X51" i="116" s="1"/>
  <c r="K50" i="116"/>
  <c r="X50" i="116" s="1"/>
  <c r="K49" i="116"/>
  <c r="X49" i="116" s="1"/>
  <c r="K48" i="116"/>
  <c r="X48" i="116" s="1"/>
  <c r="K47" i="116"/>
  <c r="X47" i="116" s="1"/>
  <c r="K46" i="116"/>
  <c r="X46" i="116" s="1"/>
  <c r="B46" i="116"/>
  <c r="B47" i="116" s="1"/>
  <c r="B48" i="116" s="1"/>
  <c r="B49" i="116" s="1"/>
  <c r="B50" i="116" s="1"/>
  <c r="B51" i="116" s="1"/>
  <c r="B52" i="116" s="1"/>
  <c r="K45" i="116"/>
  <c r="K44" i="116"/>
  <c r="Y44" i="116" s="1"/>
  <c r="K43" i="116"/>
  <c r="K34" i="116"/>
  <c r="Y34" i="116" s="1"/>
  <c r="K33" i="116"/>
  <c r="K32" i="116"/>
  <c r="Y32" i="116" s="1"/>
  <c r="K31" i="116"/>
  <c r="K30" i="116"/>
  <c r="Y30" i="116" s="1"/>
  <c r="K29" i="116"/>
  <c r="Y29" i="116" s="1"/>
  <c r="X28" i="116"/>
  <c r="K27" i="116"/>
  <c r="K26" i="116"/>
  <c r="Y26" i="116" s="1"/>
  <c r="K25" i="116"/>
  <c r="Y25" i="116" s="1"/>
  <c r="B25" i="116"/>
  <c r="B26" i="116" s="1"/>
  <c r="B27" i="116" s="1"/>
  <c r="B28" i="116" s="1"/>
  <c r="B29" i="116" s="1"/>
  <c r="B30" i="116" s="1"/>
  <c r="B31" i="116" s="1"/>
  <c r="B32" i="116" s="1"/>
  <c r="B33" i="116" s="1"/>
  <c r="B34" i="116" s="1"/>
  <c r="K24" i="116"/>
  <c r="Y15" i="116"/>
  <c r="X15" i="116"/>
  <c r="K14" i="116"/>
  <c r="Y14" i="116" s="1"/>
  <c r="K13" i="116"/>
  <c r="Y13" i="116" s="1"/>
  <c r="K12" i="116"/>
  <c r="Y12" i="116" s="1"/>
  <c r="K11" i="116"/>
  <c r="X11" i="116" s="1"/>
  <c r="K10" i="116"/>
  <c r="X10" i="116" s="1"/>
  <c r="P8" i="116"/>
  <c r="T8" i="116" s="1"/>
  <c r="K7" i="116"/>
  <c r="Y7" i="116" s="1"/>
  <c r="B7" i="116"/>
  <c r="B8" i="116" s="1"/>
  <c r="B9" i="116" s="1"/>
  <c r="B10" i="116" s="1"/>
  <c r="B11" i="116" s="1"/>
  <c r="B12" i="116" s="1"/>
  <c r="B13" i="116" s="1"/>
  <c r="B14" i="116" s="1"/>
  <c r="B15" i="116" s="1"/>
  <c r="P6" i="116"/>
  <c r="T6" i="116" s="1"/>
  <c r="K6" i="116"/>
  <c r="Y6" i="116" s="1"/>
  <c r="P4" i="116"/>
  <c r="Y51" i="116" l="1"/>
  <c r="X32" i="116"/>
  <c r="X34" i="116"/>
  <c r="Y52" i="116"/>
  <c r="Y11" i="116"/>
  <c r="Y49" i="116"/>
  <c r="Y28" i="116"/>
  <c r="Y50" i="116"/>
  <c r="K53" i="116"/>
  <c r="X44" i="116"/>
  <c r="Y43" i="116"/>
  <c r="Y47" i="116"/>
  <c r="X43" i="116"/>
  <c r="Y46" i="116"/>
  <c r="Y48" i="116"/>
  <c r="P10" i="116"/>
  <c r="X29" i="116"/>
  <c r="Y10" i="116"/>
  <c r="X12" i="116"/>
  <c r="Y31" i="116"/>
  <c r="X31" i="116"/>
  <c r="Y9" i="116"/>
  <c r="X9" i="116"/>
  <c r="Y8" i="116"/>
  <c r="X8" i="116"/>
  <c r="K35" i="116"/>
  <c r="Y27" i="116"/>
  <c r="X27" i="116"/>
  <c r="Y45" i="116"/>
  <c r="X45" i="116"/>
  <c r="X53" i="116" s="1"/>
  <c r="X6" i="116"/>
  <c r="X7" i="116"/>
  <c r="X13" i="116"/>
  <c r="X14" i="116"/>
  <c r="K16" i="116"/>
  <c r="X24" i="116"/>
  <c r="X25" i="116"/>
  <c r="X26" i="116"/>
  <c r="X30" i="116"/>
  <c r="Y24" i="116"/>
  <c r="J31" i="115"/>
  <c r="J30" i="115"/>
  <c r="J29" i="115"/>
  <c r="J28" i="115"/>
  <c r="K28" i="115" s="1"/>
  <c r="J27" i="115"/>
  <c r="J46" i="115"/>
  <c r="J45" i="115"/>
  <c r="J43" i="115"/>
  <c r="K43" i="115" s="1"/>
  <c r="J11" i="115"/>
  <c r="J9" i="115"/>
  <c r="J8" i="115"/>
  <c r="J7" i="115"/>
  <c r="K7" i="115" s="1"/>
  <c r="Y7" i="115" s="1"/>
  <c r="J6" i="115"/>
  <c r="K52" i="115"/>
  <c r="Y52" i="115" s="1"/>
  <c r="X51" i="115"/>
  <c r="K51" i="115"/>
  <c r="Y51" i="115" s="1"/>
  <c r="K50" i="115"/>
  <c r="Y50" i="115" s="1"/>
  <c r="K49" i="115"/>
  <c r="Y49" i="115" s="1"/>
  <c r="K48" i="115"/>
  <c r="Y48" i="115" s="1"/>
  <c r="K47" i="115"/>
  <c r="K46" i="115"/>
  <c r="Y46" i="115" s="1"/>
  <c r="B46" i="115"/>
  <c r="B47" i="115" s="1"/>
  <c r="B48" i="115" s="1"/>
  <c r="B49" i="115" s="1"/>
  <c r="B50" i="115" s="1"/>
  <c r="B51" i="115" s="1"/>
  <c r="B52" i="115" s="1"/>
  <c r="K45" i="115"/>
  <c r="Y45" i="115" s="1"/>
  <c r="K44" i="115"/>
  <c r="Y44" i="115" s="1"/>
  <c r="K34" i="115"/>
  <c r="X34" i="115" s="1"/>
  <c r="K33" i="115"/>
  <c r="K32" i="115"/>
  <c r="Y32" i="115" s="1"/>
  <c r="K31" i="115"/>
  <c r="X31" i="115" s="1"/>
  <c r="K30" i="115"/>
  <c r="K29" i="115"/>
  <c r="X29" i="115" s="1"/>
  <c r="K27" i="115"/>
  <c r="Y27" i="115" s="1"/>
  <c r="K26" i="115"/>
  <c r="Y26" i="115" s="1"/>
  <c r="K25" i="115"/>
  <c r="B25" i="115"/>
  <c r="B26" i="115" s="1"/>
  <c r="B27" i="115" s="1"/>
  <c r="B28" i="115" s="1"/>
  <c r="B29" i="115" s="1"/>
  <c r="B30" i="115" s="1"/>
  <c r="B31" i="115" s="1"/>
  <c r="B32" i="115" s="1"/>
  <c r="B33" i="115" s="1"/>
  <c r="B34" i="115" s="1"/>
  <c r="K24" i="115"/>
  <c r="Y15" i="115"/>
  <c r="X15" i="115"/>
  <c r="K14" i="115"/>
  <c r="Y14" i="115" s="1"/>
  <c r="K13" i="115"/>
  <c r="Y13" i="115" s="1"/>
  <c r="K12" i="115"/>
  <c r="K11" i="115"/>
  <c r="K10" i="115"/>
  <c r="Y10" i="115" s="1"/>
  <c r="K9" i="115"/>
  <c r="P8" i="115"/>
  <c r="K8" i="115"/>
  <c r="B8" i="115"/>
  <c r="B9" i="115" s="1"/>
  <c r="B10" i="115" s="1"/>
  <c r="B11" i="115" s="1"/>
  <c r="B12" i="115" s="1"/>
  <c r="B13" i="115" s="1"/>
  <c r="B14" i="115" s="1"/>
  <c r="B15" i="115" s="1"/>
  <c r="B7" i="115"/>
  <c r="P6" i="115"/>
  <c r="T6" i="115" s="1"/>
  <c r="K6" i="115"/>
  <c r="X6" i="115" s="1"/>
  <c r="P4" i="115"/>
  <c r="X13" i="115" l="1"/>
  <c r="Y34" i="115"/>
  <c r="X52" i="115"/>
  <c r="Y53" i="116"/>
  <c r="R8" i="116" s="1"/>
  <c r="Y16" i="116"/>
  <c r="R4" i="116" s="1"/>
  <c r="Y35" i="116"/>
  <c r="R6" i="116" s="1"/>
  <c r="X35" i="116"/>
  <c r="X16" i="116"/>
  <c r="Q4" i="116" s="1"/>
  <c r="X48" i="115"/>
  <c r="Y31" i="115"/>
  <c r="Y29" i="115"/>
  <c r="X26" i="115"/>
  <c r="X49" i="115"/>
  <c r="X50" i="115"/>
  <c r="P10" i="115"/>
  <c r="X32" i="115"/>
  <c r="X14" i="115"/>
  <c r="X9" i="115"/>
  <c r="Y9" i="115"/>
  <c r="Y11" i="115"/>
  <c r="X11" i="115"/>
  <c r="Y24" i="115"/>
  <c r="X24" i="115"/>
  <c r="K35" i="115"/>
  <c r="Y28" i="115"/>
  <c r="X28" i="115"/>
  <c r="Y8" i="115"/>
  <c r="X8" i="115"/>
  <c r="Y47" i="115"/>
  <c r="X47" i="115"/>
  <c r="X30" i="115"/>
  <c r="Y30" i="115"/>
  <c r="X12" i="115"/>
  <c r="Y12" i="115"/>
  <c r="X25" i="115"/>
  <c r="Y25" i="115"/>
  <c r="K53" i="115"/>
  <c r="Y6" i="115"/>
  <c r="X7" i="115"/>
  <c r="X10" i="115"/>
  <c r="K16" i="115"/>
  <c r="X27" i="115"/>
  <c r="X43" i="115"/>
  <c r="X44" i="115"/>
  <c r="X45" i="115"/>
  <c r="X46" i="115"/>
  <c r="Y43" i="115"/>
  <c r="Y53" i="115" s="1"/>
  <c r="R8" i="115" s="1"/>
  <c r="J12" i="114"/>
  <c r="J49" i="114"/>
  <c r="J48" i="114"/>
  <c r="R10" i="116" l="1"/>
  <c r="Q10" i="116"/>
  <c r="T10" i="116" s="1"/>
  <c r="R12" i="116" s="1"/>
  <c r="S4" i="116"/>
  <c r="S10" i="116" s="1"/>
  <c r="T4" i="116"/>
  <c r="X53" i="115"/>
  <c r="T8" i="115" s="1"/>
  <c r="X16" i="115"/>
  <c r="Q4" i="115" s="1"/>
  <c r="T4" i="115" s="1"/>
  <c r="Y16" i="115"/>
  <c r="R4" i="115" s="1"/>
  <c r="X35" i="115"/>
  <c r="Y35" i="115"/>
  <c r="R6" i="115" s="1"/>
  <c r="J32" i="114"/>
  <c r="Q10" i="115" l="1"/>
  <c r="T10" i="115" s="1"/>
  <c r="R12" i="115" s="1"/>
  <c r="S4" i="115"/>
  <c r="S10" i="115" s="1"/>
  <c r="R10" i="115"/>
  <c r="J47" i="114"/>
  <c r="J45" i="114"/>
  <c r="J44" i="114"/>
  <c r="J43" i="114"/>
  <c r="K43" i="114" s="1"/>
  <c r="J30" i="114"/>
  <c r="K30" i="114" s="1"/>
  <c r="Y30" i="114" s="1"/>
  <c r="J28" i="114"/>
  <c r="J27" i="114"/>
  <c r="J26" i="114"/>
  <c r="J25" i="114"/>
  <c r="K25" i="114" s="1"/>
  <c r="J24" i="114"/>
  <c r="J11" i="114"/>
  <c r="J10" i="114"/>
  <c r="J9" i="114"/>
  <c r="J8" i="114"/>
  <c r="J7" i="114"/>
  <c r="J6" i="114"/>
  <c r="Y52" i="114"/>
  <c r="K52" i="114"/>
  <c r="X52" i="114" s="1"/>
  <c r="K51" i="114"/>
  <c r="X51" i="114" s="1"/>
  <c r="Y50" i="114"/>
  <c r="K50" i="114"/>
  <c r="X50" i="114" s="1"/>
  <c r="K49" i="114"/>
  <c r="X49" i="114" s="1"/>
  <c r="K48" i="114"/>
  <c r="X48" i="114" s="1"/>
  <c r="K47" i="114"/>
  <c r="K46" i="114"/>
  <c r="Y46" i="114" s="1"/>
  <c r="B46" i="114"/>
  <c r="B47" i="114" s="1"/>
  <c r="B48" i="114" s="1"/>
  <c r="B49" i="114" s="1"/>
  <c r="B50" i="114" s="1"/>
  <c r="B51" i="114" s="1"/>
  <c r="B52" i="114" s="1"/>
  <c r="K45" i="114"/>
  <c r="Y45" i="114" s="1"/>
  <c r="K44" i="114"/>
  <c r="X44" i="114" s="1"/>
  <c r="K34" i="114"/>
  <c r="Y34" i="114" s="1"/>
  <c r="K33" i="114"/>
  <c r="K32" i="114"/>
  <c r="K31" i="114"/>
  <c r="Y31" i="114" s="1"/>
  <c r="K29" i="114"/>
  <c r="K28" i="114"/>
  <c r="Y28" i="114" s="1"/>
  <c r="K27" i="114"/>
  <c r="Y27" i="114" s="1"/>
  <c r="K26" i="114"/>
  <c r="Y26" i="114" s="1"/>
  <c r="B25" i="114"/>
  <c r="B26" i="114" s="1"/>
  <c r="B27" i="114" s="1"/>
  <c r="B28" i="114" s="1"/>
  <c r="B29" i="114" s="1"/>
  <c r="B30" i="114" s="1"/>
  <c r="B31" i="114" s="1"/>
  <c r="B32" i="114" s="1"/>
  <c r="B33" i="114" s="1"/>
  <c r="B34" i="114" s="1"/>
  <c r="K24" i="114"/>
  <c r="X24" i="114" s="1"/>
  <c r="Y15" i="114"/>
  <c r="X15" i="114"/>
  <c r="K14" i="114"/>
  <c r="Y14" i="114" s="1"/>
  <c r="K13" i="114"/>
  <c r="Y13" i="114" s="1"/>
  <c r="K12" i="114"/>
  <c r="Y12" i="114" s="1"/>
  <c r="K11" i="114"/>
  <c r="Y11" i="114" s="1"/>
  <c r="K10" i="114"/>
  <c r="K9" i="114"/>
  <c r="Y9" i="114" s="1"/>
  <c r="P8" i="114"/>
  <c r="K8" i="114"/>
  <c r="K7" i="114"/>
  <c r="Y7" i="114" s="1"/>
  <c r="B7" i="114"/>
  <c r="B8" i="114" s="1"/>
  <c r="B9" i="114" s="1"/>
  <c r="B10" i="114" s="1"/>
  <c r="B11" i="114" s="1"/>
  <c r="B12" i="114" s="1"/>
  <c r="B13" i="114" s="1"/>
  <c r="B14" i="114" s="1"/>
  <c r="B15" i="114" s="1"/>
  <c r="P6" i="114"/>
  <c r="T6" i="114" s="1"/>
  <c r="K6" i="114"/>
  <c r="P4" i="114"/>
  <c r="Y51" i="114" l="1"/>
  <c r="Y48" i="114"/>
  <c r="Y49" i="114"/>
  <c r="Y43" i="114"/>
  <c r="X43" i="114"/>
  <c r="X27" i="114"/>
  <c r="Y44" i="114"/>
  <c r="P10" i="114"/>
  <c r="Y24" i="114"/>
  <c r="X26" i="114"/>
  <c r="X11" i="114"/>
  <c r="K16" i="114"/>
  <c r="X10" i="114"/>
  <c r="Y10" i="114"/>
  <c r="X47" i="114"/>
  <c r="Y47" i="114"/>
  <c r="Y8" i="114"/>
  <c r="X8" i="114"/>
  <c r="Y25" i="114"/>
  <c r="K35" i="114"/>
  <c r="X25" i="114"/>
  <c r="X32" i="114"/>
  <c r="Y32" i="114"/>
  <c r="Y29" i="114"/>
  <c r="X29" i="114"/>
  <c r="X28" i="114"/>
  <c r="K53" i="114"/>
  <c r="X6" i="114"/>
  <c r="X30" i="114"/>
  <c r="X31" i="114"/>
  <c r="X34" i="114"/>
  <c r="X45" i="114"/>
  <c r="X46" i="114"/>
  <c r="X7" i="114"/>
  <c r="Y6" i="114"/>
  <c r="X9" i="114"/>
  <c r="X12" i="114"/>
  <c r="X13" i="114"/>
  <c r="X14" i="114"/>
  <c r="J12" i="113"/>
  <c r="K12" i="113" s="1"/>
  <c r="J10" i="113"/>
  <c r="J8" i="113"/>
  <c r="J33" i="113"/>
  <c r="K33" i="113" s="1"/>
  <c r="J32" i="113"/>
  <c r="K32" i="113" s="1"/>
  <c r="K34" i="113"/>
  <c r="X34" i="113" s="1"/>
  <c r="K31" i="113"/>
  <c r="Y31" i="113" s="1"/>
  <c r="J29" i="113"/>
  <c r="J28" i="113"/>
  <c r="J25" i="113"/>
  <c r="J47" i="113"/>
  <c r="K52" i="113"/>
  <c r="Y52" i="113" s="1"/>
  <c r="X51" i="113"/>
  <c r="K51" i="113"/>
  <c r="Y51" i="113" s="1"/>
  <c r="K50" i="113"/>
  <c r="Y50" i="113" s="1"/>
  <c r="K49" i="113"/>
  <c r="Y49" i="113" s="1"/>
  <c r="K48" i="113"/>
  <c r="X48" i="113" s="1"/>
  <c r="K47" i="113"/>
  <c r="X47" i="113" s="1"/>
  <c r="K46" i="113"/>
  <c r="Y46" i="113" s="1"/>
  <c r="B46" i="113"/>
  <c r="B47" i="113" s="1"/>
  <c r="B48" i="113" s="1"/>
  <c r="B49" i="113" s="1"/>
  <c r="B50" i="113" s="1"/>
  <c r="B51" i="113" s="1"/>
  <c r="B52" i="113" s="1"/>
  <c r="K45" i="113"/>
  <c r="Y45" i="113" s="1"/>
  <c r="K44" i="113"/>
  <c r="Y44" i="113" s="1"/>
  <c r="K43" i="113"/>
  <c r="Y43" i="113" s="1"/>
  <c r="K30" i="113"/>
  <c r="X30" i="113" s="1"/>
  <c r="K29" i="113"/>
  <c r="X29" i="113" s="1"/>
  <c r="K28" i="113"/>
  <c r="X28" i="113" s="1"/>
  <c r="K27" i="113"/>
  <c r="K26" i="113"/>
  <c r="K25" i="113"/>
  <c r="Y25" i="113" s="1"/>
  <c r="B25" i="113"/>
  <c r="B26" i="113" s="1"/>
  <c r="B27" i="113" s="1"/>
  <c r="B28" i="113" s="1"/>
  <c r="B29" i="113" s="1"/>
  <c r="B30" i="113" s="1"/>
  <c r="B31" i="113" s="1"/>
  <c r="B32" i="113" s="1"/>
  <c r="B33" i="113" s="1"/>
  <c r="B34" i="113" s="1"/>
  <c r="K24" i="113"/>
  <c r="Y15" i="113"/>
  <c r="X15" i="113"/>
  <c r="X14" i="113"/>
  <c r="K14" i="113"/>
  <c r="Y14" i="113" s="1"/>
  <c r="K13" i="113"/>
  <c r="Y13" i="113" s="1"/>
  <c r="K11" i="113"/>
  <c r="K10" i="113"/>
  <c r="Y10" i="113" s="1"/>
  <c r="K9" i="113"/>
  <c r="P8" i="113"/>
  <c r="K8" i="113"/>
  <c r="X8" i="113" s="1"/>
  <c r="B8" i="113"/>
  <c r="B9" i="113" s="1"/>
  <c r="B10" i="113" s="1"/>
  <c r="B11" i="113" s="1"/>
  <c r="B12" i="113" s="1"/>
  <c r="B13" i="113" s="1"/>
  <c r="B14" i="113" s="1"/>
  <c r="B15" i="113" s="1"/>
  <c r="K7" i="113"/>
  <c r="B7" i="113"/>
  <c r="P6" i="113"/>
  <c r="K6" i="113"/>
  <c r="Y6" i="113" s="1"/>
  <c r="P4" i="113"/>
  <c r="X50" i="113" l="1"/>
  <c r="Y48" i="113"/>
  <c r="X52" i="113"/>
  <c r="Y53" i="114"/>
  <c r="R8" i="114" s="1"/>
  <c r="X53" i="114"/>
  <c r="Q8" i="114" s="1"/>
  <c r="T8" i="114" s="1"/>
  <c r="Y35" i="114"/>
  <c r="R6" i="114" s="1"/>
  <c r="X35" i="114"/>
  <c r="Y16" i="114"/>
  <c r="R4" i="114" s="1"/>
  <c r="X16" i="114"/>
  <c r="Q4" i="114" s="1"/>
  <c r="Y34" i="113"/>
  <c r="Y32" i="113"/>
  <c r="X32" i="113"/>
  <c r="X13" i="113"/>
  <c r="X31" i="113"/>
  <c r="Y47" i="113"/>
  <c r="Y53" i="113" s="1"/>
  <c r="R8" i="113" s="1"/>
  <c r="X45" i="113"/>
  <c r="X46" i="113"/>
  <c r="X49" i="113"/>
  <c r="Y29" i="113"/>
  <c r="Y28" i="113"/>
  <c r="Y30" i="113"/>
  <c r="P10" i="113"/>
  <c r="Y8" i="113"/>
  <c r="Y7" i="113"/>
  <c r="X7" i="113"/>
  <c r="Y26" i="113"/>
  <c r="X26" i="113"/>
  <c r="X9" i="113"/>
  <c r="Y9" i="113"/>
  <c r="Y11" i="113"/>
  <c r="X11" i="113"/>
  <c r="K35" i="113"/>
  <c r="X27" i="113"/>
  <c r="Y27" i="113"/>
  <c r="Y12" i="113"/>
  <c r="X12" i="113"/>
  <c r="X6" i="113"/>
  <c r="X10" i="113"/>
  <c r="K16" i="113"/>
  <c r="X24" i="113"/>
  <c r="X25" i="113"/>
  <c r="X44" i="113"/>
  <c r="Y24" i="113"/>
  <c r="X43" i="113"/>
  <c r="K53" i="113"/>
  <c r="J27" i="112"/>
  <c r="J26" i="112"/>
  <c r="J12" i="112"/>
  <c r="J11" i="112"/>
  <c r="J10" i="112"/>
  <c r="J9" i="112"/>
  <c r="R10" i="114" l="1"/>
  <c r="Q10" i="114"/>
  <c r="T10" i="114" s="1"/>
  <c r="R12" i="114" s="1"/>
  <c r="T4" i="114"/>
  <c r="S4" i="114"/>
  <c r="S10" i="114" s="1"/>
  <c r="Y16" i="113"/>
  <c r="R4" i="113" s="1"/>
  <c r="X53" i="113"/>
  <c r="Q8" i="113" s="1"/>
  <c r="T8" i="113" s="1"/>
  <c r="Y35" i="113"/>
  <c r="R6" i="113" s="1"/>
  <c r="X16" i="113"/>
  <c r="Q4" i="113" s="1"/>
  <c r="T4" i="113" s="1"/>
  <c r="X35" i="113"/>
  <c r="T6" i="113" s="1"/>
  <c r="J7" i="112"/>
  <c r="J6" i="112"/>
  <c r="Y51" i="112"/>
  <c r="K51" i="112"/>
  <c r="X51" i="112" s="1"/>
  <c r="K50" i="112"/>
  <c r="X50" i="112" s="1"/>
  <c r="K49" i="112"/>
  <c r="X49" i="112" s="1"/>
  <c r="K48" i="112"/>
  <c r="X48" i="112" s="1"/>
  <c r="K47" i="112"/>
  <c r="X47" i="112" s="1"/>
  <c r="K46" i="112"/>
  <c r="X46" i="112" s="1"/>
  <c r="K45" i="112"/>
  <c r="Y45" i="112" s="1"/>
  <c r="B45" i="112"/>
  <c r="B46" i="112" s="1"/>
  <c r="B47" i="112" s="1"/>
  <c r="B48" i="112" s="1"/>
  <c r="B49" i="112" s="1"/>
  <c r="B50" i="112" s="1"/>
  <c r="B51" i="112" s="1"/>
  <c r="K44" i="112"/>
  <c r="Y44" i="112" s="1"/>
  <c r="K43" i="112"/>
  <c r="X43" i="112" s="1"/>
  <c r="K42" i="112"/>
  <c r="X42" i="112" s="1"/>
  <c r="Y33" i="112"/>
  <c r="X33" i="112"/>
  <c r="Y32" i="112"/>
  <c r="X32" i="112"/>
  <c r="Y31" i="112"/>
  <c r="X31" i="112"/>
  <c r="K30" i="112"/>
  <c r="K29" i="112"/>
  <c r="X29" i="112" s="1"/>
  <c r="K28" i="112"/>
  <c r="Y28" i="112" s="1"/>
  <c r="K27" i="112"/>
  <c r="Y27" i="112" s="1"/>
  <c r="K26" i="112"/>
  <c r="X26" i="112" s="1"/>
  <c r="B26" i="112"/>
  <c r="B27" i="112" s="1"/>
  <c r="B28" i="112" s="1"/>
  <c r="B29" i="112" s="1"/>
  <c r="B30" i="112" s="1"/>
  <c r="B31" i="112" s="1"/>
  <c r="B32" i="112" s="1"/>
  <c r="B33" i="112" s="1"/>
  <c r="K25" i="112"/>
  <c r="B25" i="112"/>
  <c r="K24" i="112"/>
  <c r="Y15" i="112"/>
  <c r="X15" i="112"/>
  <c r="K14" i="112"/>
  <c r="X14" i="112" s="1"/>
  <c r="K13" i="112"/>
  <c r="X13" i="112" s="1"/>
  <c r="K12" i="112"/>
  <c r="Y12" i="112" s="1"/>
  <c r="K11" i="112"/>
  <c r="K10" i="112"/>
  <c r="K9" i="112"/>
  <c r="Y9" i="112" s="1"/>
  <c r="P8" i="112"/>
  <c r="K8" i="112"/>
  <c r="Y8" i="112" s="1"/>
  <c r="K7" i="112"/>
  <c r="B7" i="112"/>
  <c r="B8" i="112" s="1"/>
  <c r="B9" i="112" s="1"/>
  <c r="B10" i="112" s="1"/>
  <c r="B11" i="112" s="1"/>
  <c r="B12" i="112" s="1"/>
  <c r="B13" i="112" s="1"/>
  <c r="B14" i="112" s="1"/>
  <c r="B15" i="112" s="1"/>
  <c r="P6" i="112"/>
  <c r="K6" i="112"/>
  <c r="X6" i="112" s="1"/>
  <c r="P4" i="112"/>
  <c r="Y50" i="112" l="1"/>
  <c r="R10" i="113"/>
  <c r="S4" i="113"/>
  <c r="S10" i="113" s="1"/>
  <c r="Q10" i="113"/>
  <c r="T10" i="113" s="1"/>
  <c r="R12" i="113" s="1"/>
  <c r="X44" i="112"/>
  <c r="Y43" i="112"/>
  <c r="Y42" i="112"/>
  <c r="Y29" i="112"/>
  <c r="Y26" i="112"/>
  <c r="Y6" i="112"/>
  <c r="Y46" i="112"/>
  <c r="Y48" i="112"/>
  <c r="X45" i="112"/>
  <c r="X52" i="112" s="1"/>
  <c r="Q8" i="112" s="1"/>
  <c r="T8" i="112" s="1"/>
  <c r="Y47" i="112"/>
  <c r="Y49" i="112"/>
  <c r="X28" i="112"/>
  <c r="K34" i="112"/>
  <c r="X27" i="112"/>
  <c r="Y14" i="112"/>
  <c r="Y13" i="112"/>
  <c r="X10" i="112"/>
  <c r="Y10" i="112"/>
  <c r="Y30" i="112"/>
  <c r="X30" i="112"/>
  <c r="X11" i="112"/>
  <c r="Y11" i="112"/>
  <c r="Y7" i="112"/>
  <c r="X7" i="112"/>
  <c r="Y25" i="112"/>
  <c r="X25" i="112"/>
  <c r="K16" i="112"/>
  <c r="X8" i="112"/>
  <c r="X9" i="112"/>
  <c r="X24" i="112"/>
  <c r="X12" i="112"/>
  <c r="Y24" i="112"/>
  <c r="K52" i="112"/>
  <c r="P10" i="112"/>
  <c r="K14" i="111"/>
  <c r="Y52" i="112" l="1"/>
  <c r="R8" i="112" s="1"/>
  <c r="X34" i="112"/>
  <c r="Q6" i="112" s="1"/>
  <c r="T6" i="112" s="1"/>
  <c r="Y34" i="112"/>
  <c r="R6" i="112" s="1"/>
  <c r="X16" i="112"/>
  <c r="Q4" i="112" s="1"/>
  <c r="T4" i="112" s="1"/>
  <c r="Y16" i="112"/>
  <c r="R4" i="112" s="1"/>
  <c r="I13" i="111"/>
  <c r="K13" i="111" s="1"/>
  <c r="J12" i="111"/>
  <c r="K12" i="111" s="1"/>
  <c r="Y12" i="111" s="1"/>
  <c r="J11" i="111"/>
  <c r="J10" i="111"/>
  <c r="K9" i="111"/>
  <c r="J8" i="111"/>
  <c r="K8" i="111" s="1"/>
  <c r="X8" i="111" s="1"/>
  <c r="J7" i="111"/>
  <c r="J6" i="111"/>
  <c r="J46" i="111"/>
  <c r="J43" i="111"/>
  <c r="J42" i="111"/>
  <c r="J30" i="111"/>
  <c r="J29" i="111"/>
  <c r="J25" i="111"/>
  <c r="K25" i="111" s="1"/>
  <c r="X25" i="111" s="1"/>
  <c r="J24" i="111"/>
  <c r="K24" i="111" s="1"/>
  <c r="K51" i="111"/>
  <c r="X51" i="111" s="1"/>
  <c r="Y50" i="111"/>
  <c r="K50" i="111"/>
  <c r="X50" i="111" s="1"/>
  <c r="K49" i="111"/>
  <c r="X49" i="111" s="1"/>
  <c r="K48" i="111"/>
  <c r="X48" i="111" s="1"/>
  <c r="K47" i="111"/>
  <c r="X47" i="111" s="1"/>
  <c r="K46" i="111"/>
  <c r="X46" i="111" s="1"/>
  <c r="K45" i="111"/>
  <c r="X45" i="111" s="1"/>
  <c r="B45" i="111"/>
  <c r="B46" i="111" s="1"/>
  <c r="B47" i="111" s="1"/>
  <c r="B48" i="111" s="1"/>
  <c r="B49" i="111" s="1"/>
  <c r="B50" i="111" s="1"/>
  <c r="B51" i="111" s="1"/>
  <c r="K44" i="111"/>
  <c r="X44" i="111" s="1"/>
  <c r="K43" i="111"/>
  <c r="X43" i="111" s="1"/>
  <c r="K42" i="111"/>
  <c r="Y42" i="111" s="1"/>
  <c r="Y33" i="111"/>
  <c r="X33" i="111"/>
  <c r="Y32" i="111"/>
  <c r="X32" i="111"/>
  <c r="Y31" i="111"/>
  <c r="X31" i="111"/>
  <c r="K30" i="111"/>
  <c r="Y30" i="111" s="1"/>
  <c r="K29" i="111"/>
  <c r="K28" i="111"/>
  <c r="Y28" i="111" s="1"/>
  <c r="K27" i="111"/>
  <c r="Y27" i="111" s="1"/>
  <c r="K26" i="111"/>
  <c r="X26" i="111" s="1"/>
  <c r="B25" i="111"/>
  <c r="B26" i="111" s="1"/>
  <c r="B27" i="111" s="1"/>
  <c r="B28" i="111" s="1"/>
  <c r="B29" i="111" s="1"/>
  <c r="B30" i="111" s="1"/>
  <c r="B31" i="111" s="1"/>
  <c r="B32" i="111" s="1"/>
  <c r="B33" i="111" s="1"/>
  <c r="Y15" i="111"/>
  <c r="X15" i="111"/>
  <c r="Y14" i="111"/>
  <c r="X14" i="111"/>
  <c r="K11" i="111"/>
  <c r="Y11" i="111" s="1"/>
  <c r="K10" i="111"/>
  <c r="X10" i="111" s="1"/>
  <c r="P8" i="111"/>
  <c r="K7" i="111"/>
  <c r="X7" i="111" s="1"/>
  <c r="B7" i="111"/>
  <c r="B8" i="111" s="1"/>
  <c r="B9" i="111" s="1"/>
  <c r="B10" i="111" s="1"/>
  <c r="B11" i="111" s="1"/>
  <c r="B12" i="111" s="1"/>
  <c r="B13" i="111" s="1"/>
  <c r="B14" i="111" s="1"/>
  <c r="B15" i="111" s="1"/>
  <c r="P6" i="111"/>
  <c r="K6" i="111"/>
  <c r="Y6" i="111" s="1"/>
  <c r="P4" i="111"/>
  <c r="Y13" i="111" l="1"/>
  <c r="X13" i="111"/>
  <c r="Y44" i="111"/>
  <c r="Y49" i="111"/>
  <c r="Y51" i="111"/>
  <c r="Y47" i="111"/>
  <c r="R10" i="112"/>
  <c r="Q10" i="112"/>
  <c r="T10" i="112" s="1"/>
  <c r="R12" i="112" s="1"/>
  <c r="S4" i="112"/>
  <c r="S10" i="112" s="1"/>
  <c r="Y10" i="111"/>
  <c r="X6" i="111"/>
  <c r="Y48" i="111"/>
  <c r="Y43" i="111"/>
  <c r="Y26" i="111"/>
  <c r="Y25" i="111"/>
  <c r="X24" i="111"/>
  <c r="Y24" i="111"/>
  <c r="Y46" i="111"/>
  <c r="Y45" i="111"/>
  <c r="P10" i="111"/>
  <c r="K16" i="111"/>
  <c r="X12" i="111"/>
  <c r="X11" i="111"/>
  <c r="Y9" i="111"/>
  <c r="X9" i="111"/>
  <c r="Y29" i="111"/>
  <c r="X29" i="111"/>
  <c r="X27" i="111"/>
  <c r="X28" i="111"/>
  <c r="K34" i="111"/>
  <c r="X42" i="111"/>
  <c r="X52" i="111" s="1"/>
  <c r="Q8" i="111" s="1"/>
  <c r="T8" i="111" s="1"/>
  <c r="K52" i="111"/>
  <c r="Y7" i="111"/>
  <c r="Y8" i="111"/>
  <c r="X30" i="111"/>
  <c r="J27" i="110"/>
  <c r="J29" i="110"/>
  <c r="J9" i="110"/>
  <c r="Y52" i="111" l="1"/>
  <c r="R8" i="111" s="1"/>
  <c r="Y34" i="111"/>
  <c r="R6" i="111" s="1"/>
  <c r="X34" i="111"/>
  <c r="Q6" i="111" s="1"/>
  <c r="T6" i="111" s="1"/>
  <c r="Y16" i="111"/>
  <c r="R4" i="111" s="1"/>
  <c r="R10" i="111" s="1"/>
  <c r="X16" i="111"/>
  <c r="Q4" i="111" s="1"/>
  <c r="K8" i="110"/>
  <c r="J7" i="110"/>
  <c r="J6" i="110"/>
  <c r="K6" i="110" s="1"/>
  <c r="Y6" i="110" s="1"/>
  <c r="J24" i="110"/>
  <c r="K7" i="110"/>
  <c r="Y7" i="110" s="1"/>
  <c r="K9" i="110"/>
  <c r="K10" i="110"/>
  <c r="X10" i="110" s="1"/>
  <c r="K11" i="110"/>
  <c r="X11" i="110" s="1"/>
  <c r="K12" i="110"/>
  <c r="Y51" i="110"/>
  <c r="K51" i="110"/>
  <c r="X51" i="110" s="1"/>
  <c r="K50" i="110"/>
  <c r="X50" i="110" s="1"/>
  <c r="Y49" i="110"/>
  <c r="K49" i="110"/>
  <c r="X49" i="110" s="1"/>
  <c r="K48" i="110"/>
  <c r="X48" i="110" s="1"/>
  <c r="K47" i="110"/>
  <c r="X47" i="110" s="1"/>
  <c r="K46" i="110"/>
  <c r="X46" i="110" s="1"/>
  <c r="K45" i="110"/>
  <c r="X45" i="110" s="1"/>
  <c r="B45" i="110"/>
  <c r="B46" i="110" s="1"/>
  <c r="B47" i="110" s="1"/>
  <c r="B48" i="110" s="1"/>
  <c r="B49" i="110" s="1"/>
  <c r="B50" i="110" s="1"/>
  <c r="B51" i="110" s="1"/>
  <c r="K44" i="110"/>
  <c r="X44" i="110" s="1"/>
  <c r="K43" i="110"/>
  <c r="Y43" i="110" s="1"/>
  <c r="K42" i="110"/>
  <c r="Y42" i="110" s="1"/>
  <c r="Y33" i="110"/>
  <c r="X33" i="110"/>
  <c r="Y32" i="110"/>
  <c r="X32" i="110"/>
  <c r="Y31" i="110"/>
  <c r="X31" i="110"/>
  <c r="K30" i="110"/>
  <c r="Y30" i="110" s="1"/>
  <c r="K29" i="110"/>
  <c r="Y29" i="110" s="1"/>
  <c r="K28" i="110"/>
  <c r="K27" i="110"/>
  <c r="Y27" i="110" s="1"/>
  <c r="K26" i="110"/>
  <c r="Y26" i="110" s="1"/>
  <c r="K25" i="110"/>
  <c r="Y25" i="110" s="1"/>
  <c r="B25" i="110"/>
  <c r="B26" i="110" s="1"/>
  <c r="B27" i="110" s="1"/>
  <c r="B28" i="110" s="1"/>
  <c r="B29" i="110" s="1"/>
  <c r="B30" i="110" s="1"/>
  <c r="B31" i="110" s="1"/>
  <c r="B32" i="110" s="1"/>
  <c r="B33" i="110" s="1"/>
  <c r="K24" i="110"/>
  <c r="Y24" i="110" s="1"/>
  <c r="Y15" i="110"/>
  <c r="X15" i="110"/>
  <c r="Y14" i="110"/>
  <c r="X14" i="110"/>
  <c r="Y13" i="110"/>
  <c r="X13" i="110"/>
  <c r="Y12" i="110"/>
  <c r="P8" i="110"/>
  <c r="B7" i="110"/>
  <c r="B8" i="110" s="1"/>
  <c r="B9" i="110" s="1"/>
  <c r="B10" i="110" s="1"/>
  <c r="B11" i="110" s="1"/>
  <c r="B12" i="110" s="1"/>
  <c r="B13" i="110" s="1"/>
  <c r="B14" i="110" s="1"/>
  <c r="B15" i="110" s="1"/>
  <c r="P6" i="110"/>
  <c r="P4" i="110"/>
  <c r="Y47" i="110" l="1"/>
  <c r="Y50" i="110"/>
  <c r="S4" i="111"/>
  <c r="S10" i="111" s="1"/>
  <c r="T4" i="111"/>
  <c r="Q10" i="111"/>
  <c r="T10" i="111" s="1"/>
  <c r="R12" i="111" s="1"/>
  <c r="Y45" i="110"/>
  <c r="Y11" i="110"/>
  <c r="Y10" i="110"/>
  <c r="Y44" i="110"/>
  <c r="Y46" i="110"/>
  <c r="Y48" i="110"/>
  <c r="X43" i="110"/>
  <c r="P10" i="110"/>
  <c r="X9" i="110"/>
  <c r="Y9" i="110"/>
  <c r="Y8" i="110"/>
  <c r="X8" i="110"/>
  <c r="Y28" i="110"/>
  <c r="Y34" i="110" s="1"/>
  <c r="R6" i="110" s="1"/>
  <c r="X28" i="110"/>
  <c r="X6" i="110"/>
  <c r="X7" i="110"/>
  <c r="X12" i="110"/>
  <c r="X24" i="110"/>
  <c r="X25" i="110"/>
  <c r="X26" i="110"/>
  <c r="X27" i="110"/>
  <c r="K34" i="110"/>
  <c r="X42" i="110"/>
  <c r="K52" i="110"/>
  <c r="X29" i="110"/>
  <c r="X30" i="110"/>
  <c r="K16" i="110"/>
  <c r="J28" i="109"/>
  <c r="J24" i="109"/>
  <c r="Y52" i="110" l="1"/>
  <c r="R8" i="110" s="1"/>
  <c r="Y16" i="110"/>
  <c r="R4" i="110" s="1"/>
  <c r="R10" i="110" s="1"/>
  <c r="X52" i="110"/>
  <c r="Q8" i="110" s="1"/>
  <c r="T8" i="110" s="1"/>
  <c r="X16" i="110"/>
  <c r="Q4" i="110" s="1"/>
  <c r="X34" i="110"/>
  <c r="Q6" i="110" s="1"/>
  <c r="T6" i="110" s="1"/>
  <c r="J9" i="109"/>
  <c r="J8" i="109"/>
  <c r="T4" i="110" l="1"/>
  <c r="Q10" i="110"/>
  <c r="T10" i="110" s="1"/>
  <c r="R12" i="110" s="1"/>
  <c r="S4" i="110"/>
  <c r="S10" i="110" s="1"/>
  <c r="J6" i="109"/>
  <c r="K6" i="109" s="1"/>
  <c r="K51" i="109"/>
  <c r="X51" i="109" s="1"/>
  <c r="K50" i="109"/>
  <c r="X50" i="109" s="1"/>
  <c r="K49" i="109"/>
  <c r="X49" i="109" s="1"/>
  <c r="K48" i="109"/>
  <c r="X48" i="109" s="1"/>
  <c r="K47" i="109"/>
  <c r="X47" i="109" s="1"/>
  <c r="K46" i="109"/>
  <c r="K45" i="109"/>
  <c r="Y45" i="109" s="1"/>
  <c r="B45" i="109"/>
  <c r="B46" i="109" s="1"/>
  <c r="B47" i="109" s="1"/>
  <c r="B48" i="109" s="1"/>
  <c r="B49" i="109" s="1"/>
  <c r="B50" i="109" s="1"/>
  <c r="B51" i="109" s="1"/>
  <c r="K44" i="109"/>
  <c r="K43" i="109"/>
  <c r="Y43" i="109" s="1"/>
  <c r="K42" i="109"/>
  <c r="Y42" i="109" s="1"/>
  <c r="Y33" i="109"/>
  <c r="X33" i="109"/>
  <c r="Y32" i="109"/>
  <c r="X32" i="109"/>
  <c r="Y31" i="109"/>
  <c r="X31" i="109"/>
  <c r="K30" i="109"/>
  <c r="Y30" i="109" s="1"/>
  <c r="K29" i="109"/>
  <c r="Y29" i="109" s="1"/>
  <c r="K28" i="109"/>
  <c r="Y28" i="109" s="1"/>
  <c r="K27" i="109"/>
  <c r="Y27" i="109" s="1"/>
  <c r="K26" i="109"/>
  <c r="Y26" i="109" s="1"/>
  <c r="K25" i="109"/>
  <c r="Y25" i="109" s="1"/>
  <c r="B25" i="109"/>
  <c r="B26" i="109" s="1"/>
  <c r="B27" i="109" s="1"/>
  <c r="B28" i="109" s="1"/>
  <c r="B29" i="109" s="1"/>
  <c r="B30" i="109" s="1"/>
  <c r="B31" i="109" s="1"/>
  <c r="B32" i="109" s="1"/>
  <c r="B33" i="109" s="1"/>
  <c r="K24" i="109"/>
  <c r="Y24" i="109" s="1"/>
  <c r="Y15" i="109"/>
  <c r="X15" i="109"/>
  <c r="Y14" i="109"/>
  <c r="X14" i="109"/>
  <c r="Y13" i="109"/>
  <c r="X13" i="109"/>
  <c r="K12" i="109"/>
  <c r="Y12" i="109" s="1"/>
  <c r="K11" i="109"/>
  <c r="Y11" i="109" s="1"/>
  <c r="K10" i="109"/>
  <c r="K9" i="109"/>
  <c r="Y9" i="109" s="1"/>
  <c r="P8" i="109"/>
  <c r="K8" i="109"/>
  <c r="X8" i="109" s="1"/>
  <c r="K7" i="109"/>
  <c r="X7" i="109" s="1"/>
  <c r="B7" i="109"/>
  <c r="B8" i="109" s="1"/>
  <c r="B9" i="109" s="1"/>
  <c r="B10" i="109" s="1"/>
  <c r="B11" i="109" s="1"/>
  <c r="B12" i="109" s="1"/>
  <c r="B13" i="109" s="1"/>
  <c r="B14" i="109" s="1"/>
  <c r="B15" i="109" s="1"/>
  <c r="P6" i="109"/>
  <c r="P4" i="109"/>
  <c r="Y48" i="109" l="1"/>
  <c r="Y50" i="109"/>
  <c r="Y7" i="109"/>
  <c r="Y49" i="109"/>
  <c r="Y51" i="109"/>
  <c r="X24" i="109"/>
  <c r="K16" i="109"/>
  <c r="X6" i="109"/>
  <c r="Y6" i="109"/>
  <c r="X43" i="109"/>
  <c r="Y47" i="109"/>
  <c r="X26" i="109"/>
  <c r="P10" i="109"/>
  <c r="X25" i="109"/>
  <c r="X27" i="109"/>
  <c r="X11" i="109"/>
  <c r="Y44" i="109"/>
  <c r="X44" i="109"/>
  <c r="Y46" i="109"/>
  <c r="X46" i="109"/>
  <c r="Y34" i="109"/>
  <c r="R6" i="109" s="1"/>
  <c r="Y10" i="109"/>
  <c r="X10" i="109"/>
  <c r="K34" i="109"/>
  <c r="X42" i="109"/>
  <c r="X45" i="109"/>
  <c r="K52" i="109"/>
  <c r="Y8" i="109"/>
  <c r="X9" i="109"/>
  <c r="X12" i="109"/>
  <c r="X28" i="109"/>
  <c r="X29" i="109"/>
  <c r="X30" i="109"/>
  <c r="J47" i="108"/>
  <c r="J46" i="108"/>
  <c r="K12" i="108"/>
  <c r="Y52" i="109" l="1"/>
  <c r="R8" i="109" s="1"/>
  <c r="X16" i="109"/>
  <c r="Q4" i="109" s="1"/>
  <c r="T4" i="109" s="1"/>
  <c r="Y16" i="109"/>
  <c r="R4" i="109" s="1"/>
  <c r="X34" i="109"/>
  <c r="Q6" i="109" s="1"/>
  <c r="T6" i="109" s="1"/>
  <c r="X52" i="109"/>
  <c r="Q8" i="109" s="1"/>
  <c r="T8" i="109" s="1"/>
  <c r="J11" i="108"/>
  <c r="K11" i="108" s="1"/>
  <c r="J28" i="108"/>
  <c r="S4" i="109" l="1"/>
  <c r="S10" i="109" s="1"/>
  <c r="R10" i="109"/>
  <c r="Q10" i="109"/>
  <c r="T10" i="109" s="1"/>
  <c r="R12" i="109" s="1"/>
  <c r="J44" i="108"/>
  <c r="J10" i="108"/>
  <c r="J45" i="108" l="1"/>
  <c r="K43" i="108"/>
  <c r="Y43" i="108" s="1"/>
  <c r="K44" i="108"/>
  <c r="J9" i="108"/>
  <c r="K9" i="108" s="1"/>
  <c r="J8" i="108"/>
  <c r="J6" i="108"/>
  <c r="K51" i="108"/>
  <c r="Y51" i="108" s="1"/>
  <c r="K50" i="108"/>
  <c r="Y50" i="108" s="1"/>
  <c r="K49" i="108"/>
  <c r="Y49" i="108" s="1"/>
  <c r="K48" i="108"/>
  <c r="Y48" i="108" s="1"/>
  <c r="K47" i="108"/>
  <c r="Y47" i="108" s="1"/>
  <c r="K46" i="108"/>
  <c r="Y46" i="108" s="1"/>
  <c r="K45" i="108"/>
  <c r="Y45" i="108" s="1"/>
  <c r="B45" i="108"/>
  <c r="B46" i="108" s="1"/>
  <c r="B47" i="108" s="1"/>
  <c r="B48" i="108" s="1"/>
  <c r="B49" i="108" s="1"/>
  <c r="B50" i="108" s="1"/>
  <c r="B51" i="108" s="1"/>
  <c r="K42" i="108"/>
  <c r="Y33" i="108"/>
  <c r="X33" i="108"/>
  <c r="Y32" i="108"/>
  <c r="X32" i="108"/>
  <c r="Y31" i="108"/>
  <c r="X31" i="108"/>
  <c r="K30" i="108"/>
  <c r="X30" i="108" s="1"/>
  <c r="X29" i="108"/>
  <c r="K29" i="108"/>
  <c r="Y29" i="108" s="1"/>
  <c r="K28" i="108"/>
  <c r="X28" i="108" s="1"/>
  <c r="K27" i="108"/>
  <c r="Y27" i="108" s="1"/>
  <c r="K26" i="108"/>
  <c r="Y26" i="108" s="1"/>
  <c r="K25" i="108"/>
  <c r="Y25" i="108" s="1"/>
  <c r="B25" i="108"/>
  <c r="B26" i="108" s="1"/>
  <c r="B27" i="108" s="1"/>
  <c r="B28" i="108" s="1"/>
  <c r="B29" i="108" s="1"/>
  <c r="B30" i="108" s="1"/>
  <c r="B31" i="108" s="1"/>
  <c r="B32" i="108" s="1"/>
  <c r="B33" i="108" s="1"/>
  <c r="K24" i="108"/>
  <c r="X24" i="108" s="1"/>
  <c r="Y15" i="108"/>
  <c r="X15" i="108"/>
  <c r="Y14" i="108"/>
  <c r="X14" i="108"/>
  <c r="Y13" i="108"/>
  <c r="X13" i="108"/>
  <c r="Y12" i="108"/>
  <c r="X12" i="108"/>
  <c r="Y11" i="108"/>
  <c r="X11" i="108"/>
  <c r="K10" i="108"/>
  <c r="P8" i="108"/>
  <c r="K8" i="108"/>
  <c r="X8" i="108" s="1"/>
  <c r="K7" i="108"/>
  <c r="B7" i="108"/>
  <c r="B8" i="108" s="1"/>
  <c r="B9" i="108" s="1"/>
  <c r="B10" i="108" s="1"/>
  <c r="B11" i="108" s="1"/>
  <c r="B12" i="108" s="1"/>
  <c r="B13" i="108" s="1"/>
  <c r="B14" i="108" s="1"/>
  <c r="B15" i="108" s="1"/>
  <c r="P6" i="108"/>
  <c r="K6" i="108"/>
  <c r="Y6" i="108" s="1"/>
  <c r="P4" i="108"/>
  <c r="Y30" i="108" l="1"/>
  <c r="Y28" i="108"/>
  <c r="X47" i="108"/>
  <c r="X49" i="108"/>
  <c r="X51" i="108"/>
  <c r="X25" i="108"/>
  <c r="X48" i="108"/>
  <c r="X50" i="108"/>
  <c r="X46" i="108"/>
  <c r="Y44" i="108"/>
  <c r="X44" i="108"/>
  <c r="X27" i="108"/>
  <c r="X43" i="108"/>
  <c r="K52" i="108"/>
  <c r="K34" i="108"/>
  <c r="X26" i="108"/>
  <c r="X34" i="108" s="1"/>
  <c r="Q6" i="108" s="1"/>
  <c r="T6" i="108" s="1"/>
  <c r="Y24" i="108"/>
  <c r="X45" i="108"/>
  <c r="X7" i="108"/>
  <c r="Y7" i="108"/>
  <c r="Y9" i="108"/>
  <c r="X9" i="108"/>
  <c r="Y10" i="108"/>
  <c r="X10" i="108"/>
  <c r="Y8" i="108"/>
  <c r="K16" i="108"/>
  <c r="X42" i="108"/>
  <c r="P10" i="108"/>
  <c r="Y42" i="108"/>
  <c r="X6" i="108"/>
  <c r="Y34" i="108" l="1"/>
  <c r="R6" i="108" s="1"/>
  <c r="Y52" i="108"/>
  <c r="R8" i="108" s="1"/>
  <c r="X52" i="108"/>
  <c r="Q8" i="108" s="1"/>
  <c r="T8" i="108" s="1"/>
  <c r="Y16" i="108"/>
  <c r="R4" i="108" s="1"/>
  <c r="X16" i="108"/>
  <c r="Q4" i="108" s="1"/>
  <c r="R10" i="108" l="1"/>
  <c r="Q10" i="108"/>
  <c r="T10" i="108" s="1"/>
  <c r="R12" i="108" s="1"/>
  <c r="T4" i="108"/>
  <c r="S4" i="108"/>
  <c r="S10" i="108" s="1"/>
  <c r="J10" i="107" l="1"/>
  <c r="I9" i="107" l="1"/>
  <c r="I44" i="107"/>
  <c r="J25" i="107"/>
  <c r="J7" i="107"/>
  <c r="K51" i="107" l="1"/>
  <c r="X51" i="107" s="1"/>
  <c r="K50" i="107"/>
  <c r="X50" i="107" s="1"/>
  <c r="K49" i="107"/>
  <c r="X49" i="107" s="1"/>
  <c r="K48" i="107"/>
  <c r="X48" i="107" s="1"/>
  <c r="K47" i="107"/>
  <c r="X47" i="107" s="1"/>
  <c r="K46" i="107"/>
  <c r="X46" i="107" s="1"/>
  <c r="K45" i="107"/>
  <c r="X45" i="107" s="1"/>
  <c r="B45" i="107"/>
  <c r="B46" i="107" s="1"/>
  <c r="B47" i="107" s="1"/>
  <c r="B48" i="107" s="1"/>
  <c r="B49" i="107" s="1"/>
  <c r="B50" i="107" s="1"/>
  <c r="B51" i="107" s="1"/>
  <c r="K44" i="107"/>
  <c r="X44" i="107" s="1"/>
  <c r="K43" i="107"/>
  <c r="Y43" i="107" s="1"/>
  <c r="K42" i="107"/>
  <c r="X42" i="107" s="1"/>
  <c r="Y33" i="107"/>
  <c r="X33" i="107"/>
  <c r="Y32" i="107"/>
  <c r="X32" i="107"/>
  <c r="Y31" i="107"/>
  <c r="X31" i="107"/>
  <c r="K30" i="107"/>
  <c r="Y30" i="107" s="1"/>
  <c r="K29" i="107"/>
  <c r="Y29" i="107" s="1"/>
  <c r="K28" i="107"/>
  <c r="Y28" i="107" s="1"/>
  <c r="K27" i="107"/>
  <c r="Y27" i="107" s="1"/>
  <c r="K26" i="107"/>
  <c r="Y26" i="107" s="1"/>
  <c r="K25" i="107"/>
  <c r="Y25" i="107" s="1"/>
  <c r="B25" i="107"/>
  <c r="B26" i="107" s="1"/>
  <c r="B27" i="107" s="1"/>
  <c r="B28" i="107" s="1"/>
  <c r="B29" i="107" s="1"/>
  <c r="B30" i="107" s="1"/>
  <c r="B31" i="107" s="1"/>
  <c r="B32" i="107" s="1"/>
  <c r="B33" i="107" s="1"/>
  <c r="K24" i="107"/>
  <c r="Y24" i="107" s="1"/>
  <c r="Y15" i="107"/>
  <c r="X15" i="107"/>
  <c r="Y14" i="107"/>
  <c r="X14" i="107"/>
  <c r="Y13" i="107"/>
  <c r="X13" i="107"/>
  <c r="Y12" i="107"/>
  <c r="X12" i="107"/>
  <c r="Y11" i="107"/>
  <c r="X11" i="107"/>
  <c r="K10" i="107"/>
  <c r="X10" i="107" s="1"/>
  <c r="K9" i="107"/>
  <c r="Y9" i="107" s="1"/>
  <c r="P8" i="107"/>
  <c r="K8" i="107"/>
  <c r="Y8" i="107" s="1"/>
  <c r="K7" i="107"/>
  <c r="B7" i="107"/>
  <c r="B8" i="107" s="1"/>
  <c r="B9" i="107" s="1"/>
  <c r="B10" i="107" s="1"/>
  <c r="B11" i="107" s="1"/>
  <c r="B12" i="107" s="1"/>
  <c r="B13" i="107" s="1"/>
  <c r="B14" i="107" s="1"/>
  <c r="B15" i="107" s="1"/>
  <c r="P6" i="107"/>
  <c r="K6" i="107"/>
  <c r="P4" i="107"/>
  <c r="Y46" i="107" l="1"/>
  <c r="Y48" i="107"/>
  <c r="Y50" i="107"/>
  <c r="Y45" i="107"/>
  <c r="Y47" i="107"/>
  <c r="Y49" i="107"/>
  <c r="Y51" i="107"/>
  <c r="Y10" i="107"/>
  <c r="X9" i="107"/>
  <c r="X8" i="107"/>
  <c r="P10" i="107"/>
  <c r="Y44" i="107"/>
  <c r="X43" i="107"/>
  <c r="X52" i="107"/>
  <c r="Q8" i="107" s="1"/>
  <c r="T8" i="107" s="1"/>
  <c r="X7" i="107"/>
  <c r="Y7" i="107"/>
  <c r="Y6" i="107"/>
  <c r="K16" i="107"/>
  <c r="X6" i="107"/>
  <c r="Y34" i="107"/>
  <c r="R6" i="107" s="1"/>
  <c r="K34" i="107"/>
  <c r="K52" i="107"/>
  <c r="X24" i="107"/>
  <c r="X25" i="107"/>
  <c r="X26" i="107"/>
  <c r="X27" i="107"/>
  <c r="X28" i="107"/>
  <c r="X29" i="107"/>
  <c r="X30" i="107"/>
  <c r="Y42" i="107"/>
  <c r="J7" i="106"/>
  <c r="J6" i="106"/>
  <c r="K6" i="106" s="1"/>
  <c r="X6" i="106" s="1"/>
  <c r="K51" i="106"/>
  <c r="X51" i="106" s="1"/>
  <c r="K50" i="106"/>
  <c r="X50" i="106" s="1"/>
  <c r="K49" i="106"/>
  <c r="X49" i="106" s="1"/>
  <c r="K48" i="106"/>
  <c r="X48" i="106" s="1"/>
  <c r="K47" i="106"/>
  <c r="X47" i="106" s="1"/>
  <c r="K46" i="106"/>
  <c r="X46" i="106" s="1"/>
  <c r="K45" i="106"/>
  <c r="X45" i="106" s="1"/>
  <c r="B45" i="106"/>
  <c r="B46" i="106" s="1"/>
  <c r="B47" i="106" s="1"/>
  <c r="B48" i="106" s="1"/>
  <c r="B49" i="106" s="1"/>
  <c r="B50" i="106" s="1"/>
  <c r="B51" i="106" s="1"/>
  <c r="K44" i="106"/>
  <c r="X44" i="106" s="1"/>
  <c r="K43" i="106"/>
  <c r="X43" i="106" s="1"/>
  <c r="K42" i="106"/>
  <c r="X42" i="106" s="1"/>
  <c r="Y33" i="106"/>
  <c r="X33" i="106"/>
  <c r="Y32" i="106"/>
  <c r="X32" i="106"/>
  <c r="Y31" i="106"/>
  <c r="X31" i="106"/>
  <c r="X30" i="106"/>
  <c r="K30" i="106"/>
  <c r="Y30" i="106" s="1"/>
  <c r="Y29" i="106"/>
  <c r="K29" i="106"/>
  <c r="X29" i="106" s="1"/>
  <c r="X28" i="106"/>
  <c r="K28" i="106"/>
  <c r="Y28" i="106" s="1"/>
  <c r="K27" i="106"/>
  <c r="Y27" i="106" s="1"/>
  <c r="K26" i="106"/>
  <c r="Y26" i="106" s="1"/>
  <c r="K25" i="106"/>
  <c r="Y25" i="106" s="1"/>
  <c r="B25" i="106"/>
  <c r="B26" i="106" s="1"/>
  <c r="B27" i="106" s="1"/>
  <c r="B28" i="106" s="1"/>
  <c r="B29" i="106" s="1"/>
  <c r="B30" i="106" s="1"/>
  <c r="B31" i="106" s="1"/>
  <c r="B32" i="106" s="1"/>
  <c r="B33" i="106" s="1"/>
  <c r="K24" i="106"/>
  <c r="Y15" i="106"/>
  <c r="X15" i="106"/>
  <c r="Y14" i="106"/>
  <c r="X14" i="106"/>
  <c r="Y13" i="106"/>
  <c r="X13" i="106"/>
  <c r="Y12" i="106"/>
  <c r="X12" i="106"/>
  <c r="Y11" i="106"/>
  <c r="X11" i="106"/>
  <c r="K10" i="106"/>
  <c r="Y10" i="106" s="1"/>
  <c r="K9" i="106"/>
  <c r="P8" i="106"/>
  <c r="K8" i="106"/>
  <c r="Y8" i="106" s="1"/>
  <c r="K7" i="106"/>
  <c r="X7" i="106" s="1"/>
  <c r="B7" i="106"/>
  <c r="B8" i="106" s="1"/>
  <c r="B9" i="106" s="1"/>
  <c r="B10" i="106" s="1"/>
  <c r="B11" i="106" s="1"/>
  <c r="B12" i="106" s="1"/>
  <c r="B13" i="106" s="1"/>
  <c r="B14" i="106" s="1"/>
  <c r="B15" i="106" s="1"/>
  <c r="P6" i="106"/>
  <c r="P4" i="106"/>
  <c r="X27" i="106" l="1"/>
  <c r="Y44" i="106"/>
  <c r="Y46" i="106"/>
  <c r="Y48" i="106"/>
  <c r="Y50" i="106"/>
  <c r="Y47" i="106"/>
  <c r="Y49" i="106"/>
  <c r="Y51" i="106"/>
  <c r="Y52" i="107"/>
  <c r="R8" i="107" s="1"/>
  <c r="X16" i="107"/>
  <c r="Q4" i="107" s="1"/>
  <c r="T4" i="107" s="1"/>
  <c r="Y16" i="107"/>
  <c r="R4" i="107" s="1"/>
  <c r="R10" i="107" s="1"/>
  <c r="X34" i="107"/>
  <c r="Q6" i="107" s="1"/>
  <c r="T6" i="107" s="1"/>
  <c r="Y43" i="106"/>
  <c r="K34" i="106"/>
  <c r="Y7" i="106"/>
  <c r="Y42" i="106"/>
  <c r="Y6" i="106"/>
  <c r="Y45" i="106"/>
  <c r="X26" i="106"/>
  <c r="X24" i="106"/>
  <c r="X25" i="106"/>
  <c r="Y24" i="106"/>
  <c r="Y34" i="106" s="1"/>
  <c r="R6" i="106" s="1"/>
  <c r="P10" i="106"/>
  <c r="X10" i="106"/>
  <c r="X9" i="106"/>
  <c r="Y9" i="106"/>
  <c r="Y16" i="106" s="1"/>
  <c r="R4" i="106" s="1"/>
  <c r="X52" i="106"/>
  <c r="Q8" i="106" s="1"/>
  <c r="T8" i="106" s="1"/>
  <c r="K16" i="106"/>
  <c r="K52" i="106"/>
  <c r="X8" i="106"/>
  <c r="J10" i="105"/>
  <c r="J44" i="105"/>
  <c r="K44" i="105" s="1"/>
  <c r="J25" i="105"/>
  <c r="J9" i="105"/>
  <c r="J8" i="105"/>
  <c r="J43" i="105"/>
  <c r="K51" i="105"/>
  <c r="X51" i="105" s="1"/>
  <c r="K50" i="105"/>
  <c r="X50" i="105" s="1"/>
  <c r="K49" i="105"/>
  <c r="X49" i="105" s="1"/>
  <c r="K48" i="105"/>
  <c r="X48" i="105" s="1"/>
  <c r="K47" i="105"/>
  <c r="X47" i="105" s="1"/>
  <c r="K46" i="105"/>
  <c r="X46" i="105" s="1"/>
  <c r="K45" i="105"/>
  <c r="X45" i="105" s="1"/>
  <c r="B45" i="105"/>
  <c r="B46" i="105" s="1"/>
  <c r="B47" i="105" s="1"/>
  <c r="B48" i="105" s="1"/>
  <c r="B49" i="105" s="1"/>
  <c r="B50" i="105" s="1"/>
  <c r="B51" i="105" s="1"/>
  <c r="K43" i="105"/>
  <c r="K42" i="105"/>
  <c r="Y33" i="105"/>
  <c r="X33" i="105"/>
  <c r="Y32" i="105"/>
  <c r="X32" i="105"/>
  <c r="Y31" i="105"/>
  <c r="X31" i="105"/>
  <c r="K30" i="105"/>
  <c r="Y30" i="105" s="1"/>
  <c r="K29" i="105"/>
  <c r="Y29" i="105" s="1"/>
  <c r="K28" i="105"/>
  <c r="Y28" i="105" s="1"/>
  <c r="K27" i="105"/>
  <c r="Y27" i="105" s="1"/>
  <c r="K26" i="105"/>
  <c r="Y26" i="105" s="1"/>
  <c r="K25" i="105"/>
  <c r="B25" i="105"/>
  <c r="B26" i="105" s="1"/>
  <c r="B27" i="105" s="1"/>
  <c r="B28" i="105" s="1"/>
  <c r="B29" i="105" s="1"/>
  <c r="B30" i="105" s="1"/>
  <c r="B31" i="105" s="1"/>
  <c r="B32" i="105" s="1"/>
  <c r="B33" i="105" s="1"/>
  <c r="K24" i="105"/>
  <c r="Y24" i="105" s="1"/>
  <c r="Y15" i="105"/>
  <c r="X15" i="105"/>
  <c r="Y14" i="105"/>
  <c r="X14" i="105"/>
  <c r="Y13" i="105"/>
  <c r="X13" i="105"/>
  <c r="Y12" i="105"/>
  <c r="X12" i="105"/>
  <c r="Y11" i="105"/>
  <c r="X11" i="105"/>
  <c r="K10" i="105"/>
  <c r="Y10" i="105" s="1"/>
  <c r="K9" i="105"/>
  <c r="Y9" i="105" s="1"/>
  <c r="P8" i="105"/>
  <c r="K8" i="105"/>
  <c r="K7" i="105"/>
  <c r="Y7" i="105" s="1"/>
  <c r="B7" i="105"/>
  <c r="B8" i="105" s="1"/>
  <c r="B9" i="105" s="1"/>
  <c r="B10" i="105" s="1"/>
  <c r="B11" i="105" s="1"/>
  <c r="B12" i="105" s="1"/>
  <c r="B13" i="105" s="1"/>
  <c r="B14" i="105" s="1"/>
  <c r="B15" i="105" s="1"/>
  <c r="P6" i="105"/>
  <c r="K6" i="105"/>
  <c r="Y6" i="105" s="1"/>
  <c r="P4" i="105"/>
  <c r="Y46" i="105" l="1"/>
  <c r="Y48" i="105"/>
  <c r="Y50" i="105"/>
  <c r="X16" i="106"/>
  <c r="Q4" i="106" s="1"/>
  <c r="T4" i="106" s="1"/>
  <c r="Y52" i="106"/>
  <c r="R8" i="106" s="1"/>
  <c r="Y47" i="105"/>
  <c r="Y49" i="105"/>
  <c r="Y51" i="105"/>
  <c r="S4" i="107"/>
  <c r="S10" i="107" s="1"/>
  <c r="Q10" i="107"/>
  <c r="T10" i="107" s="1"/>
  <c r="R12" i="107" s="1"/>
  <c r="X34" i="106"/>
  <c r="Q6" i="106" s="1"/>
  <c r="T6" i="106" s="1"/>
  <c r="R10" i="106"/>
  <c r="Y45" i="105"/>
  <c r="K16" i="105"/>
  <c r="X6" i="105"/>
  <c r="X7" i="105"/>
  <c r="P10" i="105"/>
  <c r="Y25" i="105"/>
  <c r="Y34" i="105" s="1"/>
  <c r="R6" i="105" s="1"/>
  <c r="X25" i="105"/>
  <c r="Y42" i="105"/>
  <c r="X42" i="105"/>
  <c r="K52" i="105"/>
  <c r="Y43" i="105"/>
  <c r="X43" i="105"/>
  <c r="Y44" i="105"/>
  <c r="X44" i="105"/>
  <c r="X8" i="105"/>
  <c r="X9" i="105"/>
  <c r="X24" i="105"/>
  <c r="K34" i="105"/>
  <c r="Y8" i="105"/>
  <c r="Y16" i="105" s="1"/>
  <c r="R4" i="105" s="1"/>
  <c r="X10" i="105"/>
  <c r="X26" i="105"/>
  <c r="X27" i="105"/>
  <c r="X28" i="105"/>
  <c r="X29" i="105"/>
  <c r="X30" i="105"/>
  <c r="S4" i="106" l="1"/>
  <c r="S10" i="106" s="1"/>
  <c r="Q10" i="106"/>
  <c r="T10" i="106" s="1"/>
  <c r="R12" i="106" s="1"/>
  <c r="Y52" i="105"/>
  <c r="R8" i="105" s="1"/>
  <c r="R10" i="105" s="1"/>
  <c r="X16" i="105"/>
  <c r="Q4" i="105" s="1"/>
  <c r="S4" i="105" s="1"/>
  <c r="S10" i="105" s="1"/>
  <c r="X34" i="105"/>
  <c r="Q6" i="105" s="1"/>
  <c r="T6" i="105" s="1"/>
  <c r="X52" i="105"/>
  <c r="Q8" i="105" s="1"/>
  <c r="T8" i="105" s="1"/>
  <c r="T4" i="105" l="1"/>
  <c r="Q10" i="105"/>
  <c r="T10" i="105" s="1"/>
  <c r="R12" i="105" s="1"/>
  <c r="J45" i="104" l="1"/>
  <c r="J44" i="104"/>
  <c r="K44" i="104" s="1"/>
  <c r="J8" i="104"/>
  <c r="J43" i="104"/>
  <c r="K43" i="104" s="1"/>
  <c r="Y43" i="104" s="1"/>
  <c r="J7" i="104"/>
  <c r="J25" i="104"/>
  <c r="J42" i="104"/>
  <c r="J24" i="104"/>
  <c r="K24" i="104" s="1"/>
  <c r="X24" i="104" s="1"/>
  <c r="K51" i="104"/>
  <c r="X51" i="104" s="1"/>
  <c r="K50" i="104"/>
  <c r="X50" i="104" s="1"/>
  <c r="K49" i="104"/>
  <c r="X49" i="104" s="1"/>
  <c r="K48" i="104"/>
  <c r="X48" i="104" s="1"/>
  <c r="K47" i="104"/>
  <c r="X47" i="104" s="1"/>
  <c r="K46" i="104"/>
  <c r="X46" i="104" s="1"/>
  <c r="K45" i="104"/>
  <c r="X45" i="104" s="1"/>
  <c r="B45" i="104"/>
  <c r="B46" i="104" s="1"/>
  <c r="B47" i="104" s="1"/>
  <c r="B48" i="104" s="1"/>
  <c r="B49" i="104" s="1"/>
  <c r="B50" i="104" s="1"/>
  <c r="B51" i="104" s="1"/>
  <c r="K42" i="104"/>
  <c r="Y42" i="104" s="1"/>
  <c r="Y33" i="104"/>
  <c r="X33" i="104"/>
  <c r="Y32" i="104"/>
  <c r="X32" i="104"/>
  <c r="Y31" i="104"/>
  <c r="X31" i="104"/>
  <c r="K30" i="104"/>
  <c r="Y30" i="104" s="1"/>
  <c r="K29" i="104"/>
  <c r="Y29" i="104" s="1"/>
  <c r="K28" i="104"/>
  <c r="Y28" i="104" s="1"/>
  <c r="K27" i="104"/>
  <c r="Y27" i="104" s="1"/>
  <c r="K26" i="104"/>
  <c r="Y26" i="104" s="1"/>
  <c r="K25" i="104"/>
  <c r="Y25" i="104" s="1"/>
  <c r="B25" i="104"/>
  <c r="B26" i="104" s="1"/>
  <c r="B27" i="104" s="1"/>
  <c r="B28" i="104" s="1"/>
  <c r="B29" i="104" s="1"/>
  <c r="B30" i="104" s="1"/>
  <c r="B31" i="104" s="1"/>
  <c r="B32" i="104" s="1"/>
  <c r="B33" i="104" s="1"/>
  <c r="Y15" i="104"/>
  <c r="X15" i="104"/>
  <c r="Y14" i="104"/>
  <c r="X14" i="104"/>
  <c r="Y13" i="104"/>
  <c r="X13" i="104"/>
  <c r="Y12" i="104"/>
  <c r="X12" i="104"/>
  <c r="Y11" i="104"/>
  <c r="X11" i="104"/>
  <c r="K10" i="104"/>
  <c r="X10" i="104" s="1"/>
  <c r="K9" i="104"/>
  <c r="Y9" i="104" s="1"/>
  <c r="P8" i="104"/>
  <c r="K8" i="104"/>
  <c r="Y8" i="104" s="1"/>
  <c r="K7" i="104"/>
  <c r="Y7" i="104" s="1"/>
  <c r="B7" i="104"/>
  <c r="B8" i="104" s="1"/>
  <c r="B9" i="104" s="1"/>
  <c r="B10" i="104" s="1"/>
  <c r="B11" i="104" s="1"/>
  <c r="B12" i="104" s="1"/>
  <c r="B13" i="104" s="1"/>
  <c r="B14" i="104" s="1"/>
  <c r="B15" i="104" s="1"/>
  <c r="P6" i="104"/>
  <c r="K6" i="104"/>
  <c r="Y6" i="104" s="1"/>
  <c r="P4" i="104"/>
  <c r="Y48" i="104" l="1"/>
  <c r="Y50" i="104"/>
  <c r="Y47" i="104"/>
  <c r="Y49" i="104"/>
  <c r="Y51" i="104"/>
  <c r="X27" i="104"/>
  <c r="X44" i="104"/>
  <c r="Y44" i="104"/>
  <c r="X6" i="104"/>
  <c r="X7" i="104"/>
  <c r="X8" i="104"/>
  <c r="X26" i="104"/>
  <c r="X25" i="104"/>
  <c r="K34" i="104"/>
  <c r="Y24" i="104"/>
  <c r="Y34" i="104" s="1"/>
  <c r="R6" i="104" s="1"/>
  <c r="X43" i="104"/>
  <c r="Y46" i="104"/>
  <c r="P10" i="104"/>
  <c r="Y45" i="104"/>
  <c r="X9" i="104"/>
  <c r="Y10" i="104"/>
  <c r="Y16" i="104" s="1"/>
  <c r="R4" i="104" s="1"/>
  <c r="X42" i="104"/>
  <c r="K52" i="104"/>
  <c r="K16" i="104"/>
  <c r="X28" i="104"/>
  <c r="X29" i="104"/>
  <c r="X30" i="104"/>
  <c r="J28" i="103"/>
  <c r="J9" i="103"/>
  <c r="Y52" i="104" l="1"/>
  <c r="R8" i="104" s="1"/>
  <c r="X52" i="104"/>
  <c r="Q8" i="104" s="1"/>
  <c r="T8" i="104" s="1"/>
  <c r="X16" i="104"/>
  <c r="Q4" i="104" s="1"/>
  <c r="T4" i="104" s="1"/>
  <c r="X34" i="104"/>
  <c r="Q6" i="104" s="1"/>
  <c r="T6" i="104" s="1"/>
  <c r="R10" i="104"/>
  <c r="S4" i="104"/>
  <c r="S10" i="104" s="1"/>
  <c r="K6" i="103"/>
  <c r="X6" i="103" s="1"/>
  <c r="K7" i="103"/>
  <c r="X7" i="103" s="1"/>
  <c r="K8" i="103"/>
  <c r="Y8" i="103" s="1"/>
  <c r="K9" i="103"/>
  <c r="Y9" i="103" s="1"/>
  <c r="K10" i="103"/>
  <c r="Y10" i="103" s="1"/>
  <c r="K51" i="103"/>
  <c r="X51" i="103" s="1"/>
  <c r="K50" i="103"/>
  <c r="X50" i="103" s="1"/>
  <c r="K49" i="103"/>
  <c r="X49" i="103" s="1"/>
  <c r="Y48" i="103"/>
  <c r="K48" i="103"/>
  <c r="X48" i="103" s="1"/>
  <c r="K47" i="103"/>
  <c r="X47" i="103" s="1"/>
  <c r="Y46" i="103"/>
  <c r="K46" i="103"/>
  <c r="X46" i="103" s="1"/>
  <c r="K45" i="103"/>
  <c r="X45" i="103" s="1"/>
  <c r="B45" i="103"/>
  <c r="B46" i="103" s="1"/>
  <c r="B47" i="103" s="1"/>
  <c r="B48" i="103" s="1"/>
  <c r="B49" i="103" s="1"/>
  <c r="B50" i="103" s="1"/>
  <c r="B51" i="103" s="1"/>
  <c r="K44" i="103"/>
  <c r="X44" i="103" s="1"/>
  <c r="K43" i="103"/>
  <c r="X43" i="103" s="1"/>
  <c r="K42" i="103"/>
  <c r="X42" i="103" s="1"/>
  <c r="Y33" i="103"/>
  <c r="X33" i="103"/>
  <c r="Y32" i="103"/>
  <c r="X32" i="103"/>
  <c r="Y31" i="103"/>
  <c r="X31" i="103"/>
  <c r="K30" i="103"/>
  <c r="Y30" i="103" s="1"/>
  <c r="K29" i="103"/>
  <c r="Y29" i="103" s="1"/>
  <c r="K28" i="103"/>
  <c r="Y28" i="103" s="1"/>
  <c r="K27" i="103"/>
  <c r="Y27" i="103" s="1"/>
  <c r="K26" i="103"/>
  <c r="Y26" i="103" s="1"/>
  <c r="K25" i="103"/>
  <c r="Y25" i="103" s="1"/>
  <c r="B25" i="103"/>
  <c r="B26" i="103" s="1"/>
  <c r="B27" i="103" s="1"/>
  <c r="B28" i="103" s="1"/>
  <c r="B29" i="103" s="1"/>
  <c r="B30" i="103" s="1"/>
  <c r="B31" i="103" s="1"/>
  <c r="B32" i="103" s="1"/>
  <c r="B33" i="103" s="1"/>
  <c r="K24" i="103"/>
  <c r="Y24" i="103" s="1"/>
  <c r="Y15" i="103"/>
  <c r="X15" i="103"/>
  <c r="Y14" i="103"/>
  <c r="X14" i="103"/>
  <c r="Y13" i="103"/>
  <c r="X13" i="103"/>
  <c r="Y12" i="103"/>
  <c r="X12" i="103"/>
  <c r="Y11" i="103"/>
  <c r="X11" i="103"/>
  <c r="X10" i="103"/>
  <c r="P8" i="103"/>
  <c r="X8" i="103"/>
  <c r="Y7" i="103"/>
  <c r="B7" i="103"/>
  <c r="B8" i="103" s="1"/>
  <c r="B9" i="103" s="1"/>
  <c r="B10" i="103" s="1"/>
  <c r="B11" i="103" s="1"/>
  <c r="B12" i="103" s="1"/>
  <c r="B13" i="103" s="1"/>
  <c r="B14" i="103" s="1"/>
  <c r="B15" i="103" s="1"/>
  <c r="P6" i="103"/>
  <c r="P4" i="103"/>
  <c r="K51" i="102"/>
  <c r="Y51" i="102" s="1"/>
  <c r="K50" i="102"/>
  <c r="Y50" i="102" s="1"/>
  <c r="K49" i="102"/>
  <c r="Y49" i="102" s="1"/>
  <c r="K48" i="102"/>
  <c r="Y48" i="102" s="1"/>
  <c r="K47" i="102"/>
  <c r="Y47" i="102" s="1"/>
  <c r="K46" i="102"/>
  <c r="Y46" i="102" s="1"/>
  <c r="K45" i="102"/>
  <c r="Y45" i="102" s="1"/>
  <c r="B45" i="102"/>
  <c r="B46" i="102" s="1"/>
  <c r="B47" i="102" s="1"/>
  <c r="B48" i="102" s="1"/>
  <c r="B49" i="102" s="1"/>
  <c r="B50" i="102" s="1"/>
  <c r="B51" i="102" s="1"/>
  <c r="K44" i="102"/>
  <c r="Y44" i="102" s="1"/>
  <c r="K43" i="102"/>
  <c r="X43" i="102" s="1"/>
  <c r="K42" i="102"/>
  <c r="X42" i="102" s="1"/>
  <c r="Y33" i="102"/>
  <c r="X33" i="102"/>
  <c r="Y32" i="102"/>
  <c r="X32" i="102"/>
  <c r="Y31" i="102"/>
  <c r="X31" i="102"/>
  <c r="X30" i="102"/>
  <c r="K30" i="102"/>
  <c r="Y30" i="102" s="1"/>
  <c r="K29" i="102"/>
  <c r="Y29" i="102" s="1"/>
  <c r="X28" i="102"/>
  <c r="K28" i="102"/>
  <c r="Y28" i="102" s="1"/>
  <c r="K27" i="102"/>
  <c r="Y27" i="102" s="1"/>
  <c r="K26" i="102"/>
  <c r="Y26" i="102" s="1"/>
  <c r="K25" i="102"/>
  <c r="Y25" i="102" s="1"/>
  <c r="B25" i="102"/>
  <c r="B26" i="102" s="1"/>
  <c r="B27" i="102" s="1"/>
  <c r="B28" i="102" s="1"/>
  <c r="B29" i="102" s="1"/>
  <c r="B30" i="102" s="1"/>
  <c r="B31" i="102" s="1"/>
  <c r="B32" i="102" s="1"/>
  <c r="B33" i="102" s="1"/>
  <c r="K24" i="102"/>
  <c r="X24" i="102" s="1"/>
  <c r="Y15" i="102"/>
  <c r="X15" i="102"/>
  <c r="Y14" i="102"/>
  <c r="X14" i="102"/>
  <c r="Y13" i="102"/>
  <c r="X13" i="102"/>
  <c r="Y12" i="102"/>
  <c r="X12" i="102"/>
  <c r="Y11" i="102"/>
  <c r="X11" i="102"/>
  <c r="K10" i="102"/>
  <c r="X10" i="102" s="1"/>
  <c r="K9" i="102"/>
  <c r="Y9" i="102" s="1"/>
  <c r="P8" i="102"/>
  <c r="K8" i="102"/>
  <c r="Y8" i="102" s="1"/>
  <c r="K7" i="102"/>
  <c r="Y7" i="102" s="1"/>
  <c r="B7" i="102"/>
  <c r="B8" i="102" s="1"/>
  <c r="B9" i="102" s="1"/>
  <c r="B10" i="102" s="1"/>
  <c r="B11" i="102" s="1"/>
  <c r="B12" i="102" s="1"/>
  <c r="B13" i="102" s="1"/>
  <c r="B14" i="102" s="1"/>
  <c r="B15" i="102" s="1"/>
  <c r="P6" i="102"/>
  <c r="K6" i="102"/>
  <c r="Y6" i="102" s="1"/>
  <c r="P4" i="102"/>
  <c r="K51" i="101"/>
  <c r="X51" i="101" s="1"/>
  <c r="K50" i="101"/>
  <c r="X50" i="101" s="1"/>
  <c r="K49" i="101"/>
  <c r="X49" i="101" s="1"/>
  <c r="K48" i="101"/>
  <c r="X48" i="101" s="1"/>
  <c r="K47" i="101"/>
  <c r="X47" i="101" s="1"/>
  <c r="K46" i="101"/>
  <c r="X46" i="101" s="1"/>
  <c r="K45" i="101"/>
  <c r="X45" i="101" s="1"/>
  <c r="B45" i="101"/>
  <c r="B46" i="101" s="1"/>
  <c r="B47" i="101" s="1"/>
  <c r="B48" i="101" s="1"/>
  <c r="B49" i="101" s="1"/>
  <c r="B50" i="101" s="1"/>
  <c r="B51" i="101" s="1"/>
  <c r="K44" i="101"/>
  <c r="X44" i="101" s="1"/>
  <c r="K43" i="101"/>
  <c r="X43" i="101" s="1"/>
  <c r="K42" i="101"/>
  <c r="Y33" i="101"/>
  <c r="X33" i="101"/>
  <c r="Y32" i="101"/>
  <c r="X32" i="101"/>
  <c r="Y31" i="101"/>
  <c r="X31" i="101"/>
  <c r="K30" i="101"/>
  <c r="X30" i="101" s="1"/>
  <c r="K29" i="101"/>
  <c r="X29" i="101" s="1"/>
  <c r="K28" i="101"/>
  <c r="X28" i="101" s="1"/>
  <c r="K27" i="101"/>
  <c r="X27" i="101" s="1"/>
  <c r="K26" i="101"/>
  <c r="X26" i="101" s="1"/>
  <c r="K25" i="101"/>
  <c r="X25" i="101" s="1"/>
  <c r="B25" i="101"/>
  <c r="B26" i="101" s="1"/>
  <c r="B27" i="101" s="1"/>
  <c r="B28" i="101" s="1"/>
  <c r="B29" i="101" s="1"/>
  <c r="B30" i="101" s="1"/>
  <c r="B31" i="101" s="1"/>
  <c r="B32" i="101" s="1"/>
  <c r="B33" i="101" s="1"/>
  <c r="K24" i="101"/>
  <c r="Y15" i="101"/>
  <c r="X15" i="101"/>
  <c r="Y14" i="101"/>
  <c r="X14" i="101"/>
  <c r="Y13" i="101"/>
  <c r="X13" i="101"/>
  <c r="Y12" i="101"/>
  <c r="X12" i="101"/>
  <c r="Y11" i="101"/>
  <c r="X11" i="101"/>
  <c r="K10" i="101"/>
  <c r="Y10" i="101" s="1"/>
  <c r="K9" i="101"/>
  <c r="Y9" i="101" s="1"/>
  <c r="Y8" i="101"/>
  <c r="P8" i="101"/>
  <c r="K8" i="101"/>
  <c r="X8" i="101" s="1"/>
  <c r="K7" i="101"/>
  <c r="X7" i="101" s="1"/>
  <c r="B7" i="101"/>
  <c r="B8" i="101" s="1"/>
  <c r="B9" i="101" s="1"/>
  <c r="B10" i="101" s="1"/>
  <c r="B11" i="101" s="1"/>
  <c r="B12" i="101" s="1"/>
  <c r="B13" i="101" s="1"/>
  <c r="B14" i="101" s="1"/>
  <c r="B15" i="101" s="1"/>
  <c r="Y6" i="101"/>
  <c r="P6" i="101"/>
  <c r="K6" i="101"/>
  <c r="P4" i="101"/>
  <c r="X51" i="100"/>
  <c r="K51" i="100"/>
  <c r="Y51" i="100" s="1"/>
  <c r="K50" i="100"/>
  <c r="Y50" i="100" s="1"/>
  <c r="X49" i="100"/>
  <c r="K49" i="100"/>
  <c r="Y49" i="100" s="1"/>
  <c r="K48" i="100"/>
  <c r="Y48" i="100" s="1"/>
  <c r="X47" i="100"/>
  <c r="K47" i="100"/>
  <c r="Y47" i="100" s="1"/>
  <c r="K46" i="100"/>
  <c r="Y46" i="100" s="1"/>
  <c r="X45" i="100"/>
  <c r="K45" i="100"/>
  <c r="Y45" i="100" s="1"/>
  <c r="B45" i="100"/>
  <c r="B46" i="100" s="1"/>
  <c r="B47" i="100" s="1"/>
  <c r="B48" i="100" s="1"/>
  <c r="B49" i="100" s="1"/>
  <c r="B50" i="100" s="1"/>
  <c r="B51" i="100" s="1"/>
  <c r="K44" i="100"/>
  <c r="Y44" i="100" s="1"/>
  <c r="K43" i="100"/>
  <c r="X43" i="100" s="1"/>
  <c r="K42" i="100"/>
  <c r="Y42" i="100" s="1"/>
  <c r="Y33" i="100"/>
  <c r="X33" i="100"/>
  <c r="Y32" i="100"/>
  <c r="X32" i="100"/>
  <c r="Y31" i="100"/>
  <c r="X31" i="100"/>
  <c r="Y30" i="100"/>
  <c r="K30" i="100"/>
  <c r="X30" i="100" s="1"/>
  <c r="X29" i="100"/>
  <c r="K29" i="100"/>
  <c r="Y29" i="100" s="1"/>
  <c r="K28" i="100"/>
  <c r="Y28" i="100" s="1"/>
  <c r="K27" i="100"/>
  <c r="Y27" i="100" s="1"/>
  <c r="Y26" i="100"/>
  <c r="K26" i="100"/>
  <c r="X26" i="100" s="1"/>
  <c r="K25" i="100"/>
  <c r="X25" i="100" s="1"/>
  <c r="B25" i="100"/>
  <c r="B26" i="100" s="1"/>
  <c r="B27" i="100" s="1"/>
  <c r="B28" i="100" s="1"/>
  <c r="B29" i="100" s="1"/>
  <c r="B30" i="100" s="1"/>
  <c r="B31" i="100" s="1"/>
  <c r="B32" i="100" s="1"/>
  <c r="B33" i="100" s="1"/>
  <c r="K24" i="100"/>
  <c r="Y15" i="100"/>
  <c r="X15" i="100"/>
  <c r="Y14" i="100"/>
  <c r="X14" i="100"/>
  <c r="Y13" i="100"/>
  <c r="X13" i="100"/>
  <c r="Y12" i="100"/>
  <c r="X12" i="100"/>
  <c r="Y11" i="100"/>
  <c r="X11" i="100"/>
  <c r="K10" i="100"/>
  <c r="X10" i="100" s="1"/>
  <c r="K9" i="100"/>
  <c r="Y9" i="100" s="1"/>
  <c r="P8" i="100"/>
  <c r="K8" i="100"/>
  <c r="Y8" i="100" s="1"/>
  <c r="K7" i="100"/>
  <c r="Y7" i="100" s="1"/>
  <c r="B7" i="100"/>
  <c r="B8" i="100" s="1"/>
  <c r="B9" i="100" s="1"/>
  <c r="B10" i="100" s="1"/>
  <c r="B11" i="100" s="1"/>
  <c r="B12" i="100" s="1"/>
  <c r="B13" i="100" s="1"/>
  <c r="B14" i="100" s="1"/>
  <c r="B15" i="100" s="1"/>
  <c r="P6" i="100"/>
  <c r="K6" i="100"/>
  <c r="Y6" i="100" s="1"/>
  <c r="P4" i="100"/>
  <c r="K51" i="99"/>
  <c r="Y51" i="99" s="1"/>
  <c r="K50" i="99"/>
  <c r="Y50" i="99" s="1"/>
  <c r="K49" i="99"/>
  <c r="Y49" i="99" s="1"/>
  <c r="K48" i="99"/>
  <c r="Y48" i="99" s="1"/>
  <c r="K47" i="99"/>
  <c r="Y47" i="99" s="1"/>
  <c r="K46" i="99"/>
  <c r="Y46" i="99" s="1"/>
  <c r="K45" i="99"/>
  <c r="Y45" i="99" s="1"/>
  <c r="B45" i="99"/>
  <c r="B46" i="99" s="1"/>
  <c r="B47" i="99" s="1"/>
  <c r="B48" i="99" s="1"/>
  <c r="B49" i="99" s="1"/>
  <c r="B50" i="99" s="1"/>
  <c r="B51" i="99" s="1"/>
  <c r="K44" i="99"/>
  <c r="Y44" i="99" s="1"/>
  <c r="K43" i="99"/>
  <c r="X43" i="99" s="1"/>
  <c r="K42" i="99"/>
  <c r="Y42" i="99" s="1"/>
  <c r="Y33" i="99"/>
  <c r="X33" i="99"/>
  <c r="Y32" i="99"/>
  <c r="X32" i="99"/>
  <c r="Y31" i="99"/>
  <c r="X31" i="99"/>
  <c r="X30" i="99"/>
  <c r="K30" i="99"/>
  <c r="Y30" i="99" s="1"/>
  <c r="K29" i="99"/>
  <c r="Y29" i="99" s="1"/>
  <c r="K28" i="99"/>
  <c r="Y28" i="99" s="1"/>
  <c r="X27" i="99"/>
  <c r="K27" i="99"/>
  <c r="Y27" i="99" s="1"/>
  <c r="K26" i="99"/>
  <c r="X26" i="99" s="1"/>
  <c r="K25" i="99"/>
  <c r="X25" i="99" s="1"/>
  <c r="B25" i="99"/>
  <c r="B26" i="99" s="1"/>
  <c r="B27" i="99" s="1"/>
  <c r="B28" i="99" s="1"/>
  <c r="B29" i="99" s="1"/>
  <c r="B30" i="99" s="1"/>
  <c r="B31" i="99" s="1"/>
  <c r="B32" i="99" s="1"/>
  <c r="B33" i="99" s="1"/>
  <c r="K24" i="99"/>
  <c r="X24" i="99" s="1"/>
  <c r="Y15" i="99"/>
  <c r="X15" i="99"/>
  <c r="Y14" i="99"/>
  <c r="X14" i="99"/>
  <c r="Y13" i="99"/>
  <c r="X13" i="99"/>
  <c r="Y12" i="99"/>
  <c r="X12" i="99"/>
  <c r="Y11" i="99"/>
  <c r="X11" i="99"/>
  <c r="K10" i="99"/>
  <c r="X10" i="99" s="1"/>
  <c r="K9" i="99"/>
  <c r="Y9" i="99" s="1"/>
  <c r="P8" i="99"/>
  <c r="K8" i="99"/>
  <c r="Y8" i="99" s="1"/>
  <c r="K7" i="99"/>
  <c r="Y7" i="99" s="1"/>
  <c r="B7" i="99"/>
  <c r="B8" i="99" s="1"/>
  <c r="B9" i="99" s="1"/>
  <c r="B10" i="99" s="1"/>
  <c r="B11" i="99" s="1"/>
  <c r="B12" i="99" s="1"/>
  <c r="B13" i="99" s="1"/>
  <c r="B14" i="99" s="1"/>
  <c r="B15" i="99" s="1"/>
  <c r="P6" i="99"/>
  <c r="K6" i="99"/>
  <c r="Y6" i="99" s="1"/>
  <c r="P4" i="99"/>
  <c r="K51" i="98"/>
  <c r="Y51" i="98" s="1"/>
  <c r="K50" i="98"/>
  <c r="Y50" i="98" s="1"/>
  <c r="K49" i="98"/>
  <c r="Y49" i="98" s="1"/>
  <c r="K48" i="98"/>
  <c r="Y48" i="98" s="1"/>
  <c r="K47" i="98"/>
  <c r="Y47" i="98" s="1"/>
  <c r="K46" i="98"/>
  <c r="Y46" i="98" s="1"/>
  <c r="K45" i="98"/>
  <c r="Y45" i="98" s="1"/>
  <c r="B45" i="98"/>
  <c r="B46" i="98" s="1"/>
  <c r="B47" i="98" s="1"/>
  <c r="B48" i="98" s="1"/>
  <c r="B49" i="98" s="1"/>
  <c r="B50" i="98" s="1"/>
  <c r="B51" i="98" s="1"/>
  <c r="K44" i="98"/>
  <c r="Y44" i="98" s="1"/>
  <c r="K43" i="98"/>
  <c r="X43" i="98" s="1"/>
  <c r="K42" i="98"/>
  <c r="Y33" i="98"/>
  <c r="X33" i="98"/>
  <c r="Y32" i="98"/>
  <c r="X32" i="98"/>
  <c r="Y31" i="98"/>
  <c r="X31" i="98"/>
  <c r="K30" i="98"/>
  <c r="Y30" i="98" s="1"/>
  <c r="K29" i="98"/>
  <c r="X29" i="98" s="1"/>
  <c r="Y28" i="98"/>
  <c r="K28" i="98"/>
  <c r="X28" i="98" s="1"/>
  <c r="K27" i="98"/>
  <c r="X27" i="98" s="1"/>
  <c r="Y26" i="98"/>
  <c r="K26" i="98"/>
  <c r="X26" i="98" s="1"/>
  <c r="K25" i="98"/>
  <c r="Y25" i="98" s="1"/>
  <c r="B25" i="98"/>
  <c r="B26" i="98" s="1"/>
  <c r="B27" i="98" s="1"/>
  <c r="B28" i="98" s="1"/>
  <c r="B29" i="98" s="1"/>
  <c r="B30" i="98" s="1"/>
  <c r="B31" i="98" s="1"/>
  <c r="B32" i="98" s="1"/>
  <c r="B33" i="98" s="1"/>
  <c r="K24" i="98"/>
  <c r="Y15" i="98"/>
  <c r="X15" i="98"/>
  <c r="Y14" i="98"/>
  <c r="X14" i="98"/>
  <c r="Y13" i="98"/>
  <c r="X13" i="98"/>
  <c r="Y12" i="98"/>
  <c r="X12" i="98"/>
  <c r="Y11" i="98"/>
  <c r="X11" i="98"/>
  <c r="K10" i="98"/>
  <c r="X10" i="98" s="1"/>
  <c r="K9" i="98"/>
  <c r="Y9" i="98" s="1"/>
  <c r="P8" i="98"/>
  <c r="K8" i="98"/>
  <c r="Y8" i="98" s="1"/>
  <c r="K7" i="98"/>
  <c r="Y7" i="98" s="1"/>
  <c r="B7" i="98"/>
  <c r="B8" i="98" s="1"/>
  <c r="B9" i="98" s="1"/>
  <c r="B10" i="98" s="1"/>
  <c r="B11" i="98" s="1"/>
  <c r="B12" i="98" s="1"/>
  <c r="B13" i="98" s="1"/>
  <c r="B14" i="98" s="1"/>
  <c r="B15" i="98" s="1"/>
  <c r="P6" i="98"/>
  <c r="K6" i="98"/>
  <c r="Y6" i="98" s="1"/>
  <c r="P4" i="98"/>
  <c r="K24" i="97"/>
  <c r="K51" i="97"/>
  <c r="Y51" i="97" s="1"/>
  <c r="K50" i="97"/>
  <c r="Y50" i="97" s="1"/>
  <c r="K49" i="97"/>
  <c r="Y49" i="97" s="1"/>
  <c r="K48" i="97"/>
  <c r="Y48" i="97" s="1"/>
  <c r="K47" i="97"/>
  <c r="Y47" i="97" s="1"/>
  <c r="K46" i="97"/>
  <c r="Y46" i="97" s="1"/>
  <c r="K45" i="97"/>
  <c r="Y45" i="97" s="1"/>
  <c r="B45" i="97"/>
  <c r="B46" i="97" s="1"/>
  <c r="B47" i="97" s="1"/>
  <c r="B48" i="97" s="1"/>
  <c r="B49" i="97" s="1"/>
  <c r="B50" i="97" s="1"/>
  <c r="B51" i="97" s="1"/>
  <c r="K44" i="97"/>
  <c r="Y44" i="97" s="1"/>
  <c r="K43" i="97"/>
  <c r="X43" i="97" s="1"/>
  <c r="K42" i="97"/>
  <c r="Y33" i="97"/>
  <c r="X33" i="97"/>
  <c r="Y32" i="97"/>
  <c r="X32" i="97"/>
  <c r="Y31" i="97"/>
  <c r="X31" i="97"/>
  <c r="K30" i="97"/>
  <c r="X30" i="97" s="1"/>
  <c r="K29" i="97"/>
  <c r="X29" i="97" s="1"/>
  <c r="Y28" i="97"/>
  <c r="K28" i="97"/>
  <c r="X28" i="97" s="1"/>
  <c r="K27" i="97"/>
  <c r="Y27" i="97" s="1"/>
  <c r="K26" i="97"/>
  <c r="Y26" i="97" s="1"/>
  <c r="K25" i="97"/>
  <c r="X25" i="97" s="1"/>
  <c r="B25" i="97"/>
  <c r="B26" i="97" s="1"/>
  <c r="B27" i="97" s="1"/>
  <c r="B28" i="97" s="1"/>
  <c r="B29" i="97" s="1"/>
  <c r="B30" i="97" s="1"/>
  <c r="B31" i="97" s="1"/>
  <c r="B32" i="97" s="1"/>
  <c r="B33" i="97" s="1"/>
  <c r="Y15" i="97"/>
  <c r="X15" i="97"/>
  <c r="Y14" i="97"/>
  <c r="X14" i="97"/>
  <c r="Y13" i="97"/>
  <c r="X13" i="97"/>
  <c r="Y12" i="97"/>
  <c r="X12" i="97"/>
  <c r="Y11" i="97"/>
  <c r="X11" i="97"/>
  <c r="K10" i="97"/>
  <c r="X10" i="97" s="1"/>
  <c r="K9" i="97"/>
  <c r="Y9" i="97" s="1"/>
  <c r="P8" i="97"/>
  <c r="K8" i="97"/>
  <c r="Y8" i="97" s="1"/>
  <c r="K7" i="97"/>
  <c r="Y7" i="97" s="1"/>
  <c r="B7" i="97"/>
  <c r="B8" i="97" s="1"/>
  <c r="B9" i="97" s="1"/>
  <c r="B10" i="97" s="1"/>
  <c r="B11" i="97" s="1"/>
  <c r="B12" i="97" s="1"/>
  <c r="B13" i="97" s="1"/>
  <c r="B14" i="97" s="1"/>
  <c r="B15" i="97" s="1"/>
  <c r="P6" i="97"/>
  <c r="K6" i="97"/>
  <c r="Y6" i="97" s="1"/>
  <c r="P4" i="97"/>
  <c r="K51" i="96"/>
  <c r="Y51" i="96" s="1"/>
  <c r="K50" i="96"/>
  <c r="X50" i="96" s="1"/>
  <c r="K49" i="96"/>
  <c r="X49" i="96" s="1"/>
  <c r="Y48" i="96"/>
  <c r="X48" i="96"/>
  <c r="K48" i="96"/>
  <c r="K47" i="96"/>
  <c r="Y47" i="96" s="1"/>
  <c r="K46" i="96"/>
  <c r="X46" i="96" s="1"/>
  <c r="K45" i="96"/>
  <c r="X45" i="96" s="1"/>
  <c r="B45" i="96"/>
  <c r="B46" i="96" s="1"/>
  <c r="B47" i="96" s="1"/>
  <c r="B48" i="96" s="1"/>
  <c r="B49" i="96" s="1"/>
  <c r="B50" i="96" s="1"/>
  <c r="B51" i="96" s="1"/>
  <c r="K44" i="96"/>
  <c r="X44" i="96" s="1"/>
  <c r="K43" i="96"/>
  <c r="Y43" i="96" s="1"/>
  <c r="K42" i="96"/>
  <c r="Y33" i="96"/>
  <c r="X33" i="96"/>
  <c r="Y32" i="96"/>
  <c r="X32" i="96"/>
  <c r="Y31" i="96"/>
  <c r="X31" i="96"/>
  <c r="Y30" i="96"/>
  <c r="K30" i="96"/>
  <c r="X30" i="96" s="1"/>
  <c r="X29" i="96"/>
  <c r="K29" i="96"/>
  <c r="Y29" i="96" s="1"/>
  <c r="K28" i="96"/>
  <c r="Y28" i="96" s="1"/>
  <c r="K27" i="96"/>
  <c r="X27" i="96" s="1"/>
  <c r="Y26" i="96"/>
  <c r="K26" i="96"/>
  <c r="X26" i="96" s="1"/>
  <c r="K25" i="96"/>
  <c r="X25" i="96" s="1"/>
  <c r="B25" i="96"/>
  <c r="B26" i="96" s="1"/>
  <c r="B27" i="96" s="1"/>
  <c r="B28" i="96" s="1"/>
  <c r="B29" i="96" s="1"/>
  <c r="B30" i="96" s="1"/>
  <c r="B31" i="96" s="1"/>
  <c r="B32" i="96" s="1"/>
  <c r="B33" i="96" s="1"/>
  <c r="K24" i="96"/>
  <c r="Y15" i="96"/>
  <c r="X15" i="96"/>
  <c r="Y14" i="96"/>
  <c r="X14" i="96"/>
  <c r="Y13" i="96"/>
  <c r="X13" i="96"/>
  <c r="Y12" i="96"/>
  <c r="X12" i="96"/>
  <c r="Y11" i="96"/>
  <c r="X11" i="96"/>
  <c r="K10" i="96"/>
  <c r="Y10" i="96" s="1"/>
  <c r="K9" i="96"/>
  <c r="Y9" i="96" s="1"/>
  <c r="P8" i="96"/>
  <c r="K8" i="96"/>
  <c r="Y8" i="96" s="1"/>
  <c r="K7" i="96"/>
  <c r="Y7" i="96" s="1"/>
  <c r="B7" i="96"/>
  <c r="B8" i="96" s="1"/>
  <c r="B9" i="96" s="1"/>
  <c r="B10" i="96" s="1"/>
  <c r="B11" i="96" s="1"/>
  <c r="B12" i="96" s="1"/>
  <c r="B13" i="96" s="1"/>
  <c r="B14" i="96" s="1"/>
  <c r="B15" i="96" s="1"/>
  <c r="P6" i="96"/>
  <c r="K6" i="96"/>
  <c r="X6" i="96" s="1"/>
  <c r="P4" i="96"/>
  <c r="K51" i="95"/>
  <c r="Y51" i="95" s="1"/>
  <c r="K50" i="95"/>
  <c r="Y50" i="95" s="1"/>
  <c r="K49" i="95"/>
  <c r="Y49" i="95" s="1"/>
  <c r="K48" i="95"/>
  <c r="Y48" i="95" s="1"/>
  <c r="K47" i="95"/>
  <c r="Y47" i="95" s="1"/>
  <c r="K46" i="95"/>
  <c r="Y46" i="95" s="1"/>
  <c r="K45" i="95"/>
  <c r="Y45" i="95" s="1"/>
  <c r="B45" i="95"/>
  <c r="B46" i="95" s="1"/>
  <c r="B47" i="95" s="1"/>
  <c r="B48" i="95" s="1"/>
  <c r="B49" i="95" s="1"/>
  <c r="B50" i="95" s="1"/>
  <c r="B51" i="95" s="1"/>
  <c r="K44" i="95"/>
  <c r="Y44" i="95" s="1"/>
  <c r="K43" i="95"/>
  <c r="X43" i="95" s="1"/>
  <c r="K42" i="95"/>
  <c r="Y42" i="95" s="1"/>
  <c r="Y33" i="95"/>
  <c r="X33" i="95"/>
  <c r="Y32" i="95"/>
  <c r="X32" i="95"/>
  <c r="Y31" i="95"/>
  <c r="X31" i="95"/>
  <c r="K30" i="95"/>
  <c r="Y30" i="95" s="1"/>
  <c r="K29" i="95"/>
  <c r="Y29" i="95" s="1"/>
  <c r="K28" i="95"/>
  <c r="X28" i="95" s="1"/>
  <c r="K27" i="95"/>
  <c r="X27" i="95" s="1"/>
  <c r="K26" i="95"/>
  <c r="X26" i="95" s="1"/>
  <c r="Y25" i="95"/>
  <c r="K25" i="95"/>
  <c r="X25" i="95" s="1"/>
  <c r="B25" i="95"/>
  <c r="B26" i="95" s="1"/>
  <c r="B27" i="95" s="1"/>
  <c r="B28" i="95" s="1"/>
  <c r="B29" i="95" s="1"/>
  <c r="B30" i="95" s="1"/>
  <c r="B31" i="95" s="1"/>
  <c r="B32" i="95" s="1"/>
  <c r="B33" i="95" s="1"/>
  <c r="K24" i="95"/>
  <c r="Y24" i="95" s="1"/>
  <c r="Y15" i="95"/>
  <c r="X15" i="95"/>
  <c r="Y14" i="95"/>
  <c r="X14" i="95"/>
  <c r="Y13" i="95"/>
  <c r="X13" i="95"/>
  <c r="Y12" i="95"/>
  <c r="X12" i="95"/>
  <c r="Y11" i="95"/>
  <c r="X11" i="95"/>
  <c r="K10" i="95"/>
  <c r="X10" i="95" s="1"/>
  <c r="K9" i="95"/>
  <c r="Y9" i="95" s="1"/>
  <c r="P8" i="95"/>
  <c r="K8" i="95"/>
  <c r="Y8" i="95" s="1"/>
  <c r="K7" i="95"/>
  <c r="Y7" i="95" s="1"/>
  <c r="B7" i="95"/>
  <c r="B8" i="95" s="1"/>
  <c r="B9" i="95" s="1"/>
  <c r="B10" i="95" s="1"/>
  <c r="B11" i="95" s="1"/>
  <c r="B12" i="95" s="1"/>
  <c r="B13" i="95" s="1"/>
  <c r="B14" i="95" s="1"/>
  <c r="B15" i="95" s="1"/>
  <c r="P6" i="95"/>
  <c r="K6" i="95"/>
  <c r="Y6" i="95" s="1"/>
  <c r="P4" i="95"/>
  <c r="K6" i="94"/>
  <c r="X6" i="94" s="1"/>
  <c r="K7" i="94"/>
  <c r="X7" i="94" s="1"/>
  <c r="K8" i="94"/>
  <c r="X8" i="94" s="1"/>
  <c r="K9" i="94"/>
  <c r="X9" i="94" s="1"/>
  <c r="K10" i="94"/>
  <c r="X10" i="94" s="1"/>
  <c r="K51" i="94"/>
  <c r="Y51" i="94" s="1"/>
  <c r="K50" i="94"/>
  <c r="X50" i="94" s="1"/>
  <c r="K49" i="94"/>
  <c r="X49" i="94" s="1"/>
  <c r="K48" i="94"/>
  <c r="X48" i="94" s="1"/>
  <c r="K47" i="94"/>
  <c r="X47" i="94" s="1"/>
  <c r="K46" i="94"/>
  <c r="X46" i="94" s="1"/>
  <c r="K45" i="94"/>
  <c r="X45" i="94" s="1"/>
  <c r="B45" i="94"/>
  <c r="B46" i="94" s="1"/>
  <c r="B47" i="94" s="1"/>
  <c r="B48" i="94" s="1"/>
  <c r="B49" i="94" s="1"/>
  <c r="B50" i="94" s="1"/>
  <c r="B51" i="94" s="1"/>
  <c r="K44" i="94"/>
  <c r="X44" i="94" s="1"/>
  <c r="K43" i="94"/>
  <c r="X43" i="94" s="1"/>
  <c r="K42" i="94"/>
  <c r="X42" i="94" s="1"/>
  <c r="Y33" i="94"/>
  <c r="X33" i="94"/>
  <c r="Y32" i="94"/>
  <c r="X32" i="94"/>
  <c r="Y31" i="94"/>
  <c r="X31" i="94"/>
  <c r="K30" i="94"/>
  <c r="Y30" i="94" s="1"/>
  <c r="K29" i="94"/>
  <c r="Y29" i="94" s="1"/>
  <c r="K28" i="94"/>
  <c r="Y28" i="94" s="1"/>
  <c r="K27" i="94"/>
  <c r="Y27" i="94" s="1"/>
  <c r="K26" i="94"/>
  <c r="Y26" i="94" s="1"/>
  <c r="K25" i="94"/>
  <c r="Y25" i="94" s="1"/>
  <c r="B25" i="94"/>
  <c r="B26" i="94" s="1"/>
  <c r="B27" i="94" s="1"/>
  <c r="B28" i="94" s="1"/>
  <c r="B29" i="94" s="1"/>
  <c r="B30" i="94" s="1"/>
  <c r="B31" i="94" s="1"/>
  <c r="B32" i="94" s="1"/>
  <c r="B33" i="94" s="1"/>
  <c r="K24" i="94"/>
  <c r="Y24" i="94" s="1"/>
  <c r="Y15" i="94"/>
  <c r="X15" i="94"/>
  <c r="Y14" i="94"/>
  <c r="X14" i="94"/>
  <c r="Y13" i="94"/>
  <c r="X13" i="94"/>
  <c r="Y12" i="94"/>
  <c r="X12" i="94"/>
  <c r="Y11" i="94"/>
  <c r="X11" i="94"/>
  <c r="P8" i="94"/>
  <c r="B7" i="94"/>
  <c r="B8" i="94" s="1"/>
  <c r="B9" i="94" s="1"/>
  <c r="B10" i="94" s="1"/>
  <c r="B11" i="94" s="1"/>
  <c r="B12" i="94" s="1"/>
  <c r="B13" i="94" s="1"/>
  <c r="B14" i="94" s="1"/>
  <c r="B15" i="94" s="1"/>
  <c r="P6" i="94"/>
  <c r="P4" i="94"/>
  <c r="K51" i="93"/>
  <c r="Y51" i="93" s="1"/>
  <c r="K50" i="93"/>
  <c r="Y50" i="93" s="1"/>
  <c r="K49" i="93"/>
  <c r="Y49" i="93" s="1"/>
  <c r="K48" i="93"/>
  <c r="Y48" i="93" s="1"/>
  <c r="K47" i="93"/>
  <c r="Y47" i="93" s="1"/>
  <c r="K46" i="93"/>
  <c r="Y46" i="93" s="1"/>
  <c r="K45" i="93"/>
  <c r="Y45" i="93" s="1"/>
  <c r="B45" i="93"/>
  <c r="B46" i="93" s="1"/>
  <c r="B47" i="93" s="1"/>
  <c r="B48" i="93" s="1"/>
  <c r="B49" i="93" s="1"/>
  <c r="B50" i="93" s="1"/>
  <c r="B51" i="93" s="1"/>
  <c r="K44" i="93"/>
  <c r="Y44" i="93" s="1"/>
  <c r="K43" i="93"/>
  <c r="X43" i="93" s="1"/>
  <c r="K42" i="93"/>
  <c r="Y33" i="93"/>
  <c r="X33" i="93"/>
  <c r="Y32" i="93"/>
  <c r="X32" i="93"/>
  <c r="Y31" i="93"/>
  <c r="X31" i="93"/>
  <c r="K30" i="93"/>
  <c r="Y30" i="93" s="1"/>
  <c r="K29" i="93"/>
  <c r="X29" i="93" s="1"/>
  <c r="Y28" i="93"/>
  <c r="K28" i="93"/>
  <c r="X28" i="93" s="1"/>
  <c r="X27" i="93"/>
  <c r="K27" i="93"/>
  <c r="Y27" i="93" s="1"/>
  <c r="K26" i="93"/>
  <c r="Y26" i="93" s="1"/>
  <c r="K25" i="93"/>
  <c r="X25" i="93" s="1"/>
  <c r="B25" i="93"/>
  <c r="B26" i="93" s="1"/>
  <c r="B27" i="93" s="1"/>
  <c r="B28" i="93" s="1"/>
  <c r="B29" i="93" s="1"/>
  <c r="B30" i="93" s="1"/>
  <c r="B31" i="93" s="1"/>
  <c r="B32" i="93" s="1"/>
  <c r="B33" i="93" s="1"/>
  <c r="K24" i="93"/>
  <c r="Y15" i="93"/>
  <c r="X15" i="93"/>
  <c r="Y14" i="93"/>
  <c r="X14" i="93"/>
  <c r="Y13" i="93"/>
  <c r="X13" i="93"/>
  <c r="Y12" i="93"/>
  <c r="X12" i="93"/>
  <c r="Y11" i="93"/>
  <c r="X11" i="93"/>
  <c r="K10" i="93"/>
  <c r="X10" i="93" s="1"/>
  <c r="K9" i="93"/>
  <c r="Y9" i="93" s="1"/>
  <c r="P8" i="93"/>
  <c r="K8" i="93"/>
  <c r="Y8" i="93" s="1"/>
  <c r="K7" i="93"/>
  <c r="Y7" i="93" s="1"/>
  <c r="B7" i="93"/>
  <c r="B8" i="93" s="1"/>
  <c r="B9" i="93" s="1"/>
  <c r="B10" i="93" s="1"/>
  <c r="B11" i="93" s="1"/>
  <c r="B12" i="93" s="1"/>
  <c r="B13" i="93" s="1"/>
  <c r="B14" i="93" s="1"/>
  <c r="B15" i="93" s="1"/>
  <c r="P6" i="93"/>
  <c r="K6" i="93"/>
  <c r="Y6" i="93" s="1"/>
  <c r="P4" i="93"/>
  <c r="K51" i="92"/>
  <c r="X51" i="92" s="1"/>
  <c r="K50" i="92"/>
  <c r="Y50" i="92" s="1"/>
  <c r="Y49" i="92"/>
  <c r="K49" i="92"/>
  <c r="X49" i="92" s="1"/>
  <c r="K48" i="92"/>
  <c r="Y48" i="92" s="1"/>
  <c r="K47" i="92"/>
  <c r="X47" i="92" s="1"/>
  <c r="K46" i="92"/>
  <c r="Y46" i="92" s="1"/>
  <c r="Y45" i="92"/>
  <c r="K45" i="92"/>
  <c r="X45" i="92" s="1"/>
  <c r="B45" i="92"/>
  <c r="B46" i="92" s="1"/>
  <c r="B47" i="92" s="1"/>
  <c r="B48" i="92" s="1"/>
  <c r="B49" i="92" s="1"/>
  <c r="B50" i="92" s="1"/>
  <c r="B51" i="92" s="1"/>
  <c r="K44" i="92"/>
  <c r="X44" i="92" s="1"/>
  <c r="K43" i="92"/>
  <c r="Y43" i="92" s="1"/>
  <c r="K42" i="92"/>
  <c r="Y33" i="92"/>
  <c r="X33" i="92"/>
  <c r="Y32" i="92"/>
  <c r="X32" i="92"/>
  <c r="Y31" i="92"/>
  <c r="X31" i="92"/>
  <c r="K30" i="92"/>
  <c r="X30" i="92" s="1"/>
  <c r="Y29" i="92"/>
  <c r="X29" i="92"/>
  <c r="K29" i="92"/>
  <c r="K28" i="92"/>
  <c r="Y28" i="92" s="1"/>
  <c r="K27" i="92"/>
  <c r="Y27" i="92" s="1"/>
  <c r="K26" i="92"/>
  <c r="X26" i="92" s="1"/>
  <c r="K25" i="92"/>
  <c r="X25" i="92" s="1"/>
  <c r="B25" i="92"/>
  <c r="B26" i="92" s="1"/>
  <c r="B27" i="92" s="1"/>
  <c r="B28" i="92" s="1"/>
  <c r="B29" i="92" s="1"/>
  <c r="B30" i="92" s="1"/>
  <c r="B31" i="92" s="1"/>
  <c r="B32" i="92" s="1"/>
  <c r="B33" i="92" s="1"/>
  <c r="K24" i="92"/>
  <c r="X24" i="92" s="1"/>
  <c r="Y15" i="92"/>
  <c r="X15" i="92"/>
  <c r="Y14" i="92"/>
  <c r="X14" i="92"/>
  <c r="Y13" i="92"/>
  <c r="X13" i="92"/>
  <c r="Y12" i="92"/>
  <c r="X12" i="92"/>
  <c r="Y11" i="92"/>
  <c r="X11" i="92"/>
  <c r="K10" i="92"/>
  <c r="Y10" i="92" s="1"/>
  <c r="K9" i="92"/>
  <c r="X9" i="92" s="1"/>
  <c r="P8" i="92"/>
  <c r="K8" i="92"/>
  <c r="Y8" i="92" s="1"/>
  <c r="X7" i="92"/>
  <c r="K7" i="92"/>
  <c r="Y7" i="92" s="1"/>
  <c r="B7" i="92"/>
  <c r="B8" i="92" s="1"/>
  <c r="B9" i="92" s="1"/>
  <c r="B10" i="92" s="1"/>
  <c r="B11" i="92" s="1"/>
  <c r="B12" i="92" s="1"/>
  <c r="B13" i="92" s="1"/>
  <c r="B14" i="92" s="1"/>
  <c r="B15" i="92" s="1"/>
  <c r="P6" i="92"/>
  <c r="K6" i="92"/>
  <c r="X6" i="92" s="1"/>
  <c r="P4" i="92"/>
  <c r="K51" i="91"/>
  <c r="Y51" i="91" s="1"/>
  <c r="K50" i="91"/>
  <c r="Y50" i="91" s="1"/>
  <c r="K49" i="91"/>
  <c r="Y49" i="91" s="1"/>
  <c r="K48" i="91"/>
  <c r="Y48" i="91" s="1"/>
  <c r="K47" i="91"/>
  <c r="Y47" i="91" s="1"/>
  <c r="K46" i="91"/>
  <c r="Y46" i="91" s="1"/>
  <c r="K45" i="91"/>
  <c r="Y45" i="91" s="1"/>
  <c r="B45" i="91"/>
  <c r="B46" i="91" s="1"/>
  <c r="B47" i="91" s="1"/>
  <c r="B48" i="91" s="1"/>
  <c r="B49" i="91" s="1"/>
  <c r="B50" i="91" s="1"/>
  <c r="B51" i="91" s="1"/>
  <c r="K44" i="91"/>
  <c r="Y44" i="91" s="1"/>
  <c r="K43" i="91"/>
  <c r="X43" i="91" s="1"/>
  <c r="K42" i="91"/>
  <c r="Y33" i="91"/>
  <c r="X33" i="91"/>
  <c r="Y32" i="91"/>
  <c r="X32" i="91"/>
  <c r="Y31" i="91"/>
  <c r="X31" i="91"/>
  <c r="Y30" i="91"/>
  <c r="K30" i="91"/>
  <c r="X30" i="91" s="1"/>
  <c r="K29" i="91"/>
  <c r="Y29" i="91" s="1"/>
  <c r="K28" i="91"/>
  <c r="Y28" i="91" s="1"/>
  <c r="K27" i="91"/>
  <c r="X27" i="91" s="1"/>
  <c r="K26" i="91"/>
  <c r="Y26" i="91" s="1"/>
  <c r="K25" i="91"/>
  <c r="X25" i="91" s="1"/>
  <c r="B25" i="91"/>
  <c r="B26" i="91" s="1"/>
  <c r="B27" i="91" s="1"/>
  <c r="B28" i="91" s="1"/>
  <c r="B29" i="91" s="1"/>
  <c r="B30" i="91" s="1"/>
  <c r="B31" i="91" s="1"/>
  <c r="B32" i="91" s="1"/>
  <c r="B33" i="91" s="1"/>
  <c r="K24" i="91"/>
  <c r="Y15" i="91"/>
  <c r="X15" i="91"/>
  <c r="Y14" i="91"/>
  <c r="X14" i="91"/>
  <c r="Y13" i="91"/>
  <c r="X13" i="91"/>
  <c r="Y12" i="91"/>
  <c r="X12" i="91"/>
  <c r="Y11" i="91"/>
  <c r="X11" i="91"/>
  <c r="K10" i="91"/>
  <c r="X10" i="91" s="1"/>
  <c r="K9" i="91"/>
  <c r="Y9" i="91" s="1"/>
  <c r="P8" i="91"/>
  <c r="K8" i="91"/>
  <c r="Y8" i="91" s="1"/>
  <c r="K7" i="91"/>
  <c r="Y7" i="91" s="1"/>
  <c r="B7" i="91"/>
  <c r="B8" i="91" s="1"/>
  <c r="B9" i="91" s="1"/>
  <c r="B10" i="91" s="1"/>
  <c r="B11" i="91" s="1"/>
  <c r="B12" i="91" s="1"/>
  <c r="B13" i="91" s="1"/>
  <c r="B14" i="91" s="1"/>
  <c r="B15" i="91" s="1"/>
  <c r="P6" i="91"/>
  <c r="K6" i="91"/>
  <c r="Y6" i="91" s="1"/>
  <c r="P4" i="91"/>
  <c r="K51" i="90"/>
  <c r="Y51" i="90" s="1"/>
  <c r="K50" i="90"/>
  <c r="Y50" i="90" s="1"/>
  <c r="K49" i="90"/>
  <c r="Y49" i="90" s="1"/>
  <c r="K48" i="90"/>
  <c r="Y48" i="90" s="1"/>
  <c r="K47" i="90"/>
  <c r="Y47" i="90" s="1"/>
  <c r="K46" i="90"/>
  <c r="Y46" i="90" s="1"/>
  <c r="K45" i="90"/>
  <c r="Y45" i="90" s="1"/>
  <c r="B45" i="90"/>
  <c r="B46" i="90" s="1"/>
  <c r="B47" i="90" s="1"/>
  <c r="B48" i="90" s="1"/>
  <c r="B49" i="90" s="1"/>
  <c r="B50" i="90" s="1"/>
  <c r="B51" i="90" s="1"/>
  <c r="K44" i="90"/>
  <c r="Y44" i="90" s="1"/>
  <c r="K43" i="90"/>
  <c r="X43" i="90" s="1"/>
  <c r="K42" i="90"/>
  <c r="Y42" i="90" s="1"/>
  <c r="Y33" i="90"/>
  <c r="X33" i="90"/>
  <c r="Y32" i="90"/>
  <c r="X32" i="90"/>
  <c r="Y31" i="90"/>
  <c r="X31" i="90"/>
  <c r="K30" i="90"/>
  <c r="X30" i="90" s="1"/>
  <c r="K29" i="90"/>
  <c r="X29" i="90" s="1"/>
  <c r="K28" i="90"/>
  <c r="X28" i="90" s="1"/>
  <c r="K27" i="90"/>
  <c r="X27" i="90" s="1"/>
  <c r="K26" i="90"/>
  <c r="X26" i="90" s="1"/>
  <c r="K25" i="90"/>
  <c r="X25" i="90" s="1"/>
  <c r="B25" i="90"/>
  <c r="B26" i="90" s="1"/>
  <c r="B27" i="90" s="1"/>
  <c r="B28" i="90" s="1"/>
  <c r="B29" i="90" s="1"/>
  <c r="B30" i="90" s="1"/>
  <c r="B31" i="90" s="1"/>
  <c r="B32" i="90" s="1"/>
  <c r="B33" i="90" s="1"/>
  <c r="K24" i="90"/>
  <c r="Y15" i="90"/>
  <c r="X15" i="90"/>
  <c r="Y14" i="90"/>
  <c r="X14" i="90"/>
  <c r="Y13" i="90"/>
  <c r="X13" i="90"/>
  <c r="Y12" i="90"/>
  <c r="X12" i="90"/>
  <c r="Y11" i="90"/>
  <c r="X11" i="90"/>
  <c r="K10" i="90"/>
  <c r="X10" i="90" s="1"/>
  <c r="K9" i="90"/>
  <c r="Y9" i="90" s="1"/>
  <c r="P8" i="90"/>
  <c r="K8" i="90"/>
  <c r="Y8" i="90" s="1"/>
  <c r="K7" i="90"/>
  <c r="Y7" i="90" s="1"/>
  <c r="B7" i="90"/>
  <c r="B8" i="90" s="1"/>
  <c r="B9" i="90" s="1"/>
  <c r="B10" i="90" s="1"/>
  <c r="B11" i="90" s="1"/>
  <c r="B12" i="90" s="1"/>
  <c r="B13" i="90" s="1"/>
  <c r="B14" i="90" s="1"/>
  <c r="B15" i="90" s="1"/>
  <c r="P6" i="90"/>
  <c r="K6" i="90"/>
  <c r="Y6" i="90" s="1"/>
  <c r="P4" i="90"/>
  <c r="K51" i="89"/>
  <c r="Y51" i="89" s="1"/>
  <c r="K50" i="89"/>
  <c r="Y50" i="89" s="1"/>
  <c r="K49" i="89"/>
  <c r="Y49" i="89" s="1"/>
  <c r="K48" i="89"/>
  <c r="Y48" i="89" s="1"/>
  <c r="K47" i="89"/>
  <c r="Y47" i="89" s="1"/>
  <c r="K46" i="89"/>
  <c r="Y46" i="89" s="1"/>
  <c r="K45" i="89"/>
  <c r="Y45" i="89" s="1"/>
  <c r="B45" i="89"/>
  <c r="B46" i="89" s="1"/>
  <c r="B47" i="89" s="1"/>
  <c r="B48" i="89" s="1"/>
  <c r="B49" i="89" s="1"/>
  <c r="B50" i="89" s="1"/>
  <c r="B51" i="89" s="1"/>
  <c r="K44" i="89"/>
  <c r="Y44" i="89" s="1"/>
  <c r="K43" i="89"/>
  <c r="X43" i="89" s="1"/>
  <c r="K42" i="89"/>
  <c r="Y33" i="89"/>
  <c r="X33" i="89"/>
  <c r="Y32" i="89"/>
  <c r="X32" i="89"/>
  <c r="Y31" i="89"/>
  <c r="X31" i="89"/>
  <c r="K30" i="89"/>
  <c r="X30" i="89" s="1"/>
  <c r="K29" i="89"/>
  <c r="X29" i="89" s="1"/>
  <c r="K28" i="89"/>
  <c r="X28" i="89" s="1"/>
  <c r="K27" i="89"/>
  <c r="X27" i="89" s="1"/>
  <c r="K26" i="89"/>
  <c r="X26" i="89" s="1"/>
  <c r="K25" i="89"/>
  <c r="X25" i="89" s="1"/>
  <c r="B25" i="89"/>
  <c r="B26" i="89" s="1"/>
  <c r="B27" i="89" s="1"/>
  <c r="B28" i="89" s="1"/>
  <c r="B29" i="89" s="1"/>
  <c r="B30" i="89" s="1"/>
  <c r="B31" i="89" s="1"/>
  <c r="B32" i="89" s="1"/>
  <c r="B33" i="89" s="1"/>
  <c r="K24" i="89"/>
  <c r="Y15" i="89"/>
  <c r="X15" i="89"/>
  <c r="Y14" i="89"/>
  <c r="X14" i="89"/>
  <c r="Y13" i="89"/>
  <c r="X13" i="89"/>
  <c r="Y12" i="89"/>
  <c r="X12" i="89"/>
  <c r="Y11" i="89"/>
  <c r="X11" i="89"/>
  <c r="K10" i="89"/>
  <c r="X10" i="89" s="1"/>
  <c r="K9" i="89"/>
  <c r="X9" i="89" s="1"/>
  <c r="P8" i="89"/>
  <c r="K8" i="89"/>
  <c r="X8" i="89" s="1"/>
  <c r="K7" i="89"/>
  <c r="X7" i="89" s="1"/>
  <c r="B7" i="89"/>
  <c r="B8" i="89" s="1"/>
  <c r="B9" i="89" s="1"/>
  <c r="B10" i="89" s="1"/>
  <c r="B11" i="89" s="1"/>
  <c r="B12" i="89" s="1"/>
  <c r="B13" i="89" s="1"/>
  <c r="B14" i="89" s="1"/>
  <c r="B15" i="89" s="1"/>
  <c r="P6" i="89"/>
  <c r="K6" i="89"/>
  <c r="P4" i="89"/>
  <c r="K44" i="87"/>
  <c r="Y44" i="87" s="1"/>
  <c r="K51" i="88"/>
  <c r="Y51" i="88" s="1"/>
  <c r="X50" i="88"/>
  <c r="K50" i="88"/>
  <c r="Y50" i="88" s="1"/>
  <c r="K49" i="88"/>
  <c r="Y49" i="88" s="1"/>
  <c r="X48" i="88"/>
  <c r="K48" i="88"/>
  <c r="Y48" i="88" s="1"/>
  <c r="K47" i="88"/>
  <c r="Y47" i="88" s="1"/>
  <c r="K46" i="88"/>
  <c r="Y46" i="88" s="1"/>
  <c r="K45" i="88"/>
  <c r="Y45" i="88" s="1"/>
  <c r="B45" i="88"/>
  <c r="B46" i="88" s="1"/>
  <c r="B47" i="88" s="1"/>
  <c r="B48" i="88" s="1"/>
  <c r="B49" i="88" s="1"/>
  <c r="B50" i="88" s="1"/>
  <c r="B51" i="88" s="1"/>
  <c r="K44" i="88"/>
  <c r="Y44" i="88" s="1"/>
  <c r="K43" i="88"/>
  <c r="X43" i="88" s="1"/>
  <c r="K42" i="88"/>
  <c r="X42" i="88" s="1"/>
  <c r="Y33" i="88"/>
  <c r="X33" i="88"/>
  <c r="Y32" i="88"/>
  <c r="X32" i="88"/>
  <c r="Y31" i="88"/>
  <c r="X31" i="88"/>
  <c r="K30" i="88"/>
  <c r="Y30" i="88" s="1"/>
  <c r="K29" i="88"/>
  <c r="X29" i="88" s="1"/>
  <c r="K28" i="88"/>
  <c r="Y28" i="88" s="1"/>
  <c r="K27" i="88"/>
  <c r="X27" i="88" s="1"/>
  <c r="K26" i="88"/>
  <c r="Y26" i="88" s="1"/>
  <c r="K25" i="88"/>
  <c r="X25" i="88" s="1"/>
  <c r="B25" i="88"/>
  <c r="B26" i="88" s="1"/>
  <c r="B27" i="88" s="1"/>
  <c r="B28" i="88" s="1"/>
  <c r="B29" i="88" s="1"/>
  <c r="B30" i="88" s="1"/>
  <c r="B31" i="88" s="1"/>
  <c r="B32" i="88" s="1"/>
  <c r="B33" i="88" s="1"/>
  <c r="K24" i="88"/>
  <c r="Y15" i="88"/>
  <c r="X15" i="88"/>
  <c r="Y14" i="88"/>
  <c r="X14" i="88"/>
  <c r="Y13" i="88"/>
  <c r="X13" i="88"/>
  <c r="Y12" i="88"/>
  <c r="X12" i="88"/>
  <c r="Y11" i="88"/>
  <c r="X11" i="88"/>
  <c r="K10" i="88"/>
  <c r="X10" i="88" s="1"/>
  <c r="K9" i="88"/>
  <c r="Y9" i="88" s="1"/>
  <c r="P8" i="88"/>
  <c r="K8" i="88"/>
  <c r="Y8" i="88" s="1"/>
  <c r="K7" i="88"/>
  <c r="Y7" i="88" s="1"/>
  <c r="B7" i="88"/>
  <c r="B8" i="88" s="1"/>
  <c r="B9" i="88" s="1"/>
  <c r="B10" i="88" s="1"/>
  <c r="B11" i="88" s="1"/>
  <c r="B12" i="88" s="1"/>
  <c r="B13" i="88" s="1"/>
  <c r="B14" i="88" s="1"/>
  <c r="B15" i="88" s="1"/>
  <c r="P6" i="88"/>
  <c r="K6" i="88"/>
  <c r="Y6" i="88" s="1"/>
  <c r="P4" i="88"/>
  <c r="K51" i="87"/>
  <c r="Y51" i="87" s="1"/>
  <c r="K50" i="87"/>
  <c r="Y50" i="87" s="1"/>
  <c r="K49" i="87"/>
  <c r="Y49" i="87" s="1"/>
  <c r="K48" i="87"/>
  <c r="Y48" i="87" s="1"/>
  <c r="K47" i="87"/>
  <c r="Y47" i="87" s="1"/>
  <c r="K46" i="87"/>
  <c r="Y46" i="87" s="1"/>
  <c r="K45" i="87"/>
  <c r="Y45" i="87" s="1"/>
  <c r="B45" i="87"/>
  <c r="B46" i="87" s="1"/>
  <c r="B47" i="87" s="1"/>
  <c r="B48" i="87" s="1"/>
  <c r="B49" i="87" s="1"/>
  <c r="B50" i="87" s="1"/>
  <c r="B51" i="87" s="1"/>
  <c r="K43" i="87"/>
  <c r="X43" i="87" s="1"/>
  <c r="K42" i="87"/>
  <c r="Y42" i="87" s="1"/>
  <c r="Y33" i="87"/>
  <c r="X33" i="87"/>
  <c r="Y32" i="87"/>
  <c r="X32" i="87"/>
  <c r="Y31" i="87"/>
  <c r="X31" i="87"/>
  <c r="K30" i="87"/>
  <c r="X30" i="87" s="1"/>
  <c r="K29" i="87"/>
  <c r="X29" i="87" s="1"/>
  <c r="K28" i="87"/>
  <c r="X28" i="87" s="1"/>
  <c r="K27" i="87"/>
  <c r="X27" i="87" s="1"/>
  <c r="K26" i="87"/>
  <c r="X26" i="87" s="1"/>
  <c r="K25" i="87"/>
  <c r="X25" i="87" s="1"/>
  <c r="B25" i="87"/>
  <c r="B26" i="87" s="1"/>
  <c r="B27" i="87" s="1"/>
  <c r="B28" i="87" s="1"/>
  <c r="B29" i="87" s="1"/>
  <c r="B30" i="87" s="1"/>
  <c r="B31" i="87" s="1"/>
  <c r="B32" i="87" s="1"/>
  <c r="B33" i="87" s="1"/>
  <c r="K24" i="87"/>
  <c r="Y15" i="87"/>
  <c r="X15" i="87"/>
  <c r="Y14" i="87"/>
  <c r="X14" i="87"/>
  <c r="Y13" i="87"/>
  <c r="X13" i="87"/>
  <c r="Y12" i="87"/>
  <c r="X12" i="87"/>
  <c r="Y11" i="87"/>
  <c r="X11" i="87"/>
  <c r="K10" i="87"/>
  <c r="X10" i="87" s="1"/>
  <c r="K9" i="87"/>
  <c r="X9" i="87" s="1"/>
  <c r="P8" i="87"/>
  <c r="K8" i="87"/>
  <c r="X8" i="87" s="1"/>
  <c r="K7" i="87"/>
  <c r="X7" i="87" s="1"/>
  <c r="B7" i="87"/>
  <c r="B8" i="87" s="1"/>
  <c r="B9" i="87" s="1"/>
  <c r="B10" i="87" s="1"/>
  <c r="B11" i="87" s="1"/>
  <c r="B12" i="87" s="1"/>
  <c r="B13" i="87" s="1"/>
  <c r="B14" i="87" s="1"/>
  <c r="B15" i="87" s="1"/>
  <c r="P6" i="87"/>
  <c r="K6" i="87"/>
  <c r="P4" i="87"/>
  <c r="K51" i="86"/>
  <c r="X51" i="86" s="1"/>
  <c r="K50" i="86"/>
  <c r="X50" i="86" s="1"/>
  <c r="Y49" i="86"/>
  <c r="K49" i="86"/>
  <c r="X49" i="86" s="1"/>
  <c r="K48" i="86"/>
  <c r="X48" i="86" s="1"/>
  <c r="Y47" i="86"/>
  <c r="K47" i="86"/>
  <c r="X47" i="86" s="1"/>
  <c r="K46" i="86"/>
  <c r="X46" i="86" s="1"/>
  <c r="K45" i="86"/>
  <c r="X45" i="86" s="1"/>
  <c r="B45" i="86"/>
  <c r="B46" i="86" s="1"/>
  <c r="B47" i="86" s="1"/>
  <c r="B48" i="86" s="1"/>
  <c r="B49" i="86" s="1"/>
  <c r="B50" i="86" s="1"/>
  <c r="B51" i="86" s="1"/>
  <c r="K44" i="86"/>
  <c r="X44" i="86" s="1"/>
  <c r="K43" i="86"/>
  <c r="X43" i="86" s="1"/>
  <c r="K42" i="86"/>
  <c r="Y33" i="86"/>
  <c r="X33" i="86"/>
  <c r="Y32" i="86"/>
  <c r="X32" i="86"/>
  <c r="Y31" i="86"/>
  <c r="X31" i="86"/>
  <c r="X30" i="86"/>
  <c r="K30" i="86"/>
  <c r="Y30" i="86" s="1"/>
  <c r="K29" i="86"/>
  <c r="Y29" i="86" s="1"/>
  <c r="K28" i="86"/>
  <c r="Y28" i="86" s="1"/>
  <c r="K27" i="86"/>
  <c r="Y27" i="86" s="1"/>
  <c r="K26" i="86"/>
  <c r="Y26" i="86" s="1"/>
  <c r="K25" i="86"/>
  <c r="Y25" i="86" s="1"/>
  <c r="B25" i="86"/>
  <c r="B26" i="86" s="1"/>
  <c r="B27" i="86" s="1"/>
  <c r="B28" i="86" s="1"/>
  <c r="B29" i="86" s="1"/>
  <c r="B30" i="86" s="1"/>
  <c r="B31" i="86" s="1"/>
  <c r="B32" i="86" s="1"/>
  <c r="B33" i="86" s="1"/>
  <c r="K24" i="86"/>
  <c r="X24" i="86" s="1"/>
  <c r="Y15" i="86"/>
  <c r="X15" i="86"/>
  <c r="Y14" i="86"/>
  <c r="X14" i="86"/>
  <c r="Y13" i="86"/>
  <c r="X13" i="86"/>
  <c r="Y12" i="86"/>
  <c r="X12" i="86"/>
  <c r="Y11" i="86"/>
  <c r="X11" i="86"/>
  <c r="K10" i="86"/>
  <c r="Y10" i="86" s="1"/>
  <c r="K9" i="86"/>
  <c r="X9" i="86" s="1"/>
  <c r="P8" i="86"/>
  <c r="K8" i="86"/>
  <c r="X8" i="86" s="1"/>
  <c r="K7" i="86"/>
  <c r="X7" i="86" s="1"/>
  <c r="B7" i="86"/>
  <c r="B8" i="86" s="1"/>
  <c r="B9" i="86" s="1"/>
  <c r="B10" i="86" s="1"/>
  <c r="B11" i="86" s="1"/>
  <c r="B12" i="86" s="1"/>
  <c r="B13" i="86" s="1"/>
  <c r="B14" i="86" s="1"/>
  <c r="B15" i="86" s="1"/>
  <c r="P6" i="86"/>
  <c r="K6" i="86"/>
  <c r="P4" i="86"/>
  <c r="X51" i="85"/>
  <c r="K51" i="85"/>
  <c r="Y51" i="85" s="1"/>
  <c r="K50" i="85"/>
  <c r="Y50" i="85" s="1"/>
  <c r="X49" i="85"/>
  <c r="K49" i="85"/>
  <c r="Y49" i="85" s="1"/>
  <c r="K48" i="85"/>
  <c r="Y48" i="85" s="1"/>
  <c r="K47" i="85"/>
  <c r="Y47" i="85" s="1"/>
  <c r="K46" i="85"/>
  <c r="Y46" i="85" s="1"/>
  <c r="K45" i="85"/>
  <c r="Y45" i="85" s="1"/>
  <c r="B45" i="85"/>
  <c r="B46" i="85" s="1"/>
  <c r="B47" i="85" s="1"/>
  <c r="B48" i="85" s="1"/>
  <c r="B49" i="85" s="1"/>
  <c r="B50" i="85" s="1"/>
  <c r="B51" i="85" s="1"/>
  <c r="X44" i="85"/>
  <c r="K44" i="85"/>
  <c r="Y44" i="85" s="1"/>
  <c r="K43" i="85"/>
  <c r="X43" i="85" s="1"/>
  <c r="K42" i="85"/>
  <c r="Y42" i="85" s="1"/>
  <c r="Y33" i="85"/>
  <c r="X33" i="85"/>
  <c r="Y32" i="85"/>
  <c r="X32" i="85"/>
  <c r="Y31" i="85"/>
  <c r="X31" i="85"/>
  <c r="Y30" i="85"/>
  <c r="X30" i="85"/>
  <c r="K30" i="85"/>
  <c r="K29" i="85"/>
  <c r="Y29" i="85" s="1"/>
  <c r="K28" i="85"/>
  <c r="X28" i="85" s="1"/>
  <c r="Y27" i="85"/>
  <c r="K27" i="85"/>
  <c r="X27" i="85" s="1"/>
  <c r="K26" i="85"/>
  <c r="X26" i="85" s="1"/>
  <c r="K25" i="85"/>
  <c r="X25" i="85" s="1"/>
  <c r="B25" i="85"/>
  <c r="B26" i="85" s="1"/>
  <c r="B27" i="85" s="1"/>
  <c r="B28" i="85" s="1"/>
  <c r="B29" i="85" s="1"/>
  <c r="B30" i="85" s="1"/>
  <c r="B31" i="85" s="1"/>
  <c r="B32" i="85" s="1"/>
  <c r="B33" i="85" s="1"/>
  <c r="K24" i="85"/>
  <c r="Y24" i="85" s="1"/>
  <c r="Y15" i="85"/>
  <c r="X15" i="85"/>
  <c r="Y14" i="85"/>
  <c r="X14" i="85"/>
  <c r="Y13" i="85"/>
  <c r="X13" i="85"/>
  <c r="Y12" i="85"/>
  <c r="X12" i="85"/>
  <c r="Y11" i="85"/>
  <c r="X11" i="85"/>
  <c r="K10" i="85"/>
  <c r="X10" i="85" s="1"/>
  <c r="K9" i="85"/>
  <c r="Y9" i="85" s="1"/>
  <c r="X8" i="85"/>
  <c r="P8" i="85"/>
  <c r="K8" i="85"/>
  <c r="Y8" i="85" s="1"/>
  <c r="K7" i="85"/>
  <c r="Y7" i="85" s="1"/>
  <c r="B7" i="85"/>
  <c r="B8" i="85" s="1"/>
  <c r="B9" i="85" s="1"/>
  <c r="B10" i="85" s="1"/>
  <c r="B11" i="85" s="1"/>
  <c r="B12" i="85" s="1"/>
  <c r="B13" i="85" s="1"/>
  <c r="B14" i="85" s="1"/>
  <c r="B15" i="85" s="1"/>
  <c r="P6" i="85"/>
  <c r="K6" i="85"/>
  <c r="Y6" i="85" s="1"/>
  <c r="P4" i="85"/>
  <c r="K51" i="84"/>
  <c r="Y51" i="84" s="1"/>
  <c r="K50" i="84"/>
  <c r="Y50" i="84" s="1"/>
  <c r="K49" i="84"/>
  <c r="Y49" i="84" s="1"/>
  <c r="K48" i="84"/>
  <c r="Y48" i="84" s="1"/>
  <c r="K47" i="84"/>
  <c r="Y47" i="84" s="1"/>
  <c r="K46" i="84"/>
  <c r="Y46" i="84" s="1"/>
  <c r="K45" i="84"/>
  <c r="Y45" i="84" s="1"/>
  <c r="B45" i="84"/>
  <c r="B46" i="84" s="1"/>
  <c r="B47" i="84" s="1"/>
  <c r="B48" i="84" s="1"/>
  <c r="B49" i="84" s="1"/>
  <c r="B50" i="84" s="1"/>
  <c r="B51" i="84" s="1"/>
  <c r="K44" i="84"/>
  <c r="Y44" i="84" s="1"/>
  <c r="K43" i="84"/>
  <c r="X43" i="84" s="1"/>
  <c r="K42" i="84"/>
  <c r="Y42" i="84" s="1"/>
  <c r="Y33" i="84"/>
  <c r="X33" i="84"/>
  <c r="Y32" i="84"/>
  <c r="X32" i="84"/>
  <c r="Y31" i="84"/>
  <c r="X31" i="84"/>
  <c r="Y30" i="84"/>
  <c r="K30" i="84"/>
  <c r="X30" i="84" s="1"/>
  <c r="K29" i="84"/>
  <c r="Y29" i="84" s="1"/>
  <c r="K28" i="84"/>
  <c r="X28" i="84" s="1"/>
  <c r="K27" i="84"/>
  <c r="Y27" i="84" s="1"/>
  <c r="K26" i="84"/>
  <c r="X26" i="84" s="1"/>
  <c r="K25" i="84"/>
  <c r="X25" i="84" s="1"/>
  <c r="B25" i="84"/>
  <c r="B26" i="84" s="1"/>
  <c r="B27" i="84" s="1"/>
  <c r="B28" i="84" s="1"/>
  <c r="B29" i="84" s="1"/>
  <c r="B30" i="84" s="1"/>
  <c r="B31" i="84" s="1"/>
  <c r="B32" i="84" s="1"/>
  <c r="B33" i="84" s="1"/>
  <c r="K24" i="84"/>
  <c r="X24" i="84" s="1"/>
  <c r="Y15" i="84"/>
  <c r="X15" i="84"/>
  <c r="Y14" i="84"/>
  <c r="X14" i="84"/>
  <c r="Y13" i="84"/>
  <c r="X13" i="84"/>
  <c r="Y12" i="84"/>
  <c r="X12" i="84"/>
  <c r="Y11" i="84"/>
  <c r="X11" i="84"/>
  <c r="K10" i="84"/>
  <c r="X10" i="84" s="1"/>
  <c r="K9" i="84"/>
  <c r="Y9" i="84" s="1"/>
  <c r="P8" i="84"/>
  <c r="K8" i="84"/>
  <c r="Y8" i="84" s="1"/>
  <c r="K7" i="84"/>
  <c r="Y7" i="84" s="1"/>
  <c r="B7" i="84"/>
  <c r="B8" i="84" s="1"/>
  <c r="B9" i="84" s="1"/>
  <c r="B10" i="84" s="1"/>
  <c r="B11" i="84" s="1"/>
  <c r="B12" i="84" s="1"/>
  <c r="B13" i="84" s="1"/>
  <c r="B14" i="84" s="1"/>
  <c r="B15" i="84" s="1"/>
  <c r="P6" i="84"/>
  <c r="K6" i="84"/>
  <c r="Y6" i="84" s="1"/>
  <c r="P4" i="84"/>
  <c r="K51" i="83"/>
  <c r="Y51" i="83" s="1"/>
  <c r="X50" i="83"/>
  <c r="K50" i="83"/>
  <c r="Y50" i="83" s="1"/>
  <c r="K49" i="83"/>
  <c r="Y49" i="83" s="1"/>
  <c r="K48" i="83"/>
  <c r="Y48" i="83" s="1"/>
  <c r="K47" i="83"/>
  <c r="Y47" i="83" s="1"/>
  <c r="K46" i="83"/>
  <c r="Y46" i="83" s="1"/>
  <c r="K45" i="83"/>
  <c r="Y45" i="83" s="1"/>
  <c r="B45" i="83"/>
  <c r="B46" i="83" s="1"/>
  <c r="B47" i="83" s="1"/>
  <c r="B48" i="83" s="1"/>
  <c r="B49" i="83" s="1"/>
  <c r="B50" i="83" s="1"/>
  <c r="B51" i="83" s="1"/>
  <c r="K44" i="83"/>
  <c r="Y44" i="83" s="1"/>
  <c r="K43" i="83"/>
  <c r="X43" i="83" s="1"/>
  <c r="K42" i="83"/>
  <c r="X42" i="83" s="1"/>
  <c r="Y33" i="83"/>
  <c r="X33" i="83"/>
  <c r="Y32" i="83"/>
  <c r="X32" i="83"/>
  <c r="Y31" i="83"/>
  <c r="X31" i="83"/>
  <c r="Y30" i="83"/>
  <c r="X30" i="83"/>
  <c r="K30" i="83"/>
  <c r="K29" i="83"/>
  <c r="Y29" i="83" s="1"/>
  <c r="K28" i="83"/>
  <c r="X28" i="83" s="1"/>
  <c r="Y27" i="83"/>
  <c r="K27" i="83"/>
  <c r="X27" i="83" s="1"/>
  <c r="K26" i="83"/>
  <c r="Y26" i="83" s="1"/>
  <c r="K25" i="83"/>
  <c r="X25" i="83" s="1"/>
  <c r="B25" i="83"/>
  <c r="B26" i="83" s="1"/>
  <c r="B27" i="83" s="1"/>
  <c r="B28" i="83" s="1"/>
  <c r="B29" i="83" s="1"/>
  <c r="B30" i="83" s="1"/>
  <c r="B31" i="83" s="1"/>
  <c r="B32" i="83" s="1"/>
  <c r="B33" i="83" s="1"/>
  <c r="K24" i="83"/>
  <c r="Y15" i="83"/>
  <c r="X15" i="83"/>
  <c r="Y14" i="83"/>
  <c r="X14" i="83"/>
  <c r="Y13" i="83"/>
  <c r="X13" i="83"/>
  <c r="Y12" i="83"/>
  <c r="X12" i="83"/>
  <c r="Y11" i="83"/>
  <c r="X11" i="83"/>
  <c r="K10" i="83"/>
  <c r="X10" i="83" s="1"/>
  <c r="K9" i="83"/>
  <c r="Y9" i="83" s="1"/>
  <c r="P8" i="83"/>
  <c r="K8" i="83"/>
  <c r="Y8" i="83" s="1"/>
  <c r="K7" i="83"/>
  <c r="Y7" i="83" s="1"/>
  <c r="B7" i="83"/>
  <c r="B8" i="83" s="1"/>
  <c r="B9" i="83" s="1"/>
  <c r="B10" i="83" s="1"/>
  <c r="B11" i="83" s="1"/>
  <c r="B12" i="83" s="1"/>
  <c r="B13" i="83" s="1"/>
  <c r="B14" i="83" s="1"/>
  <c r="B15" i="83" s="1"/>
  <c r="P6" i="83"/>
  <c r="K6" i="83"/>
  <c r="Y6" i="83" s="1"/>
  <c r="P4" i="83"/>
  <c r="K51" i="82"/>
  <c r="Y51" i="82" s="1"/>
  <c r="K50" i="82"/>
  <c r="Y50" i="82" s="1"/>
  <c r="K49" i="82"/>
  <c r="Y49" i="82" s="1"/>
  <c r="K48" i="82"/>
  <c r="Y48" i="82" s="1"/>
  <c r="X47" i="82"/>
  <c r="K47" i="82"/>
  <c r="Y47" i="82" s="1"/>
  <c r="K46" i="82"/>
  <c r="Y46" i="82" s="1"/>
  <c r="K45" i="82"/>
  <c r="Y45" i="82" s="1"/>
  <c r="B45" i="82"/>
  <c r="B46" i="82" s="1"/>
  <c r="B47" i="82" s="1"/>
  <c r="B48" i="82" s="1"/>
  <c r="B49" i="82" s="1"/>
  <c r="B50" i="82" s="1"/>
  <c r="B51" i="82" s="1"/>
  <c r="K44" i="82"/>
  <c r="Y44" i="82" s="1"/>
  <c r="K43" i="82"/>
  <c r="X43" i="82" s="1"/>
  <c r="K42" i="82"/>
  <c r="Y33" i="82"/>
  <c r="X33" i="82"/>
  <c r="Y32" i="82"/>
  <c r="X32" i="82"/>
  <c r="Y31" i="82"/>
  <c r="X31" i="82"/>
  <c r="K30" i="82"/>
  <c r="X30" i="82" s="1"/>
  <c r="K29" i="82"/>
  <c r="X29" i="82" s="1"/>
  <c r="K28" i="82"/>
  <c r="X28" i="82" s="1"/>
  <c r="K27" i="82"/>
  <c r="X27" i="82" s="1"/>
  <c r="K26" i="82"/>
  <c r="X26" i="82" s="1"/>
  <c r="K25" i="82"/>
  <c r="X25" i="82" s="1"/>
  <c r="B25" i="82"/>
  <c r="B26" i="82" s="1"/>
  <c r="B27" i="82" s="1"/>
  <c r="B28" i="82" s="1"/>
  <c r="B29" i="82" s="1"/>
  <c r="B30" i="82" s="1"/>
  <c r="B31" i="82" s="1"/>
  <c r="B32" i="82" s="1"/>
  <c r="B33" i="82" s="1"/>
  <c r="K24" i="82"/>
  <c r="Y15" i="82"/>
  <c r="X15" i="82"/>
  <c r="Y14" i="82"/>
  <c r="X14" i="82"/>
  <c r="Y13" i="82"/>
  <c r="X13" i="82"/>
  <c r="Y12" i="82"/>
  <c r="X12" i="82"/>
  <c r="Y11" i="82"/>
  <c r="X11" i="82"/>
  <c r="K10" i="82"/>
  <c r="X10" i="82" s="1"/>
  <c r="K9" i="82"/>
  <c r="Y9" i="82" s="1"/>
  <c r="P8" i="82"/>
  <c r="K8" i="82"/>
  <c r="Y8" i="82" s="1"/>
  <c r="K7" i="82"/>
  <c r="Y7" i="82" s="1"/>
  <c r="B7" i="82"/>
  <c r="B8" i="82" s="1"/>
  <c r="B9" i="82" s="1"/>
  <c r="B10" i="82" s="1"/>
  <c r="B11" i="82" s="1"/>
  <c r="B12" i="82" s="1"/>
  <c r="B13" i="82" s="1"/>
  <c r="B14" i="82" s="1"/>
  <c r="B15" i="82" s="1"/>
  <c r="P6" i="82"/>
  <c r="K6" i="82"/>
  <c r="Y6" i="82" s="1"/>
  <c r="P4" i="82"/>
  <c r="X51" i="81"/>
  <c r="K51" i="81"/>
  <c r="Y51" i="81" s="1"/>
  <c r="K50" i="81"/>
  <c r="Y50" i="81" s="1"/>
  <c r="K49" i="81"/>
  <c r="Y49" i="81" s="1"/>
  <c r="K48" i="81"/>
  <c r="Y48" i="81" s="1"/>
  <c r="K47" i="81"/>
  <c r="Y47" i="81" s="1"/>
  <c r="K46" i="81"/>
  <c r="Y46" i="81" s="1"/>
  <c r="K45" i="81"/>
  <c r="Y45" i="81" s="1"/>
  <c r="B45" i="81"/>
  <c r="B46" i="81" s="1"/>
  <c r="B47" i="81" s="1"/>
  <c r="B48" i="81" s="1"/>
  <c r="B49" i="81" s="1"/>
  <c r="B50" i="81" s="1"/>
  <c r="B51" i="81" s="1"/>
  <c r="K44" i="81"/>
  <c r="Y44" i="81" s="1"/>
  <c r="K43" i="81"/>
  <c r="X43" i="81" s="1"/>
  <c r="K42" i="81"/>
  <c r="Y33" i="81"/>
  <c r="X33" i="81"/>
  <c r="Y32" i="81"/>
  <c r="X32" i="81"/>
  <c r="Y31" i="81"/>
  <c r="X31" i="81"/>
  <c r="K30" i="81"/>
  <c r="X30" i="81" s="1"/>
  <c r="K29" i="81"/>
  <c r="X29" i="81" s="1"/>
  <c r="K28" i="81"/>
  <c r="X28" i="81" s="1"/>
  <c r="K27" i="81"/>
  <c r="X27" i="81" s="1"/>
  <c r="K26" i="81"/>
  <c r="X26" i="81" s="1"/>
  <c r="K25" i="81"/>
  <c r="X25" i="81" s="1"/>
  <c r="B25" i="81"/>
  <c r="B26" i="81" s="1"/>
  <c r="B27" i="81" s="1"/>
  <c r="B28" i="81" s="1"/>
  <c r="B29" i="81" s="1"/>
  <c r="B30" i="81" s="1"/>
  <c r="B31" i="81" s="1"/>
  <c r="B32" i="81" s="1"/>
  <c r="B33" i="81" s="1"/>
  <c r="K24" i="81"/>
  <c r="Y15" i="81"/>
  <c r="X15" i="81"/>
  <c r="Y14" i="81"/>
  <c r="X14" i="81"/>
  <c r="Y13" i="81"/>
  <c r="X13" i="81"/>
  <c r="Y12" i="81"/>
  <c r="X12" i="81"/>
  <c r="Y11" i="81"/>
  <c r="X11" i="81"/>
  <c r="K10" i="81"/>
  <c r="Y10" i="81" s="1"/>
  <c r="K9" i="81"/>
  <c r="X9" i="81" s="1"/>
  <c r="Y8" i="81"/>
  <c r="P8" i="81"/>
  <c r="K8" i="81"/>
  <c r="X8" i="81" s="1"/>
  <c r="K7" i="81"/>
  <c r="Y7" i="81" s="1"/>
  <c r="B7" i="81"/>
  <c r="B8" i="81" s="1"/>
  <c r="B9" i="81" s="1"/>
  <c r="B10" i="81" s="1"/>
  <c r="B11" i="81" s="1"/>
  <c r="B12" i="81" s="1"/>
  <c r="B13" i="81" s="1"/>
  <c r="B14" i="81" s="1"/>
  <c r="B15" i="81" s="1"/>
  <c r="P6" i="81"/>
  <c r="K6" i="81"/>
  <c r="X6" i="81" s="1"/>
  <c r="P4" i="81"/>
  <c r="K51" i="80"/>
  <c r="Y51" i="80" s="1"/>
  <c r="K50" i="80"/>
  <c r="Y50" i="80" s="1"/>
  <c r="X49" i="80"/>
  <c r="K49" i="80"/>
  <c r="Y49" i="80" s="1"/>
  <c r="K48" i="80"/>
  <c r="Y48" i="80" s="1"/>
  <c r="K47" i="80"/>
  <c r="Y47" i="80" s="1"/>
  <c r="K46" i="80"/>
  <c r="Y46" i="80" s="1"/>
  <c r="K45" i="80"/>
  <c r="Y45" i="80" s="1"/>
  <c r="B45" i="80"/>
  <c r="B46" i="80" s="1"/>
  <c r="B47" i="80" s="1"/>
  <c r="B48" i="80" s="1"/>
  <c r="B49" i="80" s="1"/>
  <c r="B50" i="80" s="1"/>
  <c r="B51" i="80" s="1"/>
  <c r="K44" i="80"/>
  <c r="Y44" i="80" s="1"/>
  <c r="K43" i="80"/>
  <c r="X43" i="80" s="1"/>
  <c r="K42" i="80"/>
  <c r="Y33" i="80"/>
  <c r="X33" i="80"/>
  <c r="Y32" i="80"/>
  <c r="X32" i="80"/>
  <c r="Y31" i="80"/>
  <c r="X31" i="80"/>
  <c r="K30" i="80"/>
  <c r="X30" i="80" s="1"/>
  <c r="K29" i="80"/>
  <c r="X29" i="80" s="1"/>
  <c r="K28" i="80"/>
  <c r="X28" i="80" s="1"/>
  <c r="K27" i="80"/>
  <c r="X27" i="80" s="1"/>
  <c r="K26" i="80"/>
  <c r="X26" i="80" s="1"/>
  <c r="K25" i="80"/>
  <c r="X25" i="80" s="1"/>
  <c r="B25" i="80"/>
  <c r="B26" i="80" s="1"/>
  <c r="B27" i="80" s="1"/>
  <c r="B28" i="80" s="1"/>
  <c r="B29" i="80" s="1"/>
  <c r="B30" i="80" s="1"/>
  <c r="B31" i="80" s="1"/>
  <c r="B32" i="80" s="1"/>
  <c r="B33" i="80" s="1"/>
  <c r="K24" i="80"/>
  <c r="Y15" i="80"/>
  <c r="X15" i="80"/>
  <c r="Y14" i="80"/>
  <c r="X14" i="80"/>
  <c r="Y13" i="80"/>
  <c r="X13" i="80"/>
  <c r="Y12" i="80"/>
  <c r="X12" i="80"/>
  <c r="Y11" i="80"/>
  <c r="X11" i="80"/>
  <c r="K10" i="80"/>
  <c r="X10" i="80" s="1"/>
  <c r="K9" i="80"/>
  <c r="Y9" i="80" s="1"/>
  <c r="P8" i="80"/>
  <c r="K8" i="80"/>
  <c r="Y8" i="80" s="1"/>
  <c r="K7" i="80"/>
  <c r="Y7" i="80" s="1"/>
  <c r="B7" i="80"/>
  <c r="B8" i="80" s="1"/>
  <c r="B9" i="80" s="1"/>
  <c r="B10" i="80" s="1"/>
  <c r="B11" i="80" s="1"/>
  <c r="B12" i="80" s="1"/>
  <c r="B13" i="80" s="1"/>
  <c r="B14" i="80" s="1"/>
  <c r="B15" i="80" s="1"/>
  <c r="P6" i="80"/>
  <c r="K6" i="80"/>
  <c r="Y6" i="80" s="1"/>
  <c r="P4" i="80"/>
  <c r="K51" i="79"/>
  <c r="Y51" i="79" s="1"/>
  <c r="K50" i="79"/>
  <c r="Y50" i="79" s="1"/>
  <c r="K49" i="79"/>
  <c r="Y49" i="79" s="1"/>
  <c r="K48" i="79"/>
  <c r="Y48" i="79" s="1"/>
  <c r="X47" i="79"/>
  <c r="K47" i="79"/>
  <c r="Y47" i="79" s="1"/>
  <c r="K46" i="79"/>
  <c r="Y46" i="79" s="1"/>
  <c r="K45" i="79"/>
  <c r="Y45" i="79" s="1"/>
  <c r="B45" i="79"/>
  <c r="B46" i="79" s="1"/>
  <c r="B47" i="79" s="1"/>
  <c r="B48" i="79" s="1"/>
  <c r="B49" i="79" s="1"/>
  <c r="B50" i="79" s="1"/>
  <c r="B51" i="79" s="1"/>
  <c r="K44" i="79"/>
  <c r="Y44" i="79" s="1"/>
  <c r="K43" i="79"/>
  <c r="X43" i="79" s="1"/>
  <c r="K42" i="79"/>
  <c r="Y33" i="79"/>
  <c r="X33" i="79"/>
  <c r="Y32" i="79"/>
  <c r="X32" i="79"/>
  <c r="Y31" i="79"/>
  <c r="X31" i="79"/>
  <c r="K30" i="79"/>
  <c r="X30" i="79" s="1"/>
  <c r="K29" i="79"/>
  <c r="Y29" i="79" s="1"/>
  <c r="K28" i="79"/>
  <c r="Y28" i="79" s="1"/>
  <c r="K27" i="79"/>
  <c r="X27" i="79" s="1"/>
  <c r="K26" i="79"/>
  <c r="X26" i="79" s="1"/>
  <c r="K25" i="79"/>
  <c r="Y25" i="79" s="1"/>
  <c r="B25" i="79"/>
  <c r="B26" i="79" s="1"/>
  <c r="B27" i="79" s="1"/>
  <c r="B28" i="79" s="1"/>
  <c r="B29" i="79" s="1"/>
  <c r="B30" i="79" s="1"/>
  <c r="B31" i="79" s="1"/>
  <c r="B32" i="79" s="1"/>
  <c r="B33" i="79" s="1"/>
  <c r="K24" i="79"/>
  <c r="Y24" i="79" s="1"/>
  <c r="Y15" i="79"/>
  <c r="X15" i="79"/>
  <c r="Y14" i="79"/>
  <c r="X14" i="79"/>
  <c r="Y13" i="79"/>
  <c r="X13" i="79"/>
  <c r="Y12" i="79"/>
  <c r="X12" i="79"/>
  <c r="Y11" i="79"/>
  <c r="X11" i="79"/>
  <c r="K10" i="79"/>
  <c r="X10" i="79" s="1"/>
  <c r="K9" i="79"/>
  <c r="Y9" i="79" s="1"/>
  <c r="X8" i="79"/>
  <c r="P8" i="79"/>
  <c r="K8" i="79"/>
  <c r="Y8" i="79" s="1"/>
  <c r="K7" i="79"/>
  <c r="Y7" i="79" s="1"/>
  <c r="B7" i="79"/>
  <c r="B8" i="79" s="1"/>
  <c r="B9" i="79" s="1"/>
  <c r="B10" i="79" s="1"/>
  <c r="B11" i="79" s="1"/>
  <c r="B12" i="79" s="1"/>
  <c r="B13" i="79" s="1"/>
  <c r="B14" i="79" s="1"/>
  <c r="B15" i="79" s="1"/>
  <c r="P6" i="79"/>
  <c r="K6" i="79"/>
  <c r="Y6" i="79" s="1"/>
  <c r="P4" i="79"/>
  <c r="K51" i="78"/>
  <c r="K50" i="78"/>
  <c r="Y50" i="78" s="1"/>
  <c r="K49" i="78"/>
  <c r="K48" i="78"/>
  <c r="Y48" i="78" s="1"/>
  <c r="K47" i="78"/>
  <c r="K46" i="78"/>
  <c r="Y46" i="78" s="1"/>
  <c r="K45" i="78"/>
  <c r="B45" i="78"/>
  <c r="B46" i="78" s="1"/>
  <c r="B47" i="78" s="1"/>
  <c r="B48" i="78" s="1"/>
  <c r="B49" i="78" s="1"/>
  <c r="B50" i="78" s="1"/>
  <c r="B51" i="78" s="1"/>
  <c r="K44" i="78"/>
  <c r="Y44" i="78" s="1"/>
  <c r="K43" i="78"/>
  <c r="X43" i="78" s="1"/>
  <c r="K42" i="78"/>
  <c r="X42" i="78" s="1"/>
  <c r="Y33" i="78"/>
  <c r="X33" i="78"/>
  <c r="Y32" i="78"/>
  <c r="X32" i="78"/>
  <c r="Y31" i="78"/>
  <c r="X31" i="78"/>
  <c r="K30" i="78"/>
  <c r="X30" i="78" s="1"/>
  <c r="K29" i="78"/>
  <c r="X29" i="78" s="1"/>
  <c r="K28" i="78"/>
  <c r="X28" i="78" s="1"/>
  <c r="K27" i="78"/>
  <c r="X27" i="78" s="1"/>
  <c r="K26" i="78"/>
  <c r="X26" i="78" s="1"/>
  <c r="K25" i="78"/>
  <c r="X25" i="78" s="1"/>
  <c r="B25" i="78"/>
  <c r="B26" i="78" s="1"/>
  <c r="B27" i="78" s="1"/>
  <c r="B28" i="78" s="1"/>
  <c r="B29" i="78" s="1"/>
  <c r="B30" i="78" s="1"/>
  <c r="B31" i="78" s="1"/>
  <c r="B32" i="78" s="1"/>
  <c r="B33" i="78" s="1"/>
  <c r="K24" i="78"/>
  <c r="Y15" i="78"/>
  <c r="X15" i="78"/>
  <c r="Y14" i="78"/>
  <c r="X14" i="78"/>
  <c r="Y13" i="78"/>
  <c r="X13" i="78"/>
  <c r="Y12" i="78"/>
  <c r="X12" i="78"/>
  <c r="Y11" i="78"/>
  <c r="X11" i="78"/>
  <c r="K10" i="78"/>
  <c r="X10" i="78" s="1"/>
  <c r="Y9" i="78"/>
  <c r="X9" i="78"/>
  <c r="K9" i="78"/>
  <c r="Y8" i="78"/>
  <c r="X8" i="78"/>
  <c r="P8" i="78"/>
  <c r="K8" i="78"/>
  <c r="K7" i="78"/>
  <c r="X7" i="78" s="1"/>
  <c r="B7" i="78"/>
  <c r="B8" i="78" s="1"/>
  <c r="B9" i="78" s="1"/>
  <c r="B10" i="78" s="1"/>
  <c r="B11" i="78" s="1"/>
  <c r="B12" i="78" s="1"/>
  <c r="B13" i="78" s="1"/>
  <c r="B14" i="78" s="1"/>
  <c r="B15" i="78" s="1"/>
  <c r="P6" i="78"/>
  <c r="K6" i="78"/>
  <c r="P4" i="78"/>
  <c r="K51" i="77"/>
  <c r="Y51" i="77" s="1"/>
  <c r="K50" i="77"/>
  <c r="Y50" i="77" s="1"/>
  <c r="K49" i="77"/>
  <c r="Y49" i="77" s="1"/>
  <c r="K48" i="77"/>
  <c r="Y48" i="77" s="1"/>
  <c r="K47" i="77"/>
  <c r="Y47" i="77" s="1"/>
  <c r="K46" i="77"/>
  <c r="Y46" i="77" s="1"/>
  <c r="K45" i="77"/>
  <c r="Y45" i="77" s="1"/>
  <c r="B45" i="77"/>
  <c r="B46" i="77" s="1"/>
  <c r="B47" i="77" s="1"/>
  <c r="B48" i="77" s="1"/>
  <c r="B49" i="77" s="1"/>
  <c r="B50" i="77" s="1"/>
  <c r="B51" i="77" s="1"/>
  <c r="K44" i="77"/>
  <c r="Y44" i="77" s="1"/>
  <c r="K43" i="77"/>
  <c r="K42" i="77"/>
  <c r="Y33" i="77"/>
  <c r="X33" i="77"/>
  <c r="Y32" i="77"/>
  <c r="X32" i="77"/>
  <c r="Y31" i="77"/>
  <c r="X31" i="77"/>
  <c r="X30" i="77"/>
  <c r="K30" i="77"/>
  <c r="Y30" i="77" s="1"/>
  <c r="K29" i="77"/>
  <c r="Y29" i="77" s="1"/>
  <c r="K28" i="77"/>
  <c r="Y28" i="77" s="1"/>
  <c r="K27" i="77"/>
  <c r="Y27" i="77" s="1"/>
  <c r="K26" i="77"/>
  <c r="Y26" i="77" s="1"/>
  <c r="K25" i="77"/>
  <c r="Y25" i="77" s="1"/>
  <c r="B25" i="77"/>
  <c r="B26" i="77" s="1"/>
  <c r="B27" i="77" s="1"/>
  <c r="B28" i="77" s="1"/>
  <c r="B29" i="77" s="1"/>
  <c r="B30" i="77" s="1"/>
  <c r="B31" i="77" s="1"/>
  <c r="B32" i="77" s="1"/>
  <c r="B33" i="77" s="1"/>
  <c r="K24" i="77"/>
  <c r="X24" i="77" s="1"/>
  <c r="Y15" i="77"/>
  <c r="X15" i="77"/>
  <c r="Y14" i="77"/>
  <c r="X14" i="77"/>
  <c r="Y13" i="77"/>
  <c r="X13" i="77"/>
  <c r="Y12" i="77"/>
  <c r="X12" i="77"/>
  <c r="Y11" i="77"/>
  <c r="X11" i="77"/>
  <c r="K10" i="77"/>
  <c r="X10" i="77" s="1"/>
  <c r="K9" i="77"/>
  <c r="X9" i="77" s="1"/>
  <c r="P8" i="77"/>
  <c r="K8" i="77"/>
  <c r="K7" i="77"/>
  <c r="X7" i="77" s="1"/>
  <c r="B7" i="77"/>
  <c r="B8" i="77" s="1"/>
  <c r="B9" i="77" s="1"/>
  <c r="B10" i="77" s="1"/>
  <c r="B11" i="77" s="1"/>
  <c r="B12" i="77" s="1"/>
  <c r="B13" i="77" s="1"/>
  <c r="B14" i="77" s="1"/>
  <c r="B15" i="77" s="1"/>
  <c r="P6" i="77"/>
  <c r="K6" i="77"/>
  <c r="P4" i="77"/>
  <c r="K51" i="76"/>
  <c r="Y51" i="76" s="1"/>
  <c r="K50" i="76"/>
  <c r="Y50" i="76" s="1"/>
  <c r="X49" i="76"/>
  <c r="K49" i="76"/>
  <c r="Y49" i="76" s="1"/>
  <c r="K48" i="76"/>
  <c r="Y48" i="76" s="1"/>
  <c r="K47" i="76"/>
  <c r="Y47" i="76" s="1"/>
  <c r="K46" i="76"/>
  <c r="K45" i="76"/>
  <c r="Y45" i="76" s="1"/>
  <c r="B45" i="76"/>
  <c r="B46" i="76" s="1"/>
  <c r="B47" i="76" s="1"/>
  <c r="B48" i="76" s="1"/>
  <c r="B49" i="76" s="1"/>
  <c r="B50" i="76" s="1"/>
  <c r="B51" i="76" s="1"/>
  <c r="K44" i="76"/>
  <c r="Y44" i="76" s="1"/>
  <c r="K43" i="76"/>
  <c r="X43" i="76" s="1"/>
  <c r="K42" i="76"/>
  <c r="X42" i="76" s="1"/>
  <c r="Y33" i="76"/>
  <c r="X33" i="76"/>
  <c r="Y32" i="76"/>
  <c r="X32" i="76"/>
  <c r="Y31" i="76"/>
  <c r="X31" i="76"/>
  <c r="K30" i="76"/>
  <c r="X30" i="76" s="1"/>
  <c r="K29" i="76"/>
  <c r="X29" i="76" s="1"/>
  <c r="K28" i="76"/>
  <c r="X28" i="76" s="1"/>
  <c r="K27" i="76"/>
  <c r="X27" i="76" s="1"/>
  <c r="K26" i="76"/>
  <c r="X26" i="76" s="1"/>
  <c r="K25" i="76"/>
  <c r="X25" i="76" s="1"/>
  <c r="B25" i="76"/>
  <c r="B26" i="76" s="1"/>
  <c r="B27" i="76" s="1"/>
  <c r="B28" i="76" s="1"/>
  <c r="B29" i="76" s="1"/>
  <c r="B30" i="76" s="1"/>
  <c r="B31" i="76" s="1"/>
  <c r="B32" i="76" s="1"/>
  <c r="B33" i="76" s="1"/>
  <c r="K24" i="76"/>
  <c r="Y15" i="76"/>
  <c r="X15" i="76"/>
  <c r="Y14" i="76"/>
  <c r="X14" i="76"/>
  <c r="Y13" i="76"/>
  <c r="X13" i="76"/>
  <c r="Y12" i="76"/>
  <c r="X12" i="76"/>
  <c r="Y11" i="76"/>
  <c r="X11" i="76"/>
  <c r="K10" i="76"/>
  <c r="X10" i="76" s="1"/>
  <c r="K9" i="76"/>
  <c r="Y9" i="76" s="1"/>
  <c r="P8" i="76"/>
  <c r="K8" i="76"/>
  <c r="Y8" i="76" s="1"/>
  <c r="K7" i="76"/>
  <c r="Y7" i="76" s="1"/>
  <c r="B7" i="76"/>
  <c r="B8" i="76" s="1"/>
  <c r="B9" i="76" s="1"/>
  <c r="B10" i="76" s="1"/>
  <c r="B11" i="76" s="1"/>
  <c r="B12" i="76" s="1"/>
  <c r="B13" i="76" s="1"/>
  <c r="B14" i="76" s="1"/>
  <c r="B15" i="76" s="1"/>
  <c r="P6" i="76"/>
  <c r="K6" i="76"/>
  <c r="Y6" i="76" s="1"/>
  <c r="P4" i="76"/>
  <c r="P8" i="75"/>
  <c r="K44" i="75"/>
  <c r="Y44" i="75" s="1"/>
  <c r="K51" i="75"/>
  <c r="Y51" i="75" s="1"/>
  <c r="K50" i="75"/>
  <c r="Y50" i="75" s="1"/>
  <c r="K49" i="75"/>
  <c r="Y49" i="75" s="1"/>
  <c r="K48" i="75"/>
  <c r="Y48" i="75" s="1"/>
  <c r="K47" i="75"/>
  <c r="Y47" i="75" s="1"/>
  <c r="K46" i="75"/>
  <c r="Y46" i="75" s="1"/>
  <c r="K45" i="75"/>
  <c r="Y45" i="75" s="1"/>
  <c r="B45" i="75"/>
  <c r="B46" i="75" s="1"/>
  <c r="B47" i="75" s="1"/>
  <c r="B48" i="75" s="1"/>
  <c r="B49" i="75" s="1"/>
  <c r="B50" i="75" s="1"/>
  <c r="B51" i="75" s="1"/>
  <c r="K43" i="75"/>
  <c r="X43" i="75" s="1"/>
  <c r="K42" i="75"/>
  <c r="X42" i="75" s="1"/>
  <c r="Y33" i="75"/>
  <c r="X33" i="75"/>
  <c r="Y32" i="75"/>
  <c r="X32" i="75"/>
  <c r="Y31" i="75"/>
  <c r="X31" i="75"/>
  <c r="K30" i="75"/>
  <c r="X30" i="75" s="1"/>
  <c r="K29" i="75"/>
  <c r="K28" i="75"/>
  <c r="X28" i="75" s="1"/>
  <c r="K27" i="75"/>
  <c r="Y26" i="75"/>
  <c r="K26" i="75"/>
  <c r="X26" i="75" s="1"/>
  <c r="K25" i="75"/>
  <c r="X25" i="75" s="1"/>
  <c r="B25" i="75"/>
  <c r="B26" i="75" s="1"/>
  <c r="B27" i="75" s="1"/>
  <c r="B28" i="75" s="1"/>
  <c r="B29" i="75" s="1"/>
  <c r="B30" i="75" s="1"/>
  <c r="B31" i="75" s="1"/>
  <c r="B32" i="75" s="1"/>
  <c r="B33" i="75" s="1"/>
  <c r="K24" i="75"/>
  <c r="Y15" i="75"/>
  <c r="X15" i="75"/>
  <c r="Y14" i="75"/>
  <c r="X14" i="75"/>
  <c r="Y13" i="75"/>
  <c r="X13" i="75"/>
  <c r="Y12" i="75"/>
  <c r="X12" i="75"/>
  <c r="Y11" i="75"/>
  <c r="X11" i="75"/>
  <c r="K10" i="75"/>
  <c r="X10" i="75" s="1"/>
  <c r="K9" i="75"/>
  <c r="X9" i="75" s="1"/>
  <c r="K8" i="75"/>
  <c r="X8" i="75" s="1"/>
  <c r="K7" i="75"/>
  <c r="X7" i="75" s="1"/>
  <c r="B7" i="75"/>
  <c r="B8" i="75" s="1"/>
  <c r="B9" i="75" s="1"/>
  <c r="B10" i="75" s="1"/>
  <c r="B11" i="75" s="1"/>
  <c r="B12" i="75" s="1"/>
  <c r="B13" i="75" s="1"/>
  <c r="B14" i="75" s="1"/>
  <c r="B15" i="75" s="1"/>
  <c r="P6" i="75"/>
  <c r="K6" i="75"/>
  <c r="X6" i="75" s="1"/>
  <c r="P4" i="75"/>
  <c r="K6" i="74"/>
  <c r="X6" i="74" s="1"/>
  <c r="P8" i="74"/>
  <c r="P6" i="74"/>
  <c r="P4" i="74"/>
  <c r="P8" i="72"/>
  <c r="P6" i="72"/>
  <c r="P4" i="72"/>
  <c r="K51" i="74"/>
  <c r="Y51" i="74" s="1"/>
  <c r="K50" i="74"/>
  <c r="Y50" i="74" s="1"/>
  <c r="K49" i="74"/>
  <c r="Y49" i="74" s="1"/>
  <c r="K48" i="74"/>
  <c r="Y48" i="74" s="1"/>
  <c r="K47" i="74"/>
  <c r="K46" i="74"/>
  <c r="Y46" i="74" s="1"/>
  <c r="K45" i="74"/>
  <c r="B45" i="74"/>
  <c r="B46" i="74" s="1"/>
  <c r="B47" i="74" s="1"/>
  <c r="B48" i="74" s="1"/>
  <c r="B49" i="74" s="1"/>
  <c r="B50" i="74" s="1"/>
  <c r="B51" i="74" s="1"/>
  <c r="K44" i="74"/>
  <c r="Y44" i="74" s="1"/>
  <c r="K43" i="74"/>
  <c r="X43" i="74" s="1"/>
  <c r="K42" i="74"/>
  <c r="Y42" i="74" s="1"/>
  <c r="Y33" i="74"/>
  <c r="X33" i="74"/>
  <c r="Y32" i="74"/>
  <c r="X32" i="74"/>
  <c r="Y31" i="74"/>
  <c r="X31" i="74"/>
  <c r="X30" i="74"/>
  <c r="K30" i="74"/>
  <c r="Y30" i="74" s="1"/>
  <c r="K29" i="74"/>
  <c r="Y28" i="74"/>
  <c r="X28" i="74"/>
  <c r="K28" i="74"/>
  <c r="K27" i="74"/>
  <c r="Y27" i="74" s="1"/>
  <c r="K26" i="74"/>
  <c r="X26" i="74" s="1"/>
  <c r="K25" i="74"/>
  <c r="B25" i="74"/>
  <c r="B26" i="74" s="1"/>
  <c r="B27" i="74" s="1"/>
  <c r="B28" i="74" s="1"/>
  <c r="B29" i="74" s="1"/>
  <c r="B30" i="74" s="1"/>
  <c r="B31" i="74" s="1"/>
  <c r="B32" i="74" s="1"/>
  <c r="B33" i="74" s="1"/>
  <c r="K24" i="74"/>
  <c r="X24" i="74" s="1"/>
  <c r="Y15" i="74"/>
  <c r="X15" i="74"/>
  <c r="Y14" i="74"/>
  <c r="X14" i="74"/>
  <c r="Y13" i="74"/>
  <c r="X13" i="74"/>
  <c r="Y12" i="74"/>
  <c r="X12" i="74"/>
  <c r="Y11" i="74"/>
  <c r="X11" i="74"/>
  <c r="K10" i="74"/>
  <c r="X10" i="74" s="1"/>
  <c r="K9" i="74"/>
  <c r="X9" i="74" s="1"/>
  <c r="K8" i="74"/>
  <c r="X8" i="74" s="1"/>
  <c r="K7" i="74"/>
  <c r="Y7" i="74" s="1"/>
  <c r="B7" i="74"/>
  <c r="B8" i="74" s="1"/>
  <c r="B9" i="74" s="1"/>
  <c r="B10" i="74" s="1"/>
  <c r="B11" i="74" s="1"/>
  <c r="B12" i="74" s="1"/>
  <c r="B13" i="74" s="1"/>
  <c r="B14" i="74" s="1"/>
  <c r="B15" i="74" s="1"/>
  <c r="Y33" i="73"/>
  <c r="X33" i="73"/>
  <c r="Y32" i="73"/>
  <c r="X32" i="73"/>
  <c r="Y31" i="73"/>
  <c r="X31" i="73"/>
  <c r="Y15" i="73"/>
  <c r="X15" i="73"/>
  <c r="Y14" i="73"/>
  <c r="X14" i="73"/>
  <c r="Y13" i="73"/>
  <c r="X13" i="73"/>
  <c r="Y12" i="73"/>
  <c r="X12" i="73"/>
  <c r="Y11" i="73"/>
  <c r="X11" i="73"/>
  <c r="P8" i="73"/>
  <c r="P6" i="73"/>
  <c r="P4" i="73"/>
  <c r="Y15" i="72"/>
  <c r="X15" i="72"/>
  <c r="Y14" i="72"/>
  <c r="X14" i="72"/>
  <c r="Y13" i="72"/>
  <c r="X13" i="72"/>
  <c r="Y12" i="72"/>
  <c r="X12" i="72"/>
  <c r="Y11" i="72"/>
  <c r="X11" i="72"/>
  <c r="Y33" i="72"/>
  <c r="Y32" i="72"/>
  <c r="Y31" i="72"/>
  <c r="X33" i="72"/>
  <c r="X32" i="72"/>
  <c r="X31" i="72"/>
  <c r="X46" i="74" l="1"/>
  <c r="X49" i="75"/>
  <c r="X49" i="81"/>
  <c r="Y29" i="82"/>
  <c r="X47" i="85"/>
  <c r="Y43" i="86"/>
  <c r="X28" i="88"/>
  <c r="X29" i="77"/>
  <c r="X29" i="79"/>
  <c r="X51" i="79"/>
  <c r="X6" i="80"/>
  <c r="X45" i="80"/>
  <c r="X47" i="81"/>
  <c r="Y10" i="82"/>
  <c r="Y27" i="82"/>
  <c r="X51" i="82"/>
  <c r="X46" i="83"/>
  <c r="X27" i="84"/>
  <c r="X45" i="85"/>
  <c r="Y51" i="86"/>
  <c r="X9" i="88"/>
  <c r="K34" i="88"/>
  <c r="X26" i="88"/>
  <c r="Y9" i="89"/>
  <c r="X6" i="90"/>
  <c r="X29" i="91"/>
  <c r="X10" i="92"/>
  <c r="X46" i="92"/>
  <c r="X50" i="92"/>
  <c r="Y27" i="95"/>
  <c r="X30" i="95"/>
  <c r="X10" i="96"/>
  <c r="Y49" i="96"/>
  <c r="X7" i="97"/>
  <c r="X9" i="97"/>
  <c r="Y29" i="97"/>
  <c r="X28" i="99"/>
  <c r="X27" i="100"/>
  <c r="X46" i="100"/>
  <c r="X48" i="100"/>
  <c r="X50" i="100"/>
  <c r="Y43" i="101"/>
  <c r="Y30" i="79"/>
  <c r="X45" i="79"/>
  <c r="X47" i="80"/>
  <c r="K52" i="82"/>
  <c r="X48" i="83"/>
  <c r="X28" i="86"/>
  <c r="Y45" i="86"/>
  <c r="X46" i="88"/>
  <c r="Y30" i="75"/>
  <c r="Y28" i="75"/>
  <c r="X51" i="76"/>
  <c r="X49" i="79"/>
  <c r="X51" i="80"/>
  <c r="X49" i="82"/>
  <c r="Y30" i="92"/>
  <c r="X6" i="100"/>
  <c r="X29" i="102"/>
  <c r="Y50" i="103"/>
  <c r="Q10" i="104"/>
  <c r="T10" i="104" s="1"/>
  <c r="R12" i="104" s="1"/>
  <c r="Y43" i="103"/>
  <c r="Y47" i="103"/>
  <c r="Y49" i="103"/>
  <c r="Y51" i="103"/>
  <c r="Y6" i="103"/>
  <c r="Y16" i="103" s="1"/>
  <c r="R4" i="103" s="1"/>
  <c r="Y45" i="103"/>
  <c r="Y44" i="103"/>
  <c r="P10" i="103"/>
  <c r="X9" i="103"/>
  <c r="X16" i="103" s="1"/>
  <c r="Q4" i="103" s="1"/>
  <c r="T4" i="103" s="1"/>
  <c r="Y34" i="103"/>
  <c r="R6" i="103" s="1"/>
  <c r="X52" i="103"/>
  <c r="Q8" i="103" s="1"/>
  <c r="T8" i="103" s="1"/>
  <c r="K52" i="103"/>
  <c r="K16" i="103"/>
  <c r="X24" i="103"/>
  <c r="X25" i="103"/>
  <c r="X26" i="103"/>
  <c r="X27" i="103"/>
  <c r="X28" i="103"/>
  <c r="X29" i="103"/>
  <c r="X30" i="103"/>
  <c r="Y42" i="103"/>
  <c r="K34" i="103"/>
  <c r="X27" i="75"/>
  <c r="Y27" i="75"/>
  <c r="X51" i="75"/>
  <c r="Y45" i="78"/>
  <c r="X45" i="78"/>
  <c r="Y49" i="78"/>
  <c r="X49" i="78"/>
  <c r="X27" i="74"/>
  <c r="X29" i="74"/>
  <c r="X34" i="74" s="1"/>
  <c r="Y29" i="74"/>
  <c r="Y47" i="74"/>
  <c r="X47" i="74"/>
  <c r="P10" i="75"/>
  <c r="X43" i="77"/>
  <c r="Y43" i="77"/>
  <c r="X7" i="74"/>
  <c r="Y25" i="74"/>
  <c r="X25" i="74"/>
  <c r="Y45" i="74"/>
  <c r="X45" i="74"/>
  <c r="X47" i="75"/>
  <c r="X48" i="76"/>
  <c r="X50" i="76"/>
  <c r="X8" i="77"/>
  <c r="Y8" i="77"/>
  <c r="Y47" i="78"/>
  <c r="X47" i="78"/>
  <c r="Y51" i="78"/>
  <c r="X51" i="78"/>
  <c r="X29" i="75"/>
  <c r="Y29" i="75"/>
  <c r="Y46" i="76"/>
  <c r="X46" i="76"/>
  <c r="X48" i="75"/>
  <c r="X50" i="75"/>
  <c r="Y10" i="78"/>
  <c r="X46" i="78"/>
  <c r="X48" i="78"/>
  <c r="X50" i="78"/>
  <c r="X9" i="79"/>
  <c r="X25" i="79"/>
  <c r="X34" i="79" s="1"/>
  <c r="Q6" i="79" s="1"/>
  <c r="T6" i="79" s="1"/>
  <c r="Y27" i="79"/>
  <c r="Y9" i="81"/>
  <c r="X8" i="82"/>
  <c r="Y28" i="83"/>
  <c r="Y28" i="84"/>
  <c r="Y28" i="85"/>
  <c r="Y29" i="88"/>
  <c r="Y10" i="89"/>
  <c r="X46" i="89"/>
  <c r="X48" i="89"/>
  <c r="X50" i="89"/>
  <c r="X46" i="91"/>
  <c r="X48" i="91"/>
  <c r="X50" i="91"/>
  <c r="K16" i="92"/>
  <c r="X8" i="92"/>
  <c r="X16" i="92" s="1"/>
  <c r="Q4" i="92" s="1"/>
  <c r="T4" i="92" s="1"/>
  <c r="X27" i="92"/>
  <c r="Y47" i="92"/>
  <c r="Y51" i="92"/>
  <c r="Y29" i="93"/>
  <c r="X28" i="94"/>
  <c r="X30" i="94"/>
  <c r="Y28" i="95"/>
  <c r="Y27" i="96"/>
  <c r="Y46" i="96"/>
  <c r="Y50" i="96"/>
  <c r="X26" i="97"/>
  <c r="Y30" i="97"/>
  <c r="X45" i="97"/>
  <c r="X47" i="97"/>
  <c r="X49" i="97"/>
  <c r="X51" i="97"/>
  <c r="Y29" i="98"/>
  <c r="X8" i="99"/>
  <c r="Y24" i="99"/>
  <c r="X46" i="99"/>
  <c r="X48" i="99"/>
  <c r="X50" i="99"/>
  <c r="X9" i="100"/>
  <c r="X9" i="101"/>
  <c r="Y47" i="101"/>
  <c r="Y49" i="101"/>
  <c r="Y51" i="101"/>
  <c r="K34" i="97"/>
  <c r="X28" i="79"/>
  <c r="X10" i="81"/>
  <c r="X46" i="81"/>
  <c r="X48" i="81"/>
  <c r="X50" i="81"/>
  <c r="Y16" i="82"/>
  <c r="R4" i="82" s="1"/>
  <c r="X9" i="82"/>
  <c r="Y28" i="82"/>
  <c r="Y30" i="82"/>
  <c r="X45" i="82"/>
  <c r="X9" i="83"/>
  <c r="K34" i="83"/>
  <c r="X26" i="83"/>
  <c r="X29" i="83"/>
  <c r="X45" i="83"/>
  <c r="X47" i="83"/>
  <c r="X49" i="83"/>
  <c r="X51" i="83"/>
  <c r="X29" i="84"/>
  <c r="X7" i="85"/>
  <c r="X29" i="85"/>
  <c r="X46" i="85"/>
  <c r="X48" i="85"/>
  <c r="X50" i="85"/>
  <c r="Y7" i="86"/>
  <c r="X29" i="86"/>
  <c r="X30" i="88"/>
  <c r="X45" i="89"/>
  <c r="X47" i="89"/>
  <c r="X49" i="89"/>
  <c r="X51" i="89"/>
  <c r="X28" i="91"/>
  <c r="X45" i="91"/>
  <c r="X47" i="91"/>
  <c r="X49" i="91"/>
  <c r="X51" i="91"/>
  <c r="Y9" i="92"/>
  <c r="X28" i="92"/>
  <c r="X48" i="92"/>
  <c r="X30" i="93"/>
  <c r="X27" i="94"/>
  <c r="X29" i="94"/>
  <c r="X29" i="95"/>
  <c r="X9" i="96"/>
  <c r="X28" i="96"/>
  <c r="X43" i="96"/>
  <c r="X47" i="96"/>
  <c r="X51" i="96"/>
  <c r="X27" i="97"/>
  <c r="X46" i="97"/>
  <c r="X48" i="97"/>
  <c r="X50" i="97"/>
  <c r="X30" i="98"/>
  <c r="X9" i="99"/>
  <c r="X29" i="99"/>
  <c r="X34" i="99" s="1"/>
  <c r="Q6" i="99" s="1"/>
  <c r="T6" i="99" s="1"/>
  <c r="X45" i="99"/>
  <c r="X47" i="99"/>
  <c r="X49" i="99"/>
  <c r="X51" i="99"/>
  <c r="X28" i="100"/>
  <c r="Y46" i="101"/>
  <c r="Y48" i="101"/>
  <c r="Y50" i="101"/>
  <c r="K34" i="76"/>
  <c r="X46" i="79"/>
  <c r="X48" i="79"/>
  <c r="X50" i="79"/>
  <c r="X46" i="80"/>
  <c r="X48" i="80"/>
  <c r="X50" i="80"/>
  <c r="X48" i="82"/>
  <c r="X50" i="82"/>
  <c r="X9" i="84"/>
  <c r="X9" i="85"/>
  <c r="X10" i="86"/>
  <c r="Y46" i="86"/>
  <c r="Y48" i="86"/>
  <c r="Y50" i="86"/>
  <c r="X45" i="88"/>
  <c r="X47" i="88"/>
  <c r="X49" i="88"/>
  <c r="X51" i="88"/>
  <c r="Y43" i="90"/>
  <c r="X44" i="91"/>
  <c r="X25" i="94"/>
  <c r="Y42" i="102"/>
  <c r="K34" i="102"/>
  <c r="X25" i="102"/>
  <c r="X27" i="102"/>
  <c r="X26" i="102"/>
  <c r="X6" i="102"/>
  <c r="X7" i="102"/>
  <c r="X8" i="102"/>
  <c r="X9" i="102"/>
  <c r="P10" i="102"/>
  <c r="Y24" i="102"/>
  <c r="Y34" i="102" s="1"/>
  <c r="R6" i="102" s="1"/>
  <c r="X44" i="102"/>
  <c r="X45" i="102"/>
  <c r="X46" i="102"/>
  <c r="X47" i="102"/>
  <c r="X48" i="102"/>
  <c r="X49" i="102"/>
  <c r="X50" i="102"/>
  <c r="X51" i="102"/>
  <c r="K16" i="102"/>
  <c r="Y10" i="102"/>
  <c r="Y16" i="102" s="1"/>
  <c r="R4" i="102" s="1"/>
  <c r="Y43" i="102"/>
  <c r="K52" i="102"/>
  <c r="Y45" i="101"/>
  <c r="K34" i="101"/>
  <c r="K52" i="101"/>
  <c r="Y44" i="101"/>
  <c r="P10" i="101"/>
  <c r="K16" i="101"/>
  <c r="X10" i="101"/>
  <c r="Y7" i="101"/>
  <c r="Y16" i="101" s="1"/>
  <c r="R4" i="101" s="1"/>
  <c r="X6" i="101"/>
  <c r="Y24" i="101"/>
  <c r="Y25" i="101"/>
  <c r="Y26" i="101"/>
  <c r="Y27" i="101"/>
  <c r="Y28" i="101"/>
  <c r="Y29" i="101"/>
  <c r="Y30" i="101"/>
  <c r="X24" i="101"/>
  <c r="X34" i="101" s="1"/>
  <c r="Q6" i="101" s="1"/>
  <c r="T6" i="101" s="1"/>
  <c r="Y42" i="101"/>
  <c r="X42" i="101"/>
  <c r="X52" i="101" s="1"/>
  <c r="Q8" i="101" s="1"/>
  <c r="T8" i="101" s="1"/>
  <c r="X44" i="100"/>
  <c r="K34" i="100"/>
  <c r="X42" i="100"/>
  <c r="P10" i="100"/>
  <c r="Y24" i="100"/>
  <c r="Y25" i="100"/>
  <c r="X24" i="100"/>
  <c r="X7" i="100"/>
  <c r="X8" i="100"/>
  <c r="K16" i="100"/>
  <c r="Y10" i="100"/>
  <c r="Y16" i="100" s="1"/>
  <c r="R4" i="100" s="1"/>
  <c r="Y43" i="100"/>
  <c r="Y52" i="100" s="1"/>
  <c r="R8" i="100" s="1"/>
  <c r="K52" i="100"/>
  <c r="X7" i="99"/>
  <c r="Y25" i="99"/>
  <c r="P10" i="99"/>
  <c r="K52" i="99"/>
  <c r="X44" i="99"/>
  <c r="Y26" i="99"/>
  <c r="K34" i="99"/>
  <c r="X6" i="99"/>
  <c r="Y10" i="99"/>
  <c r="Y16" i="99" s="1"/>
  <c r="R4" i="99" s="1"/>
  <c r="X42" i="99"/>
  <c r="Y43" i="99"/>
  <c r="Y52" i="99" s="1"/>
  <c r="R8" i="99" s="1"/>
  <c r="K16" i="99"/>
  <c r="Y27" i="98"/>
  <c r="K52" i="98"/>
  <c r="X25" i="98"/>
  <c r="K34" i="98"/>
  <c r="X24" i="98"/>
  <c r="Y24" i="98"/>
  <c r="Y42" i="98"/>
  <c r="X42" i="98"/>
  <c r="X6" i="98"/>
  <c r="P10" i="98"/>
  <c r="X7" i="98"/>
  <c r="X8" i="98"/>
  <c r="X9" i="98"/>
  <c r="X44" i="98"/>
  <c r="X45" i="98"/>
  <c r="X46" i="98"/>
  <c r="X47" i="98"/>
  <c r="X48" i="98"/>
  <c r="X49" i="98"/>
  <c r="X50" i="98"/>
  <c r="X51" i="98"/>
  <c r="K16" i="98"/>
  <c r="Y10" i="98"/>
  <c r="Y16" i="98" s="1"/>
  <c r="R4" i="98" s="1"/>
  <c r="Y43" i="98"/>
  <c r="K52" i="97"/>
  <c r="X6" i="97"/>
  <c r="Y42" i="97"/>
  <c r="P10" i="97"/>
  <c r="X42" i="97"/>
  <c r="X44" i="97"/>
  <c r="Y24" i="97"/>
  <c r="Y34" i="97" s="1"/>
  <c r="R6" i="97" s="1"/>
  <c r="Y25" i="97"/>
  <c r="X24" i="97"/>
  <c r="X34" i="97" s="1"/>
  <c r="Q6" i="97" s="1"/>
  <c r="T6" i="97" s="1"/>
  <c r="X8" i="97"/>
  <c r="X16" i="97" s="1"/>
  <c r="Q4" i="97" s="1"/>
  <c r="T4" i="97" s="1"/>
  <c r="X52" i="97"/>
  <c r="Q8" i="97" s="1"/>
  <c r="T8" i="97" s="1"/>
  <c r="K16" i="97"/>
  <c r="Y10" i="97"/>
  <c r="Y16" i="97" s="1"/>
  <c r="R4" i="97" s="1"/>
  <c r="Y43" i="97"/>
  <c r="K34" i="96"/>
  <c r="X8" i="96"/>
  <c r="X7" i="96"/>
  <c r="P10" i="96"/>
  <c r="K16" i="96"/>
  <c r="Y6" i="96"/>
  <c r="Y16" i="96" s="1"/>
  <c r="R4" i="96" s="1"/>
  <c r="Y24" i="96"/>
  <c r="Y25" i="96"/>
  <c r="X24" i="96"/>
  <c r="X34" i="96" s="1"/>
  <c r="Q6" i="96" s="1"/>
  <c r="T6" i="96" s="1"/>
  <c r="Y44" i="96"/>
  <c r="Y45" i="96"/>
  <c r="K52" i="96"/>
  <c r="Y42" i="96"/>
  <c r="X42" i="96"/>
  <c r="X7" i="95"/>
  <c r="X24" i="95"/>
  <c r="X34" i="95" s="1"/>
  <c r="Q6" i="95" s="1"/>
  <c r="T6" i="95" s="1"/>
  <c r="X6" i="95"/>
  <c r="Y26" i="95"/>
  <c r="Y34" i="95" s="1"/>
  <c r="R6" i="95" s="1"/>
  <c r="K34" i="95"/>
  <c r="K52" i="95"/>
  <c r="X8" i="95"/>
  <c r="X9" i="95"/>
  <c r="P10" i="95"/>
  <c r="X44" i="95"/>
  <c r="X45" i="95"/>
  <c r="X46" i="95"/>
  <c r="X47" i="95"/>
  <c r="X48" i="95"/>
  <c r="X49" i="95"/>
  <c r="X50" i="95"/>
  <c r="X51" i="95"/>
  <c r="K16" i="95"/>
  <c r="Y10" i="95"/>
  <c r="Y16" i="95" s="1"/>
  <c r="R4" i="95" s="1"/>
  <c r="X42" i="95"/>
  <c r="Y43" i="95"/>
  <c r="Y52" i="95" s="1"/>
  <c r="R8" i="95" s="1"/>
  <c r="Y42" i="94"/>
  <c r="Y43" i="94"/>
  <c r="K52" i="94"/>
  <c r="X26" i="94"/>
  <c r="P10" i="94"/>
  <c r="X24" i="94"/>
  <c r="X16" i="94"/>
  <c r="Q4" i="94" s="1"/>
  <c r="T4" i="94" s="1"/>
  <c r="Y34" i="94"/>
  <c r="R6" i="94" s="1"/>
  <c r="K16" i="94"/>
  <c r="Y10" i="94"/>
  <c r="K34" i="94"/>
  <c r="Y6" i="94"/>
  <c r="Y7" i="94"/>
  <c r="Y8" i="94"/>
  <c r="Y9" i="94"/>
  <c r="Y44" i="94"/>
  <c r="Y45" i="94"/>
  <c r="Y46" i="94"/>
  <c r="Y47" i="94"/>
  <c r="Y48" i="94"/>
  <c r="Y49" i="94"/>
  <c r="Y50" i="94"/>
  <c r="X51" i="94"/>
  <c r="X52" i="94" s="1"/>
  <c r="Q8" i="94" s="1"/>
  <c r="K34" i="93"/>
  <c r="X26" i="93"/>
  <c r="K52" i="93"/>
  <c r="Y42" i="93"/>
  <c r="X42" i="93"/>
  <c r="Y24" i="93"/>
  <c r="Y25" i="93"/>
  <c r="X24" i="93"/>
  <c r="X6" i="93"/>
  <c r="P10" i="93"/>
  <c r="X7" i="93"/>
  <c r="X8" i="93"/>
  <c r="X9" i="93"/>
  <c r="X44" i="93"/>
  <c r="X45" i="93"/>
  <c r="X46" i="93"/>
  <c r="X47" i="93"/>
  <c r="X48" i="93"/>
  <c r="X49" i="93"/>
  <c r="X50" i="93"/>
  <c r="X51" i="93"/>
  <c r="K16" i="93"/>
  <c r="Y10" i="93"/>
  <c r="Y16" i="93" s="1"/>
  <c r="R4" i="93" s="1"/>
  <c r="Y43" i="93"/>
  <c r="Y44" i="92"/>
  <c r="K52" i="92"/>
  <c r="X34" i="92"/>
  <c r="Q6" i="92" s="1"/>
  <c r="T6" i="92" s="1"/>
  <c r="Y24" i="92"/>
  <c r="X43" i="92"/>
  <c r="Y25" i="92"/>
  <c r="Y26" i="92"/>
  <c r="K34" i="92"/>
  <c r="P10" i="92"/>
  <c r="Y6" i="92"/>
  <c r="Y16" i="92" s="1"/>
  <c r="R4" i="92" s="1"/>
  <c r="Y42" i="92"/>
  <c r="X42" i="92"/>
  <c r="Y27" i="91"/>
  <c r="K52" i="91"/>
  <c r="X26" i="91"/>
  <c r="K34" i="91"/>
  <c r="Y42" i="91"/>
  <c r="X42" i="91"/>
  <c r="X52" i="91" s="1"/>
  <c r="Q8" i="91" s="1"/>
  <c r="T8" i="91" s="1"/>
  <c r="Y24" i="91"/>
  <c r="Y25" i="91"/>
  <c r="X24" i="91"/>
  <c r="P10" i="91"/>
  <c r="X6" i="91"/>
  <c r="X7" i="91"/>
  <c r="X7" i="90"/>
  <c r="X8" i="91"/>
  <c r="X16" i="91" s="1"/>
  <c r="Q4" i="91" s="1"/>
  <c r="X9" i="91"/>
  <c r="K16" i="91"/>
  <c r="Y10" i="91"/>
  <c r="Y16" i="91" s="1"/>
  <c r="R4" i="91" s="1"/>
  <c r="Y43" i="91"/>
  <c r="X42" i="90"/>
  <c r="K34" i="90"/>
  <c r="Y52" i="90"/>
  <c r="R8" i="90" s="1"/>
  <c r="X8" i="90"/>
  <c r="X9" i="90"/>
  <c r="P10" i="90"/>
  <c r="Y24" i="90"/>
  <c r="Y25" i="90"/>
  <c r="Y26" i="90"/>
  <c r="Y27" i="90"/>
  <c r="Y28" i="90"/>
  <c r="Y29" i="90"/>
  <c r="Y30" i="90"/>
  <c r="X44" i="90"/>
  <c r="X45" i="90"/>
  <c r="X46" i="90"/>
  <c r="X47" i="90"/>
  <c r="X48" i="90"/>
  <c r="X49" i="90"/>
  <c r="X50" i="90"/>
  <c r="X51" i="90"/>
  <c r="K16" i="90"/>
  <c r="X24" i="90"/>
  <c r="X34" i="90" s="1"/>
  <c r="Q6" i="90" s="1"/>
  <c r="T6" i="90" s="1"/>
  <c r="Y10" i="90"/>
  <c r="Y16" i="90" s="1"/>
  <c r="R4" i="90" s="1"/>
  <c r="K52" i="90"/>
  <c r="K16" i="89"/>
  <c r="K52" i="89"/>
  <c r="K34" i="89"/>
  <c r="Y6" i="89"/>
  <c r="Y7" i="89"/>
  <c r="X6" i="89"/>
  <c r="X16" i="89" s="1"/>
  <c r="Q4" i="89" s="1"/>
  <c r="Y8" i="89"/>
  <c r="Y42" i="89"/>
  <c r="X42" i="89"/>
  <c r="X44" i="89"/>
  <c r="P10" i="89"/>
  <c r="Y24" i="89"/>
  <c r="Y25" i="89"/>
  <c r="Y26" i="89"/>
  <c r="Y27" i="89"/>
  <c r="Y28" i="89"/>
  <c r="Y29" i="89"/>
  <c r="Y30" i="89"/>
  <c r="X24" i="89"/>
  <c r="X34" i="89" s="1"/>
  <c r="Q6" i="89" s="1"/>
  <c r="T6" i="89" s="1"/>
  <c r="Y43" i="89"/>
  <c r="X7" i="88"/>
  <c r="X6" i="88"/>
  <c r="P10" i="88"/>
  <c r="Y42" i="88"/>
  <c r="X44" i="88"/>
  <c r="Y27" i="88"/>
  <c r="Y24" i="88"/>
  <c r="Y25" i="88"/>
  <c r="X24" i="88"/>
  <c r="X34" i="88" s="1"/>
  <c r="Q6" i="88" s="1"/>
  <c r="T6" i="88" s="1"/>
  <c r="X8" i="88"/>
  <c r="K16" i="88"/>
  <c r="Y10" i="88"/>
  <c r="Y16" i="88" s="1"/>
  <c r="R4" i="88" s="1"/>
  <c r="Y43" i="88"/>
  <c r="K52" i="88"/>
  <c r="K16" i="87"/>
  <c r="Y7" i="87"/>
  <c r="X42" i="87"/>
  <c r="Y43" i="87"/>
  <c r="Y52" i="87" s="1"/>
  <c r="R8" i="87" s="1"/>
  <c r="K34" i="87"/>
  <c r="Y9" i="87"/>
  <c r="Y6" i="87"/>
  <c r="Y10" i="87"/>
  <c r="X6" i="87"/>
  <c r="X16" i="87" s="1"/>
  <c r="Q4" i="87" s="1"/>
  <c r="T4" i="87" s="1"/>
  <c r="Y8" i="87"/>
  <c r="P10" i="87"/>
  <c r="Y24" i="87"/>
  <c r="Y25" i="87"/>
  <c r="Y26" i="87"/>
  <c r="Y27" i="87"/>
  <c r="Y28" i="87"/>
  <c r="Y29" i="87"/>
  <c r="Y30" i="87"/>
  <c r="X44" i="87"/>
  <c r="X45" i="87"/>
  <c r="X46" i="87"/>
  <c r="X47" i="87"/>
  <c r="X48" i="87"/>
  <c r="X49" i="87"/>
  <c r="X50" i="87"/>
  <c r="X51" i="87"/>
  <c r="X24" i="87"/>
  <c r="X34" i="87" s="1"/>
  <c r="Q6" i="87" s="1"/>
  <c r="T6" i="87" s="1"/>
  <c r="K52" i="87"/>
  <c r="X27" i="86"/>
  <c r="Y44" i="86"/>
  <c r="Y9" i="86"/>
  <c r="K16" i="86"/>
  <c r="Y8" i="86"/>
  <c r="K52" i="86"/>
  <c r="X25" i="86"/>
  <c r="P10" i="86"/>
  <c r="K34" i="86"/>
  <c r="X26" i="86"/>
  <c r="Y6" i="86"/>
  <c r="X6" i="86"/>
  <c r="X16" i="86" s="1"/>
  <c r="Q4" i="86" s="1"/>
  <c r="Y24" i="86"/>
  <c r="Y34" i="86" s="1"/>
  <c r="R6" i="86" s="1"/>
  <c r="Y42" i="86"/>
  <c r="X42" i="86"/>
  <c r="X52" i="86" s="1"/>
  <c r="Q8" i="86" s="1"/>
  <c r="T8" i="86" s="1"/>
  <c r="K52" i="85"/>
  <c r="Y25" i="85"/>
  <c r="X6" i="85"/>
  <c r="X24" i="85"/>
  <c r="X34" i="85" s="1"/>
  <c r="Q6" i="85" s="1"/>
  <c r="T6" i="85" s="1"/>
  <c r="P10" i="85"/>
  <c r="Y26" i="85"/>
  <c r="K34" i="85"/>
  <c r="Y10" i="85"/>
  <c r="Y16" i="85" s="1"/>
  <c r="R4" i="85" s="1"/>
  <c r="X42" i="85"/>
  <c r="Y43" i="85"/>
  <c r="Y52" i="85" s="1"/>
  <c r="R8" i="85" s="1"/>
  <c r="K16" i="85"/>
  <c r="X34" i="84"/>
  <c r="Q6" i="84" s="1"/>
  <c r="T6" i="84" s="1"/>
  <c r="K52" i="84"/>
  <c r="Y24" i="84"/>
  <c r="Y25" i="84"/>
  <c r="Y26" i="84"/>
  <c r="K34" i="84"/>
  <c r="X6" i="84"/>
  <c r="P10" i="84"/>
  <c r="X7" i="84"/>
  <c r="X8" i="84"/>
  <c r="X44" i="84"/>
  <c r="X45" i="84"/>
  <c r="X46" i="84"/>
  <c r="X47" i="84"/>
  <c r="X48" i="84"/>
  <c r="X49" i="84"/>
  <c r="X50" i="84"/>
  <c r="X51" i="84"/>
  <c r="K16" i="84"/>
  <c r="Y10" i="84"/>
  <c r="Y16" i="84" s="1"/>
  <c r="R4" i="84" s="1"/>
  <c r="X42" i="84"/>
  <c r="Y43" i="84"/>
  <c r="Y52" i="84" s="1"/>
  <c r="R8" i="84" s="1"/>
  <c r="Y42" i="83"/>
  <c r="X44" i="83"/>
  <c r="Y24" i="83"/>
  <c r="Y25" i="83"/>
  <c r="X24" i="83"/>
  <c r="X34" i="83" s="1"/>
  <c r="Q6" i="83" s="1"/>
  <c r="T6" i="83" s="1"/>
  <c r="P10" i="83"/>
  <c r="X7" i="83"/>
  <c r="X6" i="83"/>
  <c r="X52" i="83"/>
  <c r="Q8" i="83" s="1"/>
  <c r="T8" i="83" s="1"/>
  <c r="X8" i="83"/>
  <c r="K16" i="83"/>
  <c r="Y10" i="83"/>
  <c r="Y16" i="83" s="1"/>
  <c r="R4" i="83" s="1"/>
  <c r="Y43" i="83"/>
  <c r="K52" i="83"/>
  <c r="Y26" i="82"/>
  <c r="K34" i="82"/>
  <c r="Y25" i="82"/>
  <c r="Y42" i="82"/>
  <c r="X46" i="82"/>
  <c r="X42" i="82"/>
  <c r="X44" i="82"/>
  <c r="Y24" i="82"/>
  <c r="X6" i="82"/>
  <c r="X7" i="82"/>
  <c r="P10" i="82"/>
  <c r="K16" i="82"/>
  <c r="X24" i="82"/>
  <c r="X34" i="82" s="1"/>
  <c r="Q6" i="82" s="1"/>
  <c r="T6" i="82" s="1"/>
  <c r="Y43" i="82"/>
  <c r="X7" i="81"/>
  <c r="X16" i="81" s="1"/>
  <c r="Q4" i="81" s="1"/>
  <c r="K16" i="81"/>
  <c r="X45" i="81"/>
  <c r="K52" i="81"/>
  <c r="X44" i="81"/>
  <c r="K34" i="81"/>
  <c r="Y6" i="81"/>
  <c r="Y16" i="81" s="1"/>
  <c r="R4" i="81" s="1"/>
  <c r="Y42" i="81"/>
  <c r="X42" i="81"/>
  <c r="P10" i="81"/>
  <c r="Y24" i="81"/>
  <c r="Y25" i="81"/>
  <c r="Y26" i="81"/>
  <c r="Y27" i="81"/>
  <c r="Y28" i="81"/>
  <c r="Y29" i="81"/>
  <c r="Y30" i="81"/>
  <c r="X24" i="81"/>
  <c r="X34" i="81" s="1"/>
  <c r="Q6" i="81" s="1"/>
  <c r="T6" i="81" s="1"/>
  <c r="Y43" i="81"/>
  <c r="K52" i="80"/>
  <c r="X7" i="80"/>
  <c r="K34" i="80"/>
  <c r="Y42" i="80"/>
  <c r="X42" i="80"/>
  <c r="X44" i="80"/>
  <c r="X52" i="80" s="1"/>
  <c r="Q8" i="80" s="1"/>
  <c r="T8" i="80" s="1"/>
  <c r="X8" i="80"/>
  <c r="X9" i="80"/>
  <c r="P10" i="80"/>
  <c r="Y24" i="80"/>
  <c r="Y25" i="80"/>
  <c r="Y26" i="80"/>
  <c r="Y27" i="80"/>
  <c r="Y28" i="80"/>
  <c r="Y29" i="80"/>
  <c r="Y30" i="80"/>
  <c r="K16" i="80"/>
  <c r="X24" i="80"/>
  <c r="X34" i="80" s="1"/>
  <c r="Q6" i="80" s="1"/>
  <c r="T6" i="80" s="1"/>
  <c r="Y10" i="80"/>
  <c r="Y16" i="80" s="1"/>
  <c r="R4" i="80" s="1"/>
  <c r="Y43" i="80"/>
  <c r="K52" i="79"/>
  <c r="K34" i="79"/>
  <c r="X24" i="79"/>
  <c r="X6" i="79"/>
  <c r="P10" i="79"/>
  <c r="X7" i="79"/>
  <c r="Y26" i="79"/>
  <c r="Y34" i="79" s="1"/>
  <c r="R6" i="79" s="1"/>
  <c r="Y42" i="79"/>
  <c r="X44" i="79"/>
  <c r="K16" i="79"/>
  <c r="Y10" i="79"/>
  <c r="Y16" i="79" s="1"/>
  <c r="R4" i="79" s="1"/>
  <c r="X42" i="79"/>
  <c r="Y43" i="79"/>
  <c r="K34" i="78"/>
  <c r="K16" i="78"/>
  <c r="K52" i="78"/>
  <c r="X44" i="78"/>
  <c r="X52" i="78" s="1"/>
  <c r="Q8" i="78" s="1"/>
  <c r="T8" i="78" s="1"/>
  <c r="P10" i="78"/>
  <c r="Y6" i="78"/>
  <c r="Y7" i="78"/>
  <c r="X6" i="78"/>
  <c r="X16" i="78" s="1"/>
  <c r="Q4" i="78" s="1"/>
  <c r="T4" i="78" s="1"/>
  <c r="Y24" i="78"/>
  <c r="Y25" i="78"/>
  <c r="Y26" i="78"/>
  <c r="Y27" i="78"/>
  <c r="Y28" i="78"/>
  <c r="Y29" i="78"/>
  <c r="Y30" i="78"/>
  <c r="X24" i="78"/>
  <c r="X34" i="78" s="1"/>
  <c r="Q6" i="78" s="1"/>
  <c r="T6" i="78" s="1"/>
  <c r="Y42" i="78"/>
  <c r="Y52" i="78" s="1"/>
  <c r="R8" i="78" s="1"/>
  <c r="Y43" i="78"/>
  <c r="X28" i="77"/>
  <c r="K16" i="77"/>
  <c r="X27" i="77"/>
  <c r="K52" i="77"/>
  <c r="Y6" i="77"/>
  <c r="Y9" i="77"/>
  <c r="Y7" i="77"/>
  <c r="P10" i="77"/>
  <c r="K34" i="77"/>
  <c r="X25" i="77"/>
  <c r="X26" i="77"/>
  <c r="X6" i="77"/>
  <c r="X16" i="77" s="1"/>
  <c r="Q4" i="77" s="1"/>
  <c r="Y24" i="77"/>
  <c r="Y34" i="77" s="1"/>
  <c r="R6" i="77" s="1"/>
  <c r="X44" i="77"/>
  <c r="X45" i="77"/>
  <c r="X46" i="77"/>
  <c r="X47" i="77"/>
  <c r="X48" i="77"/>
  <c r="X49" i="77"/>
  <c r="X50" i="77"/>
  <c r="X51" i="77"/>
  <c r="Y42" i="77"/>
  <c r="Y52" i="77" s="1"/>
  <c r="R8" i="77" s="1"/>
  <c r="Y10" i="77"/>
  <c r="X42" i="77"/>
  <c r="X45" i="76"/>
  <c r="X47" i="76"/>
  <c r="Y42" i="76"/>
  <c r="X44" i="76"/>
  <c r="Y16" i="76"/>
  <c r="R4" i="76" s="1"/>
  <c r="X6" i="76"/>
  <c r="X7" i="76"/>
  <c r="X8" i="76"/>
  <c r="X9" i="76"/>
  <c r="P10" i="76"/>
  <c r="Y24" i="76"/>
  <c r="Y25" i="76"/>
  <c r="Y26" i="76"/>
  <c r="Y27" i="76"/>
  <c r="Y28" i="76"/>
  <c r="Y29" i="76"/>
  <c r="Y30" i="76"/>
  <c r="K16" i="76"/>
  <c r="X24" i="76"/>
  <c r="X34" i="76" s="1"/>
  <c r="Q6" i="76" s="1"/>
  <c r="T6" i="76" s="1"/>
  <c r="Y10" i="76"/>
  <c r="Y43" i="76"/>
  <c r="Y52" i="76" s="1"/>
  <c r="R8" i="76" s="1"/>
  <c r="K52" i="76"/>
  <c r="X46" i="75"/>
  <c r="K34" i="75"/>
  <c r="X45" i="75"/>
  <c r="Y42" i="75"/>
  <c r="X44" i="75"/>
  <c r="Y24" i="75"/>
  <c r="Y25" i="75"/>
  <c r="X16" i="75"/>
  <c r="K16" i="75"/>
  <c r="X24" i="75"/>
  <c r="Y6" i="75"/>
  <c r="Y7" i="75"/>
  <c r="Y8" i="75"/>
  <c r="Y9" i="75"/>
  <c r="Y10" i="75"/>
  <c r="Y43" i="75"/>
  <c r="K52" i="75"/>
  <c r="Y24" i="74"/>
  <c r="P10" i="74"/>
  <c r="K52" i="74"/>
  <c r="X44" i="74"/>
  <c r="Y26" i="74"/>
  <c r="K34" i="74"/>
  <c r="Y6" i="74"/>
  <c r="X16" i="74"/>
  <c r="Q4" i="74" s="1"/>
  <c r="X48" i="74"/>
  <c r="X49" i="74"/>
  <c r="X50" i="74"/>
  <c r="X51" i="74"/>
  <c r="K16" i="74"/>
  <c r="Y8" i="74"/>
  <c r="Y9" i="74"/>
  <c r="Y10" i="74"/>
  <c r="X42" i="74"/>
  <c r="Y43" i="74"/>
  <c r="Y52" i="74" s="1"/>
  <c r="R8" i="74" s="1"/>
  <c r="K51" i="73"/>
  <c r="K50" i="73"/>
  <c r="K49" i="73"/>
  <c r="K48" i="73"/>
  <c r="K47" i="73"/>
  <c r="K46" i="73"/>
  <c r="K45" i="73"/>
  <c r="B45" i="73"/>
  <c r="B46" i="73" s="1"/>
  <c r="B47" i="73" s="1"/>
  <c r="B48" i="73" s="1"/>
  <c r="B49" i="73" s="1"/>
  <c r="B50" i="73" s="1"/>
  <c r="B51" i="73" s="1"/>
  <c r="K44" i="73"/>
  <c r="K43" i="73"/>
  <c r="K42" i="73"/>
  <c r="K30" i="73"/>
  <c r="K29" i="73"/>
  <c r="K28" i="73"/>
  <c r="K27" i="73"/>
  <c r="K26" i="73"/>
  <c r="K25" i="73"/>
  <c r="B25" i="73"/>
  <c r="B26" i="73" s="1"/>
  <c r="B27" i="73" s="1"/>
  <c r="B28" i="73" s="1"/>
  <c r="B29" i="73" s="1"/>
  <c r="B30" i="73" s="1"/>
  <c r="B31" i="73" s="1"/>
  <c r="B32" i="73" s="1"/>
  <c r="B33" i="73" s="1"/>
  <c r="K24" i="73"/>
  <c r="K10" i="73"/>
  <c r="K9" i="73"/>
  <c r="K8" i="73"/>
  <c r="K7" i="73"/>
  <c r="B7" i="73"/>
  <c r="B8" i="73" s="1"/>
  <c r="B9" i="73" s="1"/>
  <c r="B10" i="73" s="1"/>
  <c r="B11" i="73" s="1"/>
  <c r="B12" i="73" s="1"/>
  <c r="B13" i="73" s="1"/>
  <c r="B14" i="73" s="1"/>
  <c r="B15" i="73" s="1"/>
  <c r="K6" i="73"/>
  <c r="K51" i="72"/>
  <c r="K50" i="72"/>
  <c r="K49" i="72"/>
  <c r="K48" i="72"/>
  <c r="K47" i="72"/>
  <c r="K46" i="72"/>
  <c r="K45" i="72"/>
  <c r="B45" i="72"/>
  <c r="B46" i="72" s="1"/>
  <c r="B47" i="72" s="1"/>
  <c r="B48" i="72" s="1"/>
  <c r="B49" i="72" s="1"/>
  <c r="B50" i="72" s="1"/>
  <c r="B51" i="72" s="1"/>
  <c r="K44" i="72"/>
  <c r="K43" i="72"/>
  <c r="K42" i="72"/>
  <c r="K30" i="72"/>
  <c r="K29" i="72"/>
  <c r="K28" i="72"/>
  <c r="K27" i="72"/>
  <c r="K26" i="72"/>
  <c r="K25" i="72"/>
  <c r="B25" i="72"/>
  <c r="B26" i="72" s="1"/>
  <c r="B27" i="72" s="1"/>
  <c r="B28" i="72" s="1"/>
  <c r="B29" i="72" s="1"/>
  <c r="B30" i="72" s="1"/>
  <c r="B31" i="72" s="1"/>
  <c r="B32" i="72" s="1"/>
  <c r="B33" i="72" s="1"/>
  <c r="K24" i="72"/>
  <c r="K10" i="72"/>
  <c r="K9" i="72"/>
  <c r="K8" i="72"/>
  <c r="K7" i="72"/>
  <c r="B7" i="72"/>
  <c r="B8" i="72" s="1"/>
  <c r="B9" i="72" s="1"/>
  <c r="B10" i="72" s="1"/>
  <c r="B11" i="72" s="1"/>
  <c r="B12" i="72" s="1"/>
  <c r="B13" i="72" s="1"/>
  <c r="B14" i="72" s="1"/>
  <c r="B15" i="72" s="1"/>
  <c r="K6" i="72"/>
  <c r="X52" i="85" l="1"/>
  <c r="Q8" i="85" s="1"/>
  <c r="T8" i="85" s="1"/>
  <c r="X52" i="99"/>
  <c r="Q8" i="99" s="1"/>
  <c r="T8" i="99" s="1"/>
  <c r="X16" i="100"/>
  <c r="Q4" i="100" s="1"/>
  <c r="T4" i="100" s="1"/>
  <c r="X34" i="75"/>
  <c r="X52" i="88"/>
  <c r="Q8" i="88" s="1"/>
  <c r="T8" i="88" s="1"/>
  <c r="X52" i="89"/>
  <c r="Q8" i="89" s="1"/>
  <c r="T8" i="89" s="1"/>
  <c r="Y34" i="96"/>
  <c r="R6" i="96" s="1"/>
  <c r="X34" i="100"/>
  <c r="Q6" i="100" s="1"/>
  <c r="T6" i="100" s="1"/>
  <c r="X52" i="76"/>
  <c r="Q8" i="76" s="1"/>
  <c r="T8" i="76" s="1"/>
  <c r="X16" i="85"/>
  <c r="Q4" i="85" s="1"/>
  <c r="T4" i="85" s="1"/>
  <c r="X52" i="96"/>
  <c r="Q8" i="96" s="1"/>
  <c r="T8" i="96" s="1"/>
  <c r="Y52" i="103"/>
  <c r="R8" i="103" s="1"/>
  <c r="R10" i="103" s="1"/>
  <c r="S4" i="103"/>
  <c r="S10" i="103" s="1"/>
  <c r="X34" i="103"/>
  <c r="Q6" i="103" s="1"/>
  <c r="X10" i="73"/>
  <c r="Y10" i="73"/>
  <c r="X26" i="73"/>
  <c r="Y26" i="73"/>
  <c r="X30" i="73"/>
  <c r="Y30" i="73"/>
  <c r="X48" i="73"/>
  <c r="Y48" i="73"/>
  <c r="Q4" i="75"/>
  <c r="T4" i="75" s="1"/>
  <c r="X16" i="83"/>
  <c r="Q4" i="83" s="1"/>
  <c r="Q10" i="83" s="1"/>
  <c r="T10" i="83" s="1"/>
  <c r="R12" i="83" s="1"/>
  <c r="Y52" i="98"/>
  <c r="R8" i="98" s="1"/>
  <c r="X16" i="101"/>
  <c r="Q4" i="101" s="1"/>
  <c r="T4" i="101" s="1"/>
  <c r="Y7" i="73"/>
  <c r="X7" i="73"/>
  <c r="X24" i="73"/>
  <c r="Y24" i="73"/>
  <c r="Y27" i="73"/>
  <c r="X27" i="73"/>
  <c r="X42" i="73"/>
  <c r="Y42" i="73"/>
  <c r="Y45" i="73"/>
  <c r="X45" i="73"/>
  <c r="Y49" i="73"/>
  <c r="X49" i="73"/>
  <c r="X16" i="80"/>
  <c r="Q4" i="80" s="1"/>
  <c r="S4" i="81"/>
  <c r="S10" i="81" s="1"/>
  <c r="X6" i="73"/>
  <c r="Y6" i="73"/>
  <c r="X8" i="73"/>
  <c r="Y8" i="73"/>
  <c r="X28" i="73"/>
  <c r="Y28" i="73"/>
  <c r="Y43" i="73"/>
  <c r="X43" i="73"/>
  <c r="X46" i="73"/>
  <c r="Y46" i="73"/>
  <c r="X50" i="73"/>
  <c r="Y50" i="73"/>
  <c r="Y34" i="74"/>
  <c r="R6" i="74" s="1"/>
  <c r="Q6" i="75"/>
  <c r="T6" i="75" s="1"/>
  <c r="Y34" i="75"/>
  <c r="R6" i="75" s="1"/>
  <c r="Y16" i="78"/>
  <c r="R4" i="78" s="1"/>
  <c r="X52" i="82"/>
  <c r="Q8" i="82" s="1"/>
  <c r="T8" i="82" s="1"/>
  <c r="Y34" i="99"/>
  <c r="R6" i="99" s="1"/>
  <c r="Y9" i="73"/>
  <c r="X9" i="73"/>
  <c r="Y25" i="73"/>
  <c r="X25" i="73"/>
  <c r="Y29" i="73"/>
  <c r="X29" i="73"/>
  <c r="X44" i="73"/>
  <c r="Y44" i="73"/>
  <c r="Y47" i="73"/>
  <c r="X47" i="73"/>
  <c r="Y51" i="73"/>
  <c r="X51" i="73"/>
  <c r="Y34" i="85"/>
  <c r="R6" i="85" s="1"/>
  <c r="R10" i="85" s="1"/>
  <c r="X16" i="102"/>
  <c r="Q4" i="102" s="1"/>
  <c r="S4" i="102" s="1"/>
  <c r="S10" i="102" s="1"/>
  <c r="Y52" i="102"/>
  <c r="R8" i="102" s="1"/>
  <c r="R10" i="102" s="1"/>
  <c r="X52" i="102"/>
  <c r="Q8" i="102" s="1"/>
  <c r="T8" i="102" s="1"/>
  <c r="X34" i="102"/>
  <c r="Q6" i="102" s="1"/>
  <c r="T6" i="102" s="1"/>
  <c r="Y52" i="101"/>
  <c r="R8" i="101" s="1"/>
  <c r="S4" i="101"/>
  <c r="S10" i="101" s="1"/>
  <c r="Y34" i="101"/>
  <c r="R6" i="101" s="1"/>
  <c r="Q10" i="101"/>
  <c r="T10" i="101" s="1"/>
  <c r="R12" i="101" s="1"/>
  <c r="X52" i="100"/>
  <c r="Q8" i="100" s="1"/>
  <c r="T8" i="100" s="1"/>
  <c r="Y34" i="100"/>
  <c r="R6" i="100" s="1"/>
  <c r="R10" i="100" s="1"/>
  <c r="S4" i="100"/>
  <c r="S10" i="100" s="1"/>
  <c r="X16" i="99"/>
  <c r="Q4" i="99" s="1"/>
  <c r="T4" i="99" s="1"/>
  <c r="R10" i="99"/>
  <c r="Y34" i="98"/>
  <c r="R6" i="98" s="1"/>
  <c r="X34" i="98"/>
  <c r="Q6" i="98" s="1"/>
  <c r="T6" i="98" s="1"/>
  <c r="X52" i="98"/>
  <c r="Q8" i="98" s="1"/>
  <c r="T8" i="98" s="1"/>
  <c r="X16" i="98"/>
  <c r="Q4" i="98" s="1"/>
  <c r="S4" i="98" s="1"/>
  <c r="S10" i="98" s="1"/>
  <c r="Y52" i="97"/>
  <c r="R8" i="97" s="1"/>
  <c r="R10" i="97" s="1"/>
  <c r="S4" i="97"/>
  <c r="S10" i="97" s="1"/>
  <c r="Q10" i="97"/>
  <c r="T10" i="97" s="1"/>
  <c r="R12" i="97" s="1"/>
  <c r="X16" i="96"/>
  <c r="Q4" i="96" s="1"/>
  <c r="S4" i="96" s="1"/>
  <c r="S10" i="96" s="1"/>
  <c r="Y52" i="96"/>
  <c r="R8" i="96" s="1"/>
  <c r="R10" i="96" s="1"/>
  <c r="X16" i="95"/>
  <c r="Q4" i="95" s="1"/>
  <c r="T4" i="95" s="1"/>
  <c r="R10" i="95"/>
  <c r="X52" i="95"/>
  <c r="Q8" i="95" s="1"/>
  <c r="T8" i="95" s="1"/>
  <c r="Y52" i="94"/>
  <c r="R8" i="94" s="1"/>
  <c r="X34" i="94"/>
  <c r="Q6" i="94" s="1"/>
  <c r="T6" i="94" s="1"/>
  <c r="T8" i="94"/>
  <c r="Y16" i="94"/>
  <c r="R4" i="94" s="1"/>
  <c r="X34" i="93"/>
  <c r="Q6" i="93" s="1"/>
  <c r="T6" i="93" s="1"/>
  <c r="Y34" i="93"/>
  <c r="R6" i="93" s="1"/>
  <c r="Y52" i="93"/>
  <c r="R8" i="93" s="1"/>
  <c r="X52" i="93"/>
  <c r="Q8" i="93" s="1"/>
  <c r="T8" i="93" s="1"/>
  <c r="X16" i="93"/>
  <c r="Q4" i="93" s="1"/>
  <c r="S4" i="93" s="1"/>
  <c r="S10" i="93" s="1"/>
  <c r="S4" i="92"/>
  <c r="S10" i="92" s="1"/>
  <c r="Y52" i="92"/>
  <c r="R8" i="92" s="1"/>
  <c r="Y34" i="92"/>
  <c r="R6" i="92" s="1"/>
  <c r="X52" i="92"/>
  <c r="Q8" i="92" s="1"/>
  <c r="T8" i="92" s="1"/>
  <c r="X34" i="91"/>
  <c r="Q6" i="91" s="1"/>
  <c r="T6" i="91" s="1"/>
  <c r="Y34" i="91"/>
  <c r="R6" i="91" s="1"/>
  <c r="Y52" i="91"/>
  <c r="R8" i="91" s="1"/>
  <c r="X16" i="90"/>
  <c r="Q4" i="90" s="1"/>
  <c r="S4" i="90" s="1"/>
  <c r="S10" i="90" s="1"/>
  <c r="T4" i="91"/>
  <c r="S4" i="91"/>
  <c r="S10" i="91" s="1"/>
  <c r="X52" i="90"/>
  <c r="Q8" i="90" s="1"/>
  <c r="T8" i="90" s="1"/>
  <c r="Y34" i="90"/>
  <c r="R6" i="90" s="1"/>
  <c r="R10" i="90" s="1"/>
  <c r="Y16" i="89"/>
  <c r="R4" i="89" s="1"/>
  <c r="S4" i="89" s="1"/>
  <c r="S10" i="89" s="1"/>
  <c r="Y52" i="89"/>
  <c r="R8" i="89" s="1"/>
  <c r="Y34" i="89"/>
  <c r="R6" i="89" s="1"/>
  <c r="T4" i="89"/>
  <c r="X16" i="88"/>
  <c r="Q4" i="88" s="1"/>
  <c r="T4" i="88" s="1"/>
  <c r="Y52" i="88"/>
  <c r="R8" i="88" s="1"/>
  <c r="Y34" i="88"/>
  <c r="R6" i="88" s="1"/>
  <c r="X52" i="87"/>
  <c r="Q8" i="87" s="1"/>
  <c r="T8" i="87" s="1"/>
  <c r="Y16" i="87"/>
  <c r="R4" i="87" s="1"/>
  <c r="S4" i="87" s="1"/>
  <c r="S10" i="87" s="1"/>
  <c r="Y34" i="87"/>
  <c r="R6" i="87" s="1"/>
  <c r="Y52" i="86"/>
  <c r="R8" i="86" s="1"/>
  <c r="Y16" i="86"/>
  <c r="R4" i="86" s="1"/>
  <c r="X34" i="86"/>
  <c r="Q6" i="86" s="1"/>
  <c r="T6" i="86" s="1"/>
  <c r="T4" i="86"/>
  <c r="Q10" i="85"/>
  <c r="T10" i="85" s="1"/>
  <c r="R12" i="85" s="1"/>
  <c r="Y34" i="84"/>
  <c r="R6" i="84" s="1"/>
  <c r="R10" i="84" s="1"/>
  <c r="X16" i="84"/>
  <c r="Q4" i="84" s="1"/>
  <c r="T4" i="84" s="1"/>
  <c r="X52" i="84"/>
  <c r="Q8" i="84" s="1"/>
  <c r="T8" i="84" s="1"/>
  <c r="Y34" i="83"/>
  <c r="R6" i="83" s="1"/>
  <c r="Y52" i="83"/>
  <c r="R8" i="83" s="1"/>
  <c r="S4" i="83"/>
  <c r="S10" i="83" s="1"/>
  <c r="X16" i="82"/>
  <c r="Q4" i="82" s="1"/>
  <c r="S4" i="82" s="1"/>
  <c r="S10" i="82" s="1"/>
  <c r="Y34" i="82"/>
  <c r="R6" i="82" s="1"/>
  <c r="Y52" i="82"/>
  <c r="R8" i="82" s="1"/>
  <c r="X52" i="81"/>
  <c r="Q8" i="81" s="1"/>
  <c r="T8" i="81" s="1"/>
  <c r="Y52" i="81"/>
  <c r="R8" i="81" s="1"/>
  <c r="T4" i="81"/>
  <c r="Y34" i="81"/>
  <c r="R6" i="81" s="1"/>
  <c r="Y52" i="80"/>
  <c r="R8" i="80" s="1"/>
  <c r="R10" i="80" s="1"/>
  <c r="Q10" i="80"/>
  <c r="T10" i="80" s="1"/>
  <c r="R12" i="80" s="1"/>
  <c r="T4" i="80"/>
  <c r="Y34" i="80"/>
  <c r="R6" i="80" s="1"/>
  <c r="S4" i="80"/>
  <c r="S10" i="80" s="1"/>
  <c r="X16" i="79"/>
  <c r="Q4" i="79" s="1"/>
  <c r="T4" i="79" s="1"/>
  <c r="X52" i="79"/>
  <c r="Q8" i="79" s="1"/>
  <c r="T8" i="79" s="1"/>
  <c r="Y52" i="79"/>
  <c r="R8" i="79" s="1"/>
  <c r="R10" i="79" s="1"/>
  <c r="S4" i="78"/>
  <c r="S10" i="78" s="1"/>
  <c r="Y34" i="78"/>
  <c r="R6" i="78" s="1"/>
  <c r="R10" i="78" s="1"/>
  <c r="Q10" i="78"/>
  <c r="T10" i="78" s="1"/>
  <c r="R12" i="78" s="1"/>
  <c r="X52" i="77"/>
  <c r="Q8" i="77" s="1"/>
  <c r="T8" i="77" s="1"/>
  <c r="X34" i="77"/>
  <c r="Q6" i="77" s="1"/>
  <c r="T6" i="77" s="1"/>
  <c r="Y16" i="77"/>
  <c r="R4" i="77" s="1"/>
  <c r="S4" i="77" s="1"/>
  <c r="S10" i="77" s="1"/>
  <c r="T4" i="77"/>
  <c r="X16" i="76"/>
  <c r="Q4" i="76" s="1"/>
  <c r="Q10" i="76" s="1"/>
  <c r="T10" i="76" s="1"/>
  <c r="R12" i="76" s="1"/>
  <c r="Y34" i="76"/>
  <c r="R6" i="76" s="1"/>
  <c r="R10" i="76" s="1"/>
  <c r="X52" i="75"/>
  <c r="Q8" i="75" s="1"/>
  <c r="T8" i="75" s="1"/>
  <c r="Y52" i="75"/>
  <c r="R8" i="75" s="1"/>
  <c r="Y16" i="75"/>
  <c r="R4" i="75" s="1"/>
  <c r="Q6" i="74"/>
  <c r="T6" i="74" s="1"/>
  <c r="Y16" i="74"/>
  <c r="T4" i="74"/>
  <c r="X52" i="74"/>
  <c r="Y6" i="72"/>
  <c r="X6" i="72"/>
  <c r="Y7" i="72"/>
  <c r="X7" i="72"/>
  <c r="Y10" i="72"/>
  <c r="X10" i="72"/>
  <c r="Y25" i="72"/>
  <c r="X25" i="72"/>
  <c r="Y29" i="72"/>
  <c r="X29" i="72"/>
  <c r="Y45" i="72"/>
  <c r="X45" i="72"/>
  <c r="Y49" i="72"/>
  <c r="X49" i="72"/>
  <c r="Y9" i="72"/>
  <c r="X9" i="72"/>
  <c r="X28" i="72"/>
  <c r="Y28" i="72"/>
  <c r="X48" i="72"/>
  <c r="Y48" i="72"/>
  <c r="X24" i="72"/>
  <c r="Y24" i="72"/>
  <c r="X27" i="72"/>
  <c r="Y27" i="72"/>
  <c r="X42" i="72"/>
  <c r="Y42" i="72"/>
  <c r="Y44" i="72"/>
  <c r="X44" i="72"/>
  <c r="Y47" i="72"/>
  <c r="X47" i="72"/>
  <c r="Y51" i="72"/>
  <c r="X51" i="72"/>
  <c r="X8" i="72"/>
  <c r="Y8" i="72"/>
  <c r="Y16" i="72" s="1"/>
  <c r="R4" i="72" s="1"/>
  <c r="Y26" i="72"/>
  <c r="X26" i="72"/>
  <c r="X30" i="72"/>
  <c r="Y30" i="72"/>
  <c r="Y43" i="72"/>
  <c r="X43" i="72"/>
  <c r="Y46" i="72"/>
  <c r="X46" i="72"/>
  <c r="Y50" i="72"/>
  <c r="X50" i="72"/>
  <c r="Y52" i="73"/>
  <c r="R8" i="73" s="1"/>
  <c r="X52" i="73"/>
  <c r="Q8" i="73" s="1"/>
  <c r="T8" i="73" s="1"/>
  <c r="Y16" i="73"/>
  <c r="K16" i="73"/>
  <c r="X34" i="73"/>
  <c r="Q6" i="73" s="1"/>
  <c r="T6" i="73" s="1"/>
  <c r="Y34" i="73"/>
  <c r="R6" i="73" s="1"/>
  <c r="K52" i="73"/>
  <c r="P10" i="73"/>
  <c r="K34" i="73"/>
  <c r="K16" i="72"/>
  <c r="K52" i="72"/>
  <c r="K34" i="72"/>
  <c r="P10" i="72"/>
  <c r="R10" i="75" l="1"/>
  <c r="T4" i="83"/>
  <c r="S4" i="85"/>
  <c r="S10" i="85" s="1"/>
  <c r="Q10" i="89"/>
  <c r="T10" i="89" s="1"/>
  <c r="R12" i="89" s="1"/>
  <c r="R10" i="98"/>
  <c r="T6" i="103"/>
  <c r="Q10" i="103"/>
  <c r="T10" i="103" s="1"/>
  <c r="R12" i="103" s="1"/>
  <c r="X16" i="73"/>
  <c r="Q4" i="73" s="1"/>
  <c r="T4" i="73" s="1"/>
  <c r="Y34" i="72"/>
  <c r="R6" i="72" s="1"/>
  <c r="Q10" i="75"/>
  <c r="T10" i="75" s="1"/>
  <c r="R12" i="75" s="1"/>
  <c r="T4" i="102"/>
  <c r="Q10" i="102"/>
  <c r="T10" i="102" s="1"/>
  <c r="R12" i="102" s="1"/>
  <c r="R10" i="101"/>
  <c r="Q10" i="100"/>
  <c r="T10" i="100" s="1"/>
  <c r="R12" i="100" s="1"/>
  <c r="S4" i="99"/>
  <c r="S10" i="99" s="1"/>
  <c r="Q10" i="99"/>
  <c r="T10" i="99" s="1"/>
  <c r="R12" i="99" s="1"/>
  <c r="T4" i="98"/>
  <c r="Q10" i="98"/>
  <c r="T10" i="98" s="1"/>
  <c r="R12" i="98" s="1"/>
  <c r="T4" i="96"/>
  <c r="Q10" i="96"/>
  <c r="T10" i="96" s="1"/>
  <c r="R12" i="96" s="1"/>
  <c r="S4" i="95"/>
  <c r="S10" i="95" s="1"/>
  <c r="Q10" i="95"/>
  <c r="T10" i="95" s="1"/>
  <c r="R12" i="95" s="1"/>
  <c r="Q10" i="94"/>
  <c r="T10" i="94" s="1"/>
  <c r="R12" i="94" s="1"/>
  <c r="R10" i="94"/>
  <c r="S4" i="94"/>
  <c r="S10" i="94" s="1"/>
  <c r="R10" i="93"/>
  <c r="T4" i="93"/>
  <c r="Q10" i="93"/>
  <c r="T10" i="93" s="1"/>
  <c r="R12" i="93" s="1"/>
  <c r="R10" i="92"/>
  <c r="Q10" i="92"/>
  <c r="T10" i="92" s="1"/>
  <c r="R12" i="92" s="1"/>
  <c r="Q10" i="91"/>
  <c r="T10" i="91" s="1"/>
  <c r="R12" i="91" s="1"/>
  <c r="R10" i="91"/>
  <c r="T4" i="90"/>
  <c r="Q10" i="90"/>
  <c r="T10" i="90" s="1"/>
  <c r="R12" i="90" s="1"/>
  <c r="R10" i="89"/>
  <c r="S4" i="88"/>
  <c r="S10" i="88" s="1"/>
  <c r="Q10" i="88"/>
  <c r="T10" i="88" s="1"/>
  <c r="R12" i="88" s="1"/>
  <c r="R10" i="88"/>
  <c r="Q10" i="87"/>
  <c r="T10" i="87" s="1"/>
  <c r="R12" i="87" s="1"/>
  <c r="R10" i="87"/>
  <c r="R10" i="86"/>
  <c r="S4" i="86"/>
  <c r="S10" i="86" s="1"/>
  <c r="Q10" i="86"/>
  <c r="T10" i="86" s="1"/>
  <c r="R12" i="86" s="1"/>
  <c r="S4" i="84"/>
  <c r="S10" i="84" s="1"/>
  <c r="Q10" i="84"/>
  <c r="T10" i="84" s="1"/>
  <c r="R12" i="84" s="1"/>
  <c r="R10" i="83"/>
  <c r="T4" i="82"/>
  <c r="Q10" i="82"/>
  <c r="T10" i="82" s="1"/>
  <c r="R12" i="82" s="1"/>
  <c r="R10" i="82"/>
  <c r="Q10" i="81"/>
  <c r="T10" i="81" s="1"/>
  <c r="R12" i="81" s="1"/>
  <c r="R10" i="81"/>
  <c r="S4" i="79"/>
  <c r="S10" i="79" s="1"/>
  <c r="Q10" i="79"/>
  <c r="T10" i="79" s="1"/>
  <c r="R12" i="79" s="1"/>
  <c r="Q10" i="77"/>
  <c r="T10" i="77" s="1"/>
  <c r="R12" i="77" s="1"/>
  <c r="R10" i="77"/>
  <c r="S4" i="76"/>
  <c r="S10" i="76" s="1"/>
  <c r="T4" i="76"/>
  <c r="S4" i="75"/>
  <c r="S10" i="75" s="1"/>
  <c r="R4" i="74"/>
  <c r="S4" i="74" s="1"/>
  <c r="S10" i="74" s="1"/>
  <c r="Q8" i="74"/>
  <c r="Q10" i="74" s="1"/>
  <c r="T10" i="74" s="1"/>
  <c r="R12" i="74" s="1"/>
  <c r="Q10" i="73"/>
  <c r="T10" i="73" s="1"/>
  <c r="R12" i="73" s="1"/>
  <c r="R4" i="73"/>
  <c r="S4" i="73" s="1"/>
  <c r="S10" i="73" s="1"/>
  <c r="X34" i="72"/>
  <c r="X16" i="72"/>
  <c r="X52" i="72"/>
  <c r="Y52" i="72"/>
  <c r="R8" i="72" s="1"/>
  <c r="R10" i="72" s="1"/>
  <c r="Q8" i="72" l="1"/>
  <c r="T8" i="72" s="1"/>
  <c r="R10" i="74"/>
  <c r="Q4" i="72"/>
  <c r="S4" i="72" s="1"/>
  <c r="S10" i="72" s="1"/>
  <c r="Q6" i="72"/>
  <c r="T6" i="72" s="1"/>
  <c r="T8" i="74"/>
  <c r="R10" i="73"/>
  <c r="P8" i="71"/>
  <c r="P6" i="71"/>
  <c r="P4" i="71"/>
  <c r="T4" i="72" l="1"/>
  <c r="Q10" i="72"/>
  <c r="T10" i="72" s="1"/>
  <c r="R12" i="72" s="1"/>
  <c r="T8" i="71"/>
  <c r="P10" i="71"/>
  <c r="J8" i="65"/>
  <c r="J10" i="65"/>
  <c r="Y52" i="71"/>
  <c r="X52" i="71"/>
  <c r="K52" i="71"/>
  <c r="Y51" i="71"/>
  <c r="X51" i="71"/>
  <c r="K51" i="71"/>
  <c r="Y50" i="71"/>
  <c r="X50" i="71"/>
  <c r="K50" i="71"/>
  <c r="Y49" i="71"/>
  <c r="X49" i="71"/>
  <c r="K49" i="71"/>
  <c r="Y48" i="71"/>
  <c r="X48" i="71"/>
  <c r="K48" i="71"/>
  <c r="Y47" i="71"/>
  <c r="X47" i="71"/>
  <c r="K47" i="71"/>
  <c r="Y46" i="71"/>
  <c r="X46" i="71"/>
  <c r="K46" i="71"/>
  <c r="Y45" i="71"/>
  <c r="X45" i="71"/>
  <c r="K45" i="71"/>
  <c r="B45" i="71"/>
  <c r="B46" i="71" s="1"/>
  <c r="B47" i="71" s="1"/>
  <c r="B48" i="71" s="1"/>
  <c r="B49" i="71" s="1"/>
  <c r="B50" i="71" s="1"/>
  <c r="B51" i="71" s="1"/>
  <c r="B52" i="71" s="1"/>
  <c r="Y44" i="71"/>
  <c r="X44" i="71"/>
  <c r="K44" i="71"/>
  <c r="K43" i="71"/>
  <c r="Y42" i="71"/>
  <c r="Y53" i="71" s="1"/>
  <c r="X42" i="71"/>
  <c r="X53" i="71" s="1"/>
  <c r="K42" i="71"/>
  <c r="Y33" i="71"/>
  <c r="X33" i="71"/>
  <c r="Y32" i="71"/>
  <c r="X32" i="71"/>
  <c r="Y31" i="71"/>
  <c r="X31" i="71"/>
  <c r="Y30" i="71"/>
  <c r="X30" i="71"/>
  <c r="K30" i="71"/>
  <c r="Y29" i="71"/>
  <c r="X29" i="71"/>
  <c r="K29" i="71"/>
  <c r="Y28" i="71"/>
  <c r="X28" i="71"/>
  <c r="K28" i="71"/>
  <c r="Y27" i="71"/>
  <c r="X27" i="71"/>
  <c r="K27" i="71"/>
  <c r="Y26" i="71"/>
  <c r="X26" i="71"/>
  <c r="K26" i="71"/>
  <c r="Y25" i="71"/>
  <c r="X25" i="71"/>
  <c r="K25" i="71"/>
  <c r="B25" i="71"/>
  <c r="B26" i="71" s="1"/>
  <c r="B27" i="71" s="1"/>
  <c r="B28" i="71" s="1"/>
  <c r="B29" i="71" s="1"/>
  <c r="B30" i="71" s="1"/>
  <c r="B31" i="71" s="1"/>
  <c r="B32" i="71" s="1"/>
  <c r="B33" i="71" s="1"/>
  <c r="Y24" i="71"/>
  <c r="X24" i="71"/>
  <c r="K24" i="71"/>
  <c r="Y15" i="71"/>
  <c r="X15" i="71"/>
  <c r="Y14" i="71"/>
  <c r="X14" i="71"/>
  <c r="Y13" i="71"/>
  <c r="X13" i="71"/>
  <c r="Y12" i="71"/>
  <c r="X12" i="71"/>
  <c r="Y11" i="71"/>
  <c r="X11" i="71"/>
  <c r="Y10" i="71"/>
  <c r="X10" i="71"/>
  <c r="K10" i="71"/>
  <c r="Y9" i="71"/>
  <c r="X9" i="71"/>
  <c r="K9" i="71"/>
  <c r="Y8" i="71"/>
  <c r="X8" i="71"/>
  <c r="K8" i="71"/>
  <c r="Y7" i="71"/>
  <c r="X7" i="71"/>
  <c r="K7" i="71"/>
  <c r="B7" i="71"/>
  <c r="B8" i="71" s="1"/>
  <c r="B9" i="71" s="1"/>
  <c r="B10" i="71" s="1"/>
  <c r="B11" i="71" s="1"/>
  <c r="B12" i="71" s="1"/>
  <c r="B13" i="71" s="1"/>
  <c r="B14" i="71" s="1"/>
  <c r="B15" i="71" s="1"/>
  <c r="Y6" i="71"/>
  <c r="X6" i="71"/>
  <c r="K6" i="71"/>
  <c r="X16" i="71" l="1"/>
  <c r="Q4" i="71" s="1"/>
  <c r="T4" i="71" s="1"/>
  <c r="K16" i="71"/>
  <c r="Y34" i="71"/>
  <c r="R6" i="71" s="1"/>
  <c r="X34" i="71"/>
  <c r="K34" i="71"/>
  <c r="K53" i="71"/>
  <c r="Y16" i="71"/>
  <c r="R4" i="71" s="1"/>
  <c r="Q10" i="71" l="1"/>
  <c r="S4" i="71"/>
  <c r="R10" i="71"/>
  <c r="T6" i="71"/>
  <c r="S10" i="71"/>
  <c r="J25" i="70"/>
  <c r="K25" i="70" s="1"/>
  <c r="K7" i="70"/>
  <c r="J24" i="70"/>
  <c r="K24" i="70" s="1"/>
  <c r="K43" i="70"/>
  <c r="K44" i="70"/>
  <c r="K45" i="70"/>
  <c r="K46" i="70"/>
  <c r="K47" i="70"/>
  <c r="K48" i="70"/>
  <c r="K49" i="70"/>
  <c r="K42" i="70"/>
  <c r="Y52" i="70"/>
  <c r="X52" i="70"/>
  <c r="K52" i="70"/>
  <c r="Y51" i="70"/>
  <c r="X51" i="70"/>
  <c r="K51" i="70"/>
  <c r="Y50" i="70"/>
  <c r="X50" i="70"/>
  <c r="K50" i="70"/>
  <c r="Y49" i="70"/>
  <c r="X49" i="70"/>
  <c r="Y48" i="70"/>
  <c r="X48" i="70"/>
  <c r="Y47" i="70"/>
  <c r="X47" i="70"/>
  <c r="Y46" i="70"/>
  <c r="X46" i="70"/>
  <c r="Y45" i="70"/>
  <c r="X45" i="70"/>
  <c r="B45" i="70"/>
  <c r="B46" i="70" s="1"/>
  <c r="B47" i="70" s="1"/>
  <c r="B48" i="70" s="1"/>
  <c r="B49" i="70" s="1"/>
  <c r="B50" i="70" s="1"/>
  <c r="B51" i="70" s="1"/>
  <c r="B52" i="70" s="1"/>
  <c r="Y44" i="70"/>
  <c r="X44" i="70"/>
  <c r="Y42" i="70"/>
  <c r="X42" i="70"/>
  <c r="Y33" i="70"/>
  <c r="X33" i="70"/>
  <c r="Y32" i="70"/>
  <c r="X32" i="70"/>
  <c r="Y31" i="70"/>
  <c r="X31" i="70"/>
  <c r="Y30" i="70"/>
  <c r="X30" i="70"/>
  <c r="K30" i="70"/>
  <c r="Y29" i="70"/>
  <c r="X29" i="70"/>
  <c r="K29" i="70"/>
  <c r="Y28" i="70"/>
  <c r="X28" i="70"/>
  <c r="K28" i="70"/>
  <c r="Y27" i="70"/>
  <c r="X27" i="70"/>
  <c r="K27" i="70"/>
  <c r="Y26" i="70"/>
  <c r="X26" i="70"/>
  <c r="K26" i="70"/>
  <c r="Y25" i="70"/>
  <c r="X25" i="70"/>
  <c r="B25" i="70"/>
  <c r="B26" i="70" s="1"/>
  <c r="B27" i="70" s="1"/>
  <c r="B28" i="70" s="1"/>
  <c r="B29" i="70" s="1"/>
  <c r="B30" i="70" s="1"/>
  <c r="B31" i="70" s="1"/>
  <c r="B32" i="70" s="1"/>
  <c r="B33" i="70" s="1"/>
  <c r="Y24" i="70"/>
  <c r="X24" i="70"/>
  <c r="Y15" i="70"/>
  <c r="X15" i="70"/>
  <c r="Y14" i="70"/>
  <c r="X14" i="70"/>
  <c r="Y13" i="70"/>
  <c r="X13" i="70"/>
  <c r="Y12" i="70"/>
  <c r="X12" i="70"/>
  <c r="Y11" i="70"/>
  <c r="X11" i="70"/>
  <c r="Y10" i="70"/>
  <c r="X10" i="70"/>
  <c r="S10" i="70"/>
  <c r="R10" i="70"/>
  <c r="Q10" i="70"/>
  <c r="K10" i="70"/>
  <c r="Y9" i="70"/>
  <c r="X9" i="70"/>
  <c r="K9" i="70"/>
  <c r="Y8" i="70"/>
  <c r="X8" i="70"/>
  <c r="P8" i="70"/>
  <c r="T8" i="70" s="1"/>
  <c r="K8" i="70"/>
  <c r="Y7" i="70"/>
  <c r="X7" i="70"/>
  <c r="B7" i="70"/>
  <c r="B8" i="70" s="1"/>
  <c r="B9" i="70" s="1"/>
  <c r="B10" i="70" s="1"/>
  <c r="B11" i="70" s="1"/>
  <c r="B12" i="70" s="1"/>
  <c r="B13" i="70" s="1"/>
  <c r="B14" i="70" s="1"/>
  <c r="B15" i="70" s="1"/>
  <c r="Y6" i="70"/>
  <c r="X6" i="70"/>
  <c r="P6" i="70"/>
  <c r="T6" i="70" s="1"/>
  <c r="K6" i="70"/>
  <c r="P4" i="70"/>
  <c r="J29" i="69"/>
  <c r="K29" i="69"/>
  <c r="J8" i="69"/>
  <c r="K8" i="69" s="1"/>
  <c r="J44" i="69"/>
  <c r="K44" i="69" s="1"/>
  <c r="J28" i="69"/>
  <c r="K28" i="69" s="1"/>
  <c r="J27" i="69"/>
  <c r="K27" i="69" s="1"/>
  <c r="J26" i="69"/>
  <c r="K26" i="69" s="1"/>
  <c r="J42" i="69"/>
  <c r="K42" i="69" s="1"/>
  <c r="K43" i="69"/>
  <c r="K45" i="69"/>
  <c r="K46" i="69"/>
  <c r="K47" i="69"/>
  <c r="K48" i="69"/>
  <c r="K7" i="69"/>
  <c r="K9" i="69"/>
  <c r="K10" i="69"/>
  <c r="J6" i="69"/>
  <c r="K6" i="69" s="1"/>
  <c r="J25" i="69"/>
  <c r="K25" i="69" s="1"/>
  <c r="J24" i="69"/>
  <c r="K24" i="69" s="1"/>
  <c r="Y52" i="69"/>
  <c r="X52" i="69"/>
  <c r="K52" i="69"/>
  <c r="Y51" i="69"/>
  <c r="X51" i="69"/>
  <c r="K51" i="69"/>
  <c r="Y50" i="69"/>
  <c r="X50" i="69"/>
  <c r="K50" i="69"/>
  <c r="Y49" i="69"/>
  <c r="X49" i="69"/>
  <c r="K49" i="69"/>
  <c r="Y48" i="69"/>
  <c r="X48" i="69"/>
  <c r="Y47" i="69"/>
  <c r="X47" i="69"/>
  <c r="Y46" i="69"/>
  <c r="X46" i="69"/>
  <c r="Y45" i="69"/>
  <c r="X45" i="69"/>
  <c r="B45" i="69"/>
  <c r="B46" i="69" s="1"/>
  <c r="B47" i="69" s="1"/>
  <c r="B48" i="69" s="1"/>
  <c r="B49" i="69" s="1"/>
  <c r="B50" i="69" s="1"/>
  <c r="B51" i="69" s="1"/>
  <c r="B52" i="69" s="1"/>
  <c r="Y44" i="69"/>
  <c r="X44" i="69"/>
  <c r="Y42" i="69"/>
  <c r="X42" i="69"/>
  <c r="Y33" i="69"/>
  <c r="X33" i="69"/>
  <c r="Y32" i="69"/>
  <c r="X32" i="69"/>
  <c r="Y31" i="69"/>
  <c r="X31" i="69"/>
  <c r="Y30" i="69"/>
  <c r="X30" i="69"/>
  <c r="K30" i="69"/>
  <c r="Y29" i="69"/>
  <c r="X29" i="69"/>
  <c r="Y28" i="69"/>
  <c r="X28" i="69"/>
  <c r="Y27" i="69"/>
  <c r="X27" i="69"/>
  <c r="Y26" i="69"/>
  <c r="X26" i="69"/>
  <c r="Y25" i="69"/>
  <c r="X25" i="69"/>
  <c r="B25" i="69"/>
  <c r="B26" i="69" s="1"/>
  <c r="B27" i="69" s="1"/>
  <c r="B28" i="69" s="1"/>
  <c r="B29" i="69" s="1"/>
  <c r="B30" i="69" s="1"/>
  <c r="B31" i="69" s="1"/>
  <c r="B32" i="69" s="1"/>
  <c r="B33" i="69" s="1"/>
  <c r="Y24" i="69"/>
  <c r="X24" i="69"/>
  <c r="Y15" i="69"/>
  <c r="X15" i="69"/>
  <c r="Y14" i="69"/>
  <c r="X14" i="69"/>
  <c r="Y13" i="69"/>
  <c r="X13" i="69"/>
  <c r="Y12" i="69"/>
  <c r="X12" i="69"/>
  <c r="Y11" i="69"/>
  <c r="X11" i="69"/>
  <c r="Y10" i="69"/>
  <c r="X10" i="69"/>
  <c r="S10" i="69"/>
  <c r="R10" i="69"/>
  <c r="Q10" i="69"/>
  <c r="Y9" i="69"/>
  <c r="X9" i="69"/>
  <c r="Y8" i="69"/>
  <c r="X8" i="69"/>
  <c r="P8" i="69"/>
  <c r="T8" i="69" s="1"/>
  <c r="Y7" i="69"/>
  <c r="X7" i="69"/>
  <c r="B7" i="69"/>
  <c r="B8" i="69" s="1"/>
  <c r="B9" i="69" s="1"/>
  <c r="B10" i="69" s="1"/>
  <c r="B11" i="69" s="1"/>
  <c r="B12" i="69" s="1"/>
  <c r="B13" i="69" s="1"/>
  <c r="B14" i="69" s="1"/>
  <c r="B15" i="69" s="1"/>
  <c r="Y6" i="69"/>
  <c r="X6" i="69"/>
  <c r="P6" i="69"/>
  <c r="T6" i="69" s="1"/>
  <c r="P4" i="69"/>
  <c r="K11" i="68"/>
  <c r="J28" i="68"/>
  <c r="K28" i="68" s="1"/>
  <c r="J24" i="68"/>
  <c r="K24" i="68" s="1"/>
  <c r="J7" i="68"/>
  <c r="K7" i="68" s="1"/>
  <c r="J6" i="68"/>
  <c r="K6" i="68" s="1"/>
  <c r="P8" i="68"/>
  <c r="T8" i="68" s="1"/>
  <c r="P6" i="68"/>
  <c r="T6" i="68" s="1"/>
  <c r="R10" i="68"/>
  <c r="S10" i="68"/>
  <c r="Q10" i="68"/>
  <c r="J42" i="68"/>
  <c r="K42" i="68" s="1"/>
  <c r="Y52" i="68"/>
  <c r="X52" i="68"/>
  <c r="K52" i="68"/>
  <c r="Y51" i="68"/>
  <c r="X51" i="68"/>
  <c r="K51" i="68"/>
  <c r="Y50" i="68"/>
  <c r="X50" i="68"/>
  <c r="K50" i="68"/>
  <c r="Y49" i="68"/>
  <c r="X49" i="68"/>
  <c r="K49" i="68"/>
  <c r="Y48" i="68"/>
  <c r="X48" i="68"/>
  <c r="K48" i="68"/>
  <c r="Y47" i="68"/>
  <c r="X47" i="68"/>
  <c r="K47" i="68"/>
  <c r="Y46" i="68"/>
  <c r="X46" i="68"/>
  <c r="K46" i="68"/>
  <c r="Y45" i="68"/>
  <c r="X45" i="68"/>
  <c r="K45" i="68"/>
  <c r="B45" i="68"/>
  <c r="B46" i="68" s="1"/>
  <c r="B47" i="68" s="1"/>
  <c r="B48" i="68" s="1"/>
  <c r="B49" i="68" s="1"/>
  <c r="B50" i="68" s="1"/>
  <c r="B51" i="68" s="1"/>
  <c r="B52" i="68" s="1"/>
  <c r="Y44" i="68"/>
  <c r="X44" i="68"/>
  <c r="K44" i="68"/>
  <c r="K43" i="68"/>
  <c r="Y42" i="68"/>
  <c r="X42" i="68"/>
  <c r="Y33" i="68"/>
  <c r="X33" i="68"/>
  <c r="Y32" i="68"/>
  <c r="X32" i="68"/>
  <c r="Y31" i="68"/>
  <c r="X31" i="68"/>
  <c r="Y30" i="68"/>
  <c r="X30" i="68"/>
  <c r="K30" i="68"/>
  <c r="Y29" i="68"/>
  <c r="X29" i="68"/>
  <c r="K29" i="68"/>
  <c r="Y28" i="68"/>
  <c r="X28" i="68"/>
  <c r="Y27" i="68"/>
  <c r="X27" i="68"/>
  <c r="K27" i="68"/>
  <c r="Y26" i="68"/>
  <c r="X26" i="68"/>
  <c r="K26" i="68"/>
  <c r="Y25" i="68"/>
  <c r="X25" i="68"/>
  <c r="K25" i="68"/>
  <c r="B25" i="68"/>
  <c r="B26" i="68" s="1"/>
  <c r="B27" i="68" s="1"/>
  <c r="B28" i="68" s="1"/>
  <c r="B29" i="68" s="1"/>
  <c r="B30" i="68" s="1"/>
  <c r="B31" i="68" s="1"/>
  <c r="B32" i="68" s="1"/>
  <c r="B33" i="68" s="1"/>
  <c r="Y24" i="68"/>
  <c r="X24" i="68"/>
  <c r="Y15" i="68"/>
  <c r="X15" i="68"/>
  <c r="Y14" i="68"/>
  <c r="X14" i="68"/>
  <c r="Y13" i="68"/>
  <c r="X13" i="68"/>
  <c r="Y12" i="68"/>
  <c r="X12" i="68"/>
  <c r="Y11" i="68"/>
  <c r="X11" i="68"/>
  <c r="Y10" i="68"/>
  <c r="X10" i="68"/>
  <c r="K10" i="68"/>
  <c r="Y9" i="68"/>
  <c r="X9" i="68"/>
  <c r="K9" i="68"/>
  <c r="Y8" i="68"/>
  <c r="X8" i="68"/>
  <c r="K8" i="68"/>
  <c r="Y7" i="68"/>
  <c r="X7" i="68"/>
  <c r="B7" i="68"/>
  <c r="B8" i="68" s="1"/>
  <c r="B9" i="68" s="1"/>
  <c r="B10" i="68" s="1"/>
  <c r="B11" i="68" s="1"/>
  <c r="B12" i="68" s="1"/>
  <c r="B13" i="68" s="1"/>
  <c r="B14" i="68" s="1"/>
  <c r="B15" i="68" s="1"/>
  <c r="Y6" i="68"/>
  <c r="X6" i="68"/>
  <c r="P4" i="68"/>
  <c r="T4" i="68" s="1"/>
  <c r="J9" i="67"/>
  <c r="K9" i="67" s="1"/>
  <c r="J44" i="67"/>
  <c r="K44" i="67" s="1"/>
  <c r="J27" i="67"/>
  <c r="K27" i="67" s="1"/>
  <c r="J8" i="67"/>
  <c r="K8" i="67" s="1"/>
  <c r="K43" i="67"/>
  <c r="K45" i="67"/>
  <c r="K46" i="67"/>
  <c r="K47" i="67"/>
  <c r="J42" i="67"/>
  <c r="K42" i="67" s="1"/>
  <c r="K25" i="67"/>
  <c r="K26" i="67"/>
  <c r="K28" i="67"/>
  <c r="K24" i="67"/>
  <c r="J6" i="67"/>
  <c r="K6" i="67" s="1"/>
  <c r="K7" i="67"/>
  <c r="K10" i="67"/>
  <c r="T10" i="71" l="1"/>
  <c r="R12" i="71" s="1"/>
  <c r="Y34" i="70"/>
  <c r="X53" i="70"/>
  <c r="K53" i="70"/>
  <c r="K34" i="70"/>
  <c r="X16" i="70"/>
  <c r="K16" i="70"/>
  <c r="Y16" i="70"/>
  <c r="X34" i="70"/>
  <c r="P10" i="70"/>
  <c r="T10" i="70" s="1"/>
  <c r="R12" i="70" s="1"/>
  <c r="Y53" i="70"/>
  <c r="T4" i="70"/>
  <c r="K53" i="69"/>
  <c r="Y16" i="69"/>
  <c r="K16" i="69"/>
  <c r="K34" i="69"/>
  <c r="X34" i="69"/>
  <c r="X16" i="69"/>
  <c r="P10" i="69"/>
  <c r="T10" i="69" s="1"/>
  <c r="R12" i="69" s="1"/>
  <c r="Y34" i="69"/>
  <c r="Y53" i="69"/>
  <c r="X53" i="69"/>
  <c r="T4" i="69"/>
  <c r="K34" i="68"/>
  <c r="Y53" i="68"/>
  <c r="X53" i="68"/>
  <c r="X16" i="68"/>
  <c r="P10" i="68"/>
  <c r="T10" i="68" s="1"/>
  <c r="R12" i="68" s="1"/>
  <c r="Y16" i="68"/>
  <c r="Y34" i="68"/>
  <c r="X34" i="68"/>
  <c r="K53" i="68"/>
  <c r="K16" i="68"/>
  <c r="Y52" i="67"/>
  <c r="X52" i="67"/>
  <c r="K52" i="67"/>
  <c r="Y51" i="67"/>
  <c r="X51" i="67"/>
  <c r="K51" i="67"/>
  <c r="Y50" i="67"/>
  <c r="X50" i="67"/>
  <c r="K50" i="67"/>
  <c r="Y49" i="67"/>
  <c r="X49" i="67"/>
  <c r="K49" i="67"/>
  <c r="Y48" i="67"/>
  <c r="X48" i="67"/>
  <c r="K48" i="67"/>
  <c r="Y47" i="67"/>
  <c r="X47" i="67"/>
  <c r="Y46" i="67"/>
  <c r="X46" i="67"/>
  <c r="Y45" i="67"/>
  <c r="X45" i="67"/>
  <c r="B45" i="67"/>
  <c r="B46" i="67" s="1"/>
  <c r="B47" i="67" s="1"/>
  <c r="B48" i="67" s="1"/>
  <c r="B49" i="67" s="1"/>
  <c r="B50" i="67" s="1"/>
  <c r="B51" i="67" s="1"/>
  <c r="B52" i="67" s="1"/>
  <c r="Y44" i="67"/>
  <c r="X44" i="67"/>
  <c r="Y42" i="67"/>
  <c r="X42" i="67"/>
  <c r="K53" i="67"/>
  <c r="Y33" i="67"/>
  <c r="X33" i="67"/>
  <c r="Y32" i="67"/>
  <c r="X32" i="67"/>
  <c r="Y31" i="67"/>
  <c r="X31" i="67"/>
  <c r="Y30" i="67"/>
  <c r="X30" i="67"/>
  <c r="K30" i="67"/>
  <c r="Y29" i="67"/>
  <c r="X29" i="67"/>
  <c r="K29" i="67"/>
  <c r="Y28" i="67"/>
  <c r="X28" i="67"/>
  <c r="Y27" i="67"/>
  <c r="X27" i="67"/>
  <c r="Y26" i="67"/>
  <c r="X26" i="67"/>
  <c r="Y25" i="67"/>
  <c r="X25" i="67"/>
  <c r="B25" i="67"/>
  <c r="B26" i="67" s="1"/>
  <c r="B27" i="67" s="1"/>
  <c r="B28" i="67" s="1"/>
  <c r="B29" i="67" s="1"/>
  <c r="B30" i="67" s="1"/>
  <c r="B31" i="67" s="1"/>
  <c r="B32" i="67" s="1"/>
  <c r="B33" i="67" s="1"/>
  <c r="Y24" i="67"/>
  <c r="X24" i="67"/>
  <c r="K34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P8" i="67"/>
  <c r="T8" i="67" s="1"/>
  <c r="Y7" i="67"/>
  <c r="X7" i="67"/>
  <c r="B7" i="67"/>
  <c r="B8" i="67" s="1"/>
  <c r="B9" i="67" s="1"/>
  <c r="B10" i="67" s="1"/>
  <c r="B11" i="67" s="1"/>
  <c r="B12" i="67" s="1"/>
  <c r="B13" i="67" s="1"/>
  <c r="B14" i="67" s="1"/>
  <c r="B15" i="67" s="1"/>
  <c r="Y6" i="67"/>
  <c r="X6" i="67"/>
  <c r="P6" i="67"/>
  <c r="T6" i="67" s="1"/>
  <c r="K16" i="67"/>
  <c r="P4" i="67"/>
  <c r="T4" i="67" s="1"/>
  <c r="J28" i="66"/>
  <c r="K28" i="66" s="1"/>
  <c r="J26" i="66"/>
  <c r="K26" i="66" s="1"/>
  <c r="J8" i="66"/>
  <c r="K8" i="66" s="1"/>
  <c r="J24" i="66"/>
  <c r="K24" i="66" s="1"/>
  <c r="Y52" i="66"/>
  <c r="X52" i="66"/>
  <c r="K52" i="66"/>
  <c r="Y51" i="66"/>
  <c r="X51" i="66"/>
  <c r="K51" i="66"/>
  <c r="Y50" i="66"/>
  <c r="X50" i="66"/>
  <c r="K50" i="66"/>
  <c r="Y49" i="66"/>
  <c r="X49" i="66"/>
  <c r="K49" i="66"/>
  <c r="Y48" i="66"/>
  <c r="X48" i="66"/>
  <c r="K48" i="66"/>
  <c r="Y47" i="66"/>
  <c r="X47" i="66"/>
  <c r="Y46" i="66"/>
  <c r="X46" i="66"/>
  <c r="Y45" i="66"/>
  <c r="X45" i="66"/>
  <c r="K45" i="66"/>
  <c r="B45" i="66"/>
  <c r="B46" i="66" s="1"/>
  <c r="B47" i="66" s="1"/>
  <c r="B48" i="66" s="1"/>
  <c r="B49" i="66" s="1"/>
  <c r="B50" i="66" s="1"/>
  <c r="B51" i="66" s="1"/>
  <c r="B52" i="66" s="1"/>
  <c r="Y44" i="66"/>
  <c r="X44" i="66"/>
  <c r="K44" i="66"/>
  <c r="K43" i="66"/>
  <c r="Y42" i="66"/>
  <c r="X42" i="66"/>
  <c r="K42" i="66"/>
  <c r="Y33" i="66"/>
  <c r="X33" i="66"/>
  <c r="Y32" i="66"/>
  <c r="X32" i="66"/>
  <c r="Y31" i="66"/>
  <c r="X31" i="66"/>
  <c r="Y30" i="66"/>
  <c r="X30" i="66"/>
  <c r="K30" i="66"/>
  <c r="Y29" i="66"/>
  <c r="X29" i="66"/>
  <c r="K29" i="66"/>
  <c r="Y28" i="66"/>
  <c r="X28" i="66"/>
  <c r="Y27" i="66"/>
  <c r="X27" i="66"/>
  <c r="K27" i="66"/>
  <c r="Y26" i="66"/>
  <c r="X26" i="66"/>
  <c r="Y25" i="66"/>
  <c r="X25" i="66"/>
  <c r="K25" i="66"/>
  <c r="B25" i="66"/>
  <c r="B26" i="66" s="1"/>
  <c r="B27" i="66" s="1"/>
  <c r="B28" i="66" s="1"/>
  <c r="B29" i="66" s="1"/>
  <c r="B30" i="66" s="1"/>
  <c r="B31" i="66" s="1"/>
  <c r="B32" i="66" s="1"/>
  <c r="B33" i="66" s="1"/>
  <c r="Y24" i="66"/>
  <c r="X24" i="66"/>
  <c r="Y15" i="66"/>
  <c r="X15" i="66"/>
  <c r="Y14" i="66"/>
  <c r="X14" i="66"/>
  <c r="Y13" i="66"/>
  <c r="X13" i="66"/>
  <c r="Y12" i="66"/>
  <c r="X12" i="66"/>
  <c r="Y11" i="66"/>
  <c r="X11" i="66"/>
  <c r="Y10" i="66"/>
  <c r="X10" i="66"/>
  <c r="K10" i="66"/>
  <c r="Y9" i="66"/>
  <c r="X9" i="66"/>
  <c r="K9" i="66"/>
  <c r="Y8" i="66"/>
  <c r="X8" i="66"/>
  <c r="P8" i="66"/>
  <c r="T8" i="66" s="1"/>
  <c r="Y7" i="66"/>
  <c r="X7" i="66"/>
  <c r="K7" i="66"/>
  <c r="B7" i="66"/>
  <c r="B8" i="66" s="1"/>
  <c r="B9" i="66" s="1"/>
  <c r="B10" i="66" s="1"/>
  <c r="B11" i="66" s="1"/>
  <c r="B12" i="66" s="1"/>
  <c r="B13" i="66" s="1"/>
  <c r="B14" i="66" s="1"/>
  <c r="B15" i="66" s="1"/>
  <c r="Y6" i="66"/>
  <c r="X6" i="66"/>
  <c r="P6" i="66"/>
  <c r="T6" i="66" s="1"/>
  <c r="K6" i="66"/>
  <c r="P4" i="66"/>
  <c r="K30" i="65"/>
  <c r="K10" i="65"/>
  <c r="J29" i="65"/>
  <c r="K29" i="65" s="1"/>
  <c r="J45" i="65"/>
  <c r="K45" i="65" s="1"/>
  <c r="K8" i="65"/>
  <c r="K44" i="65"/>
  <c r="K43" i="65"/>
  <c r="J27" i="65"/>
  <c r="K27" i="65" s="1"/>
  <c r="J26" i="65"/>
  <c r="K26" i="65" s="1"/>
  <c r="K42" i="65"/>
  <c r="J24" i="65"/>
  <c r="K24" i="65" s="1"/>
  <c r="K7" i="65"/>
  <c r="K9" i="65"/>
  <c r="K6" i="65"/>
  <c r="K25" i="65"/>
  <c r="K28" i="65"/>
  <c r="Y52" i="65"/>
  <c r="X52" i="65"/>
  <c r="K52" i="65"/>
  <c r="Y51" i="65"/>
  <c r="X51" i="65"/>
  <c r="K51" i="65"/>
  <c r="Y50" i="65"/>
  <c r="X50" i="65"/>
  <c r="K50" i="65"/>
  <c r="Y49" i="65"/>
  <c r="X49" i="65"/>
  <c r="K49" i="65"/>
  <c r="Y48" i="65"/>
  <c r="X48" i="65"/>
  <c r="K48" i="65"/>
  <c r="Y47" i="65"/>
  <c r="X47" i="65"/>
  <c r="Y46" i="65"/>
  <c r="X46" i="65"/>
  <c r="Y45" i="65"/>
  <c r="X45" i="65"/>
  <c r="Y44" i="65"/>
  <c r="X44" i="65"/>
  <c r="B45" i="65"/>
  <c r="B46" i="65" s="1"/>
  <c r="B47" i="65" s="1"/>
  <c r="B48" i="65" s="1"/>
  <c r="B49" i="65" s="1"/>
  <c r="B50" i="65" s="1"/>
  <c r="B51" i="65" s="1"/>
  <c r="B52" i="65" s="1"/>
  <c r="Y42" i="65"/>
  <c r="X42" i="65"/>
  <c r="Y33" i="65"/>
  <c r="X33" i="65"/>
  <c r="Y32" i="65"/>
  <c r="X32" i="65"/>
  <c r="Y31" i="65"/>
  <c r="X31" i="65"/>
  <c r="Y30" i="65"/>
  <c r="X30" i="65"/>
  <c r="Y29" i="65"/>
  <c r="X29" i="65"/>
  <c r="Y28" i="65"/>
  <c r="X28" i="65"/>
  <c r="Y27" i="65"/>
  <c r="X27" i="65"/>
  <c r="Y26" i="65"/>
  <c r="X26" i="65"/>
  <c r="Y25" i="65"/>
  <c r="X25" i="65"/>
  <c r="B25" i="65"/>
  <c r="B26" i="65" s="1"/>
  <c r="B27" i="65" s="1"/>
  <c r="B28" i="65" s="1"/>
  <c r="B29" i="65" s="1"/>
  <c r="B30" i="65" s="1"/>
  <c r="B31" i="65" s="1"/>
  <c r="B32" i="65" s="1"/>
  <c r="B33" i="65" s="1"/>
  <c r="Y24" i="65"/>
  <c r="X24" i="65"/>
  <c r="Y15" i="65"/>
  <c r="X15" i="65"/>
  <c r="Y14" i="65"/>
  <c r="X14" i="65"/>
  <c r="Y13" i="65"/>
  <c r="X13" i="65"/>
  <c r="Y12" i="65"/>
  <c r="X12" i="65"/>
  <c r="Y11" i="65"/>
  <c r="X11" i="65"/>
  <c r="Y10" i="65"/>
  <c r="X10" i="65"/>
  <c r="Y9" i="65"/>
  <c r="X9" i="65"/>
  <c r="Y8" i="65"/>
  <c r="X8" i="65"/>
  <c r="P8" i="65"/>
  <c r="T8" i="65" s="1"/>
  <c r="Y7" i="65"/>
  <c r="X7" i="65"/>
  <c r="B7" i="65"/>
  <c r="B8" i="65" s="1"/>
  <c r="B9" i="65" s="1"/>
  <c r="B10" i="65" s="1"/>
  <c r="B11" i="65" s="1"/>
  <c r="B12" i="65" s="1"/>
  <c r="B13" i="65" s="1"/>
  <c r="B14" i="65" s="1"/>
  <c r="B15" i="65" s="1"/>
  <c r="Y6" i="65"/>
  <c r="X6" i="65"/>
  <c r="P6" i="65"/>
  <c r="T6" i="65" s="1"/>
  <c r="P4" i="65"/>
  <c r="Y53" i="66" l="1"/>
  <c r="X53" i="67"/>
  <c r="Y34" i="67"/>
  <c r="X34" i="67"/>
  <c r="Y16" i="67"/>
  <c r="X16" i="67"/>
  <c r="P10" i="67"/>
  <c r="T10" i="67" s="1"/>
  <c r="R12" i="67" s="1"/>
  <c r="Y53" i="67"/>
  <c r="Y34" i="66"/>
  <c r="Y16" i="66"/>
  <c r="X16" i="66"/>
  <c r="X34" i="66"/>
  <c r="P10" i="66"/>
  <c r="T10" i="66" s="1"/>
  <c r="R12" i="66" s="1"/>
  <c r="X53" i="66"/>
  <c r="K53" i="66"/>
  <c r="K34" i="66"/>
  <c r="K16" i="66"/>
  <c r="T4" i="66"/>
  <c r="X53" i="65"/>
  <c r="K53" i="65"/>
  <c r="K34" i="65"/>
  <c r="X16" i="65"/>
  <c r="K16" i="65"/>
  <c r="X34" i="65"/>
  <c r="Y53" i="65"/>
  <c r="P10" i="65"/>
  <c r="T10" i="65" s="1"/>
  <c r="R12" i="65" s="1"/>
  <c r="Y34" i="65"/>
  <c r="T4" i="65"/>
  <c r="Y16" i="65"/>
  <c r="K28" i="64" l="1"/>
  <c r="K43" i="64" l="1"/>
  <c r="Y52" i="64"/>
  <c r="X52" i="64"/>
  <c r="K52" i="64"/>
  <c r="Y51" i="64"/>
  <c r="X51" i="64"/>
  <c r="K51" i="64"/>
  <c r="Y50" i="64"/>
  <c r="X50" i="64"/>
  <c r="K50" i="64"/>
  <c r="Y49" i="64"/>
  <c r="X49" i="64"/>
  <c r="K49" i="64"/>
  <c r="Y48" i="64"/>
  <c r="X48" i="64"/>
  <c r="K48" i="64"/>
  <c r="Y47" i="64"/>
  <c r="X47" i="64"/>
  <c r="K47" i="64"/>
  <c r="Y46" i="64"/>
  <c r="X46" i="64"/>
  <c r="K46" i="64"/>
  <c r="Y45" i="64"/>
  <c r="X45" i="64"/>
  <c r="K45" i="64"/>
  <c r="Y44" i="64"/>
  <c r="X44" i="64"/>
  <c r="K44" i="64"/>
  <c r="B44" i="64"/>
  <c r="B45" i="64" s="1"/>
  <c r="B46" i="64" s="1"/>
  <c r="B47" i="64" s="1"/>
  <c r="B48" i="64" s="1"/>
  <c r="B49" i="64" s="1"/>
  <c r="B50" i="64" s="1"/>
  <c r="B51" i="64" s="1"/>
  <c r="B52" i="64" s="1"/>
  <c r="Y42" i="64"/>
  <c r="X42" i="64"/>
  <c r="K42" i="64"/>
  <c r="Y33" i="64"/>
  <c r="X33" i="64"/>
  <c r="Y32" i="64"/>
  <c r="X32" i="64"/>
  <c r="Y31" i="64"/>
  <c r="X31" i="64"/>
  <c r="Y30" i="64"/>
  <c r="X30" i="64"/>
  <c r="Y29" i="64"/>
  <c r="X29" i="64"/>
  <c r="Y28" i="64"/>
  <c r="X28" i="64"/>
  <c r="Y27" i="64"/>
  <c r="X27" i="64"/>
  <c r="K27" i="64"/>
  <c r="Y26" i="64"/>
  <c r="X26" i="64"/>
  <c r="K26" i="64"/>
  <c r="Y25" i="64"/>
  <c r="X25" i="64"/>
  <c r="K25" i="64"/>
  <c r="B25" i="64"/>
  <c r="B26" i="64" s="1"/>
  <c r="B27" i="64" s="1"/>
  <c r="B28" i="64" s="1"/>
  <c r="B29" i="64" s="1"/>
  <c r="B30" i="64" s="1"/>
  <c r="B31" i="64" s="1"/>
  <c r="B32" i="64" s="1"/>
  <c r="B33" i="64" s="1"/>
  <c r="Y24" i="64"/>
  <c r="X24" i="64"/>
  <c r="K24" i="64"/>
  <c r="Y15" i="64"/>
  <c r="X15" i="64"/>
  <c r="Y14" i="64"/>
  <c r="X14" i="64"/>
  <c r="Y13" i="64"/>
  <c r="X13" i="64"/>
  <c r="Y12" i="64"/>
  <c r="X12" i="64"/>
  <c r="Y11" i="64"/>
  <c r="X11" i="64"/>
  <c r="Y10" i="64"/>
  <c r="X10" i="64"/>
  <c r="K10" i="64"/>
  <c r="Y9" i="64"/>
  <c r="X9" i="64"/>
  <c r="K9" i="64"/>
  <c r="Y8" i="64"/>
  <c r="X8" i="64"/>
  <c r="P8" i="64"/>
  <c r="T8" i="64" s="1"/>
  <c r="K8" i="64"/>
  <c r="Y7" i="64"/>
  <c r="X7" i="64"/>
  <c r="K7" i="64"/>
  <c r="B7" i="64"/>
  <c r="B8" i="64" s="1"/>
  <c r="B9" i="64" s="1"/>
  <c r="B10" i="64" s="1"/>
  <c r="B11" i="64" s="1"/>
  <c r="B12" i="64" s="1"/>
  <c r="B13" i="64" s="1"/>
  <c r="B14" i="64" s="1"/>
  <c r="B15" i="64" s="1"/>
  <c r="Y6" i="64"/>
  <c r="X6" i="64"/>
  <c r="P6" i="64"/>
  <c r="T6" i="64" s="1"/>
  <c r="K6" i="64"/>
  <c r="P4" i="64"/>
  <c r="K27" i="63"/>
  <c r="K43" i="63"/>
  <c r="K44" i="63"/>
  <c r="K45" i="63"/>
  <c r="I26" i="63"/>
  <c r="K26" i="63" s="1"/>
  <c r="K42" i="63"/>
  <c r="J25" i="63"/>
  <c r="K25" i="63" s="1"/>
  <c r="K24" i="63"/>
  <c r="K7" i="63"/>
  <c r="K8" i="63"/>
  <c r="K9" i="63"/>
  <c r="K10" i="63"/>
  <c r="K6" i="63"/>
  <c r="Y51" i="63"/>
  <c r="X51" i="63"/>
  <c r="K51" i="63"/>
  <c r="Y50" i="63"/>
  <c r="X50" i="63"/>
  <c r="K50" i="63"/>
  <c r="Y49" i="63"/>
  <c r="X49" i="63"/>
  <c r="K49" i="63"/>
  <c r="Y48" i="63"/>
  <c r="X48" i="63"/>
  <c r="K48" i="63"/>
  <c r="Y47" i="63"/>
  <c r="X47" i="63"/>
  <c r="K47" i="63"/>
  <c r="Y46" i="63"/>
  <c r="X46" i="63"/>
  <c r="K46" i="63"/>
  <c r="Y45" i="63"/>
  <c r="X45" i="63"/>
  <c r="Y44" i="63"/>
  <c r="X44" i="63"/>
  <c r="Y43" i="63"/>
  <c r="X43" i="63"/>
  <c r="B43" i="63"/>
  <c r="B44" i="63" s="1"/>
  <c r="B45" i="63" s="1"/>
  <c r="B46" i="63" s="1"/>
  <c r="B47" i="63" s="1"/>
  <c r="B48" i="63" s="1"/>
  <c r="B49" i="63" s="1"/>
  <c r="B50" i="63" s="1"/>
  <c r="B51" i="63" s="1"/>
  <c r="Y42" i="63"/>
  <c r="X42" i="63"/>
  <c r="Y33" i="63"/>
  <c r="X33" i="63"/>
  <c r="Y32" i="63"/>
  <c r="X32" i="63"/>
  <c r="Y31" i="63"/>
  <c r="X31" i="63"/>
  <c r="Y30" i="63"/>
  <c r="X30" i="63"/>
  <c r="Y29" i="63"/>
  <c r="X29" i="63"/>
  <c r="Y28" i="63"/>
  <c r="X28" i="63"/>
  <c r="Y27" i="63"/>
  <c r="X27" i="63"/>
  <c r="Y26" i="63"/>
  <c r="X26" i="63"/>
  <c r="Y25" i="63"/>
  <c r="X25" i="63"/>
  <c r="B25" i="63"/>
  <c r="B26" i="63" s="1"/>
  <c r="B27" i="63" s="1"/>
  <c r="B28" i="63" s="1"/>
  <c r="B29" i="63" s="1"/>
  <c r="B30" i="63" s="1"/>
  <c r="B31" i="63" s="1"/>
  <c r="B32" i="63" s="1"/>
  <c r="B33" i="63" s="1"/>
  <c r="Y24" i="63"/>
  <c r="X24" i="63"/>
  <c r="Y15" i="63"/>
  <c r="X15" i="63"/>
  <c r="Y14" i="63"/>
  <c r="X14" i="63"/>
  <c r="Y13" i="63"/>
  <c r="X13" i="63"/>
  <c r="Y12" i="63"/>
  <c r="X12" i="63"/>
  <c r="Y11" i="63"/>
  <c r="X11" i="63"/>
  <c r="Y10" i="63"/>
  <c r="X10" i="63"/>
  <c r="R10" i="63"/>
  <c r="Y9" i="63"/>
  <c r="X9" i="63"/>
  <c r="Y8" i="63"/>
  <c r="X8" i="63"/>
  <c r="P8" i="63"/>
  <c r="T8" i="63" s="1"/>
  <c r="Y7" i="63"/>
  <c r="X7" i="63"/>
  <c r="B7" i="63"/>
  <c r="B8" i="63" s="1"/>
  <c r="B9" i="63" s="1"/>
  <c r="B10" i="63" s="1"/>
  <c r="B11" i="63" s="1"/>
  <c r="B12" i="63" s="1"/>
  <c r="B13" i="63" s="1"/>
  <c r="B14" i="63" s="1"/>
  <c r="B15" i="63" s="1"/>
  <c r="Y6" i="63"/>
  <c r="X6" i="63"/>
  <c r="P6" i="63"/>
  <c r="P4" i="63"/>
  <c r="T4" i="63" s="1"/>
  <c r="K25" i="62"/>
  <c r="K26" i="62"/>
  <c r="K7" i="62"/>
  <c r="K8" i="62"/>
  <c r="K6" i="62"/>
  <c r="J24" i="62"/>
  <c r="K24" i="62" s="1"/>
  <c r="K43" i="62"/>
  <c r="K44" i="62"/>
  <c r="K45" i="62"/>
  <c r="K42" i="62"/>
  <c r="Y51" i="62"/>
  <c r="X51" i="62"/>
  <c r="K51" i="62"/>
  <c r="Y50" i="62"/>
  <c r="X50" i="62"/>
  <c r="K50" i="62"/>
  <c r="Y49" i="62"/>
  <c r="X49" i="62"/>
  <c r="K49" i="62"/>
  <c r="Y48" i="62"/>
  <c r="X48" i="62"/>
  <c r="K48" i="62"/>
  <c r="Y47" i="62"/>
  <c r="X47" i="62"/>
  <c r="K47" i="62"/>
  <c r="Y46" i="62"/>
  <c r="X46" i="62"/>
  <c r="K46" i="62"/>
  <c r="Y45" i="62"/>
  <c r="X45" i="62"/>
  <c r="Y44" i="62"/>
  <c r="X44" i="62"/>
  <c r="Y43" i="62"/>
  <c r="X43" i="62"/>
  <c r="B43" i="62"/>
  <c r="B44" i="62" s="1"/>
  <c r="B45" i="62" s="1"/>
  <c r="B46" i="62" s="1"/>
  <c r="B47" i="62" s="1"/>
  <c r="B48" i="62" s="1"/>
  <c r="B49" i="62" s="1"/>
  <c r="B50" i="62" s="1"/>
  <c r="B51" i="62" s="1"/>
  <c r="Y42" i="62"/>
  <c r="X42" i="62"/>
  <c r="Y33" i="62"/>
  <c r="X33" i="62"/>
  <c r="Y32" i="62"/>
  <c r="X32" i="62"/>
  <c r="Y31" i="62"/>
  <c r="X31" i="62"/>
  <c r="Y30" i="62"/>
  <c r="X30" i="62"/>
  <c r="Y29" i="62"/>
  <c r="X29" i="62"/>
  <c r="Y28" i="62"/>
  <c r="X28" i="62"/>
  <c r="Y27" i="62"/>
  <c r="X27" i="62"/>
  <c r="Y26" i="62"/>
  <c r="X26" i="62"/>
  <c r="Y25" i="62"/>
  <c r="X25" i="62"/>
  <c r="B25" i="62"/>
  <c r="B26" i="62" s="1"/>
  <c r="B27" i="62" s="1"/>
  <c r="B28" i="62" s="1"/>
  <c r="B29" i="62" s="1"/>
  <c r="B30" i="62" s="1"/>
  <c r="B31" i="62" s="1"/>
  <c r="B32" i="62" s="1"/>
  <c r="B33" i="62" s="1"/>
  <c r="Y24" i="62"/>
  <c r="X24" i="62"/>
  <c r="Y15" i="62"/>
  <c r="X15" i="62"/>
  <c r="Y14" i="62"/>
  <c r="X14" i="62"/>
  <c r="Y13" i="62"/>
  <c r="X13" i="62"/>
  <c r="Y12" i="62"/>
  <c r="X12" i="62"/>
  <c r="Y11" i="62"/>
  <c r="X11" i="62"/>
  <c r="Y10" i="62"/>
  <c r="X10" i="62"/>
  <c r="R10" i="62"/>
  <c r="Y9" i="62"/>
  <c r="X9" i="62"/>
  <c r="Y8" i="62"/>
  <c r="X8" i="62"/>
  <c r="P8" i="62"/>
  <c r="Y7" i="62"/>
  <c r="X7" i="62"/>
  <c r="B7" i="62"/>
  <c r="B8" i="62" s="1"/>
  <c r="B9" i="62" s="1"/>
  <c r="B10" i="62" s="1"/>
  <c r="B11" i="62" s="1"/>
  <c r="B12" i="62" s="1"/>
  <c r="B13" i="62" s="1"/>
  <c r="B14" i="62" s="1"/>
  <c r="B15" i="62" s="1"/>
  <c r="Y6" i="62"/>
  <c r="X6" i="62"/>
  <c r="P6" i="62"/>
  <c r="T6" i="62" s="1"/>
  <c r="P4" i="62"/>
  <c r="T4" i="62" s="1"/>
  <c r="Y51" i="61"/>
  <c r="X51" i="61"/>
  <c r="K51" i="61"/>
  <c r="Y50" i="61"/>
  <c r="X50" i="61"/>
  <c r="K50" i="61"/>
  <c r="Y49" i="61"/>
  <c r="X49" i="61"/>
  <c r="K49" i="61"/>
  <c r="Y48" i="61"/>
  <c r="X48" i="61"/>
  <c r="K48" i="61"/>
  <c r="Y47" i="61"/>
  <c r="X47" i="61"/>
  <c r="K47" i="61"/>
  <c r="Y46" i="61"/>
  <c r="X46" i="61"/>
  <c r="K46" i="61"/>
  <c r="Y45" i="61"/>
  <c r="X45" i="61"/>
  <c r="K45" i="61"/>
  <c r="Y44" i="61"/>
  <c r="X44" i="61"/>
  <c r="K44" i="61"/>
  <c r="Y43" i="61"/>
  <c r="X43" i="61"/>
  <c r="K43" i="61"/>
  <c r="B43" i="61"/>
  <c r="B44" i="61" s="1"/>
  <c r="B45" i="61" s="1"/>
  <c r="B46" i="61" s="1"/>
  <c r="B47" i="61" s="1"/>
  <c r="B48" i="61" s="1"/>
  <c r="B49" i="61" s="1"/>
  <c r="B50" i="61" s="1"/>
  <c r="B51" i="61" s="1"/>
  <c r="Y42" i="61"/>
  <c r="X42" i="61"/>
  <c r="K42" i="61"/>
  <c r="Y33" i="61"/>
  <c r="X33" i="61"/>
  <c r="Y32" i="61"/>
  <c r="X32" i="61"/>
  <c r="Y31" i="61"/>
  <c r="X31" i="61"/>
  <c r="Y30" i="61"/>
  <c r="X30" i="61"/>
  <c r="Y29" i="61"/>
  <c r="X29" i="61"/>
  <c r="Y28" i="61"/>
  <c r="X28" i="61"/>
  <c r="Y27" i="61"/>
  <c r="X27" i="61"/>
  <c r="Y26" i="61"/>
  <c r="X26" i="61"/>
  <c r="Y25" i="61"/>
  <c r="X25" i="61"/>
  <c r="B25" i="61"/>
  <c r="B26" i="61" s="1"/>
  <c r="B27" i="61" s="1"/>
  <c r="B28" i="61" s="1"/>
  <c r="B29" i="61" s="1"/>
  <c r="B30" i="61" s="1"/>
  <c r="B31" i="61" s="1"/>
  <c r="B32" i="61" s="1"/>
  <c r="B33" i="61" s="1"/>
  <c r="Y24" i="61"/>
  <c r="X24" i="61"/>
  <c r="K34" i="61"/>
  <c r="Y15" i="61"/>
  <c r="X15" i="61"/>
  <c r="Y14" i="61"/>
  <c r="X14" i="61"/>
  <c r="Y13" i="61"/>
  <c r="X13" i="61"/>
  <c r="Y12" i="61"/>
  <c r="X12" i="61"/>
  <c r="Y11" i="61"/>
  <c r="X11" i="61"/>
  <c r="Y10" i="61"/>
  <c r="X10" i="61"/>
  <c r="R10" i="61"/>
  <c r="Q10" i="61"/>
  <c r="Y9" i="61"/>
  <c r="X9" i="61"/>
  <c r="Y8" i="61"/>
  <c r="X8" i="61"/>
  <c r="P8" i="61"/>
  <c r="S8" i="61" s="1"/>
  <c r="Y7" i="61"/>
  <c r="X7" i="61"/>
  <c r="B7" i="61"/>
  <c r="B8" i="61" s="1"/>
  <c r="B9" i="61" s="1"/>
  <c r="B10" i="61" s="1"/>
  <c r="B11" i="61" s="1"/>
  <c r="B12" i="61" s="1"/>
  <c r="B13" i="61" s="1"/>
  <c r="B14" i="61" s="1"/>
  <c r="B15" i="61" s="1"/>
  <c r="Y6" i="61"/>
  <c r="X6" i="61"/>
  <c r="P6" i="61"/>
  <c r="T6" i="61" s="1"/>
  <c r="K16" i="61"/>
  <c r="P4" i="61"/>
  <c r="K43" i="60"/>
  <c r="K44" i="60"/>
  <c r="K45" i="60"/>
  <c r="K46" i="60"/>
  <c r="K25" i="60"/>
  <c r="K26" i="60"/>
  <c r="K27" i="60"/>
  <c r="J24" i="60"/>
  <c r="K24" i="60" s="1"/>
  <c r="J42" i="60"/>
  <c r="K42" i="60" s="1"/>
  <c r="J6" i="60"/>
  <c r="K6" i="60" s="1"/>
  <c r="K11" i="60"/>
  <c r="Y51" i="60"/>
  <c r="X51" i="60"/>
  <c r="K51" i="60"/>
  <c r="Y50" i="60"/>
  <c r="X50" i="60"/>
  <c r="K50" i="60"/>
  <c r="Y49" i="60"/>
  <c r="X49" i="60"/>
  <c r="K49" i="60"/>
  <c r="Y48" i="60"/>
  <c r="X48" i="60"/>
  <c r="K48" i="60"/>
  <c r="Y47" i="60"/>
  <c r="X47" i="60"/>
  <c r="K47" i="60"/>
  <c r="Y46" i="60"/>
  <c r="X46" i="60"/>
  <c r="Y45" i="60"/>
  <c r="X45" i="60"/>
  <c r="Y44" i="60"/>
  <c r="X44" i="60"/>
  <c r="Y43" i="60"/>
  <c r="X43" i="60"/>
  <c r="B43" i="60"/>
  <c r="B44" i="60" s="1"/>
  <c r="B45" i="60" s="1"/>
  <c r="B46" i="60" s="1"/>
  <c r="B47" i="60" s="1"/>
  <c r="B48" i="60" s="1"/>
  <c r="B49" i="60" s="1"/>
  <c r="B50" i="60" s="1"/>
  <c r="B51" i="60" s="1"/>
  <c r="Y42" i="60"/>
  <c r="X42" i="60"/>
  <c r="Y33" i="60"/>
  <c r="X33" i="60"/>
  <c r="K33" i="60"/>
  <c r="Y32" i="60"/>
  <c r="X32" i="60"/>
  <c r="K32" i="60"/>
  <c r="Y31" i="60"/>
  <c r="X31" i="60"/>
  <c r="K31" i="60"/>
  <c r="Y30" i="60"/>
  <c r="X30" i="60"/>
  <c r="K30" i="60"/>
  <c r="Y29" i="60"/>
  <c r="X29" i="60"/>
  <c r="K29" i="60"/>
  <c r="Y28" i="60"/>
  <c r="X28" i="60"/>
  <c r="K28" i="60"/>
  <c r="Y27" i="60"/>
  <c r="X27" i="60"/>
  <c r="Y26" i="60"/>
  <c r="X26" i="60"/>
  <c r="Y25" i="60"/>
  <c r="X25" i="60"/>
  <c r="B25" i="60"/>
  <c r="B26" i="60" s="1"/>
  <c r="B27" i="60" s="1"/>
  <c r="B28" i="60" s="1"/>
  <c r="B29" i="60" s="1"/>
  <c r="B30" i="60" s="1"/>
  <c r="B31" i="60" s="1"/>
  <c r="B32" i="60" s="1"/>
  <c r="B33" i="60" s="1"/>
  <c r="Y24" i="60"/>
  <c r="X24" i="60"/>
  <c r="Y15" i="60"/>
  <c r="X15" i="60"/>
  <c r="K15" i="60"/>
  <c r="Y14" i="60"/>
  <c r="X14" i="60"/>
  <c r="K14" i="60"/>
  <c r="Y13" i="60"/>
  <c r="X13" i="60"/>
  <c r="K13" i="60"/>
  <c r="Y12" i="60"/>
  <c r="X12" i="60"/>
  <c r="K12" i="60"/>
  <c r="Y11" i="60"/>
  <c r="X11" i="60"/>
  <c r="Y10" i="60"/>
  <c r="X10" i="60"/>
  <c r="K10" i="60"/>
  <c r="Y9" i="60"/>
  <c r="X9" i="60"/>
  <c r="K9" i="60"/>
  <c r="Y8" i="60"/>
  <c r="X8" i="60"/>
  <c r="P8" i="60"/>
  <c r="K8" i="60"/>
  <c r="Y7" i="60"/>
  <c r="X7" i="60"/>
  <c r="K7" i="60"/>
  <c r="B7" i="60"/>
  <c r="B8" i="60" s="1"/>
  <c r="B9" i="60" s="1"/>
  <c r="B10" i="60" s="1"/>
  <c r="B11" i="60" s="1"/>
  <c r="Y6" i="60"/>
  <c r="X6" i="60"/>
  <c r="P6" i="60"/>
  <c r="P4" i="60"/>
  <c r="J26" i="57"/>
  <c r="P6" i="57"/>
  <c r="K51" i="57"/>
  <c r="K50" i="57"/>
  <c r="K49" i="57"/>
  <c r="K48" i="57"/>
  <c r="K47" i="57"/>
  <c r="K46" i="57"/>
  <c r="K45" i="57"/>
  <c r="K44" i="57"/>
  <c r="K43" i="57"/>
  <c r="B43" i="57"/>
  <c r="B44" i="57" s="1"/>
  <c r="B45" i="57" s="1"/>
  <c r="B46" i="57" s="1"/>
  <c r="B47" i="57" s="1"/>
  <c r="B48" i="57" s="1"/>
  <c r="B49" i="57" s="1"/>
  <c r="B50" i="57" s="1"/>
  <c r="B51" i="57" s="1"/>
  <c r="K42" i="57"/>
  <c r="K33" i="57"/>
  <c r="K32" i="57"/>
  <c r="K31" i="57"/>
  <c r="K30" i="57"/>
  <c r="K29" i="57"/>
  <c r="K28" i="57"/>
  <c r="K27" i="57"/>
  <c r="K26" i="57"/>
  <c r="K25" i="57"/>
  <c r="B25" i="57"/>
  <c r="B26" i="57" s="1"/>
  <c r="B27" i="57" s="1"/>
  <c r="B28" i="57" s="1"/>
  <c r="B29" i="57" s="1"/>
  <c r="B30" i="57" s="1"/>
  <c r="B31" i="57" s="1"/>
  <c r="B32" i="57" s="1"/>
  <c r="B33" i="57" s="1"/>
  <c r="K24" i="57"/>
  <c r="X26" i="57"/>
  <c r="X28" i="57"/>
  <c r="X30" i="57"/>
  <c r="X32" i="57"/>
  <c r="K15" i="57"/>
  <c r="K14" i="57"/>
  <c r="K13" i="57"/>
  <c r="K12" i="57"/>
  <c r="K11" i="57"/>
  <c r="K10" i="57"/>
  <c r="K9" i="57"/>
  <c r="K8" i="57"/>
  <c r="K7" i="57"/>
  <c r="K6" i="57"/>
  <c r="Y51" i="57"/>
  <c r="Y50" i="57"/>
  <c r="Y49" i="57"/>
  <c r="Y48" i="57"/>
  <c r="Y47" i="57"/>
  <c r="Y46" i="57"/>
  <c r="Y45" i="57"/>
  <c r="Y44" i="57"/>
  <c r="Y43" i="57"/>
  <c r="Y42" i="57"/>
  <c r="Y33" i="57"/>
  <c r="X33" i="57"/>
  <c r="Y32" i="57"/>
  <c r="Y31" i="57"/>
  <c r="X31" i="57"/>
  <c r="Y30" i="57"/>
  <c r="Y29" i="57"/>
  <c r="X29" i="57"/>
  <c r="Y28" i="57"/>
  <c r="Y27" i="57"/>
  <c r="X27" i="57"/>
  <c r="Y26" i="57"/>
  <c r="Y25" i="57"/>
  <c r="X25" i="57"/>
  <c r="Y24" i="57"/>
  <c r="X24" i="57"/>
  <c r="Y15" i="57"/>
  <c r="Y14" i="57"/>
  <c r="Y13" i="57"/>
  <c r="Y12" i="57"/>
  <c r="X12" i="57"/>
  <c r="Y11" i="57"/>
  <c r="X11" i="57"/>
  <c r="X10" i="57"/>
  <c r="Y10" i="57"/>
  <c r="Y9" i="57"/>
  <c r="X9" i="57"/>
  <c r="Y8" i="57"/>
  <c r="P8" i="57"/>
  <c r="X8" i="57"/>
  <c r="X7" i="57"/>
  <c r="B7" i="57"/>
  <c r="B8" i="57" s="1"/>
  <c r="B9" i="57" s="1"/>
  <c r="B10" i="57" s="1"/>
  <c r="B11" i="57" s="1"/>
  <c r="B12" i="57" s="1"/>
  <c r="B13" i="57" s="1"/>
  <c r="B14" i="57" s="1"/>
  <c r="B15" i="57" s="1"/>
  <c r="X6" i="57"/>
  <c r="P4" i="57"/>
  <c r="S6" i="61" l="1"/>
  <c r="Y34" i="61"/>
  <c r="X34" i="61"/>
  <c r="K34" i="62"/>
  <c r="Y16" i="64"/>
  <c r="X16" i="64"/>
  <c r="X52" i="61"/>
  <c r="Y16" i="61"/>
  <c r="Y52" i="61"/>
  <c r="Y34" i="64"/>
  <c r="K34" i="64"/>
  <c r="X53" i="64"/>
  <c r="Y53" i="64"/>
  <c r="K16" i="64"/>
  <c r="K53" i="64"/>
  <c r="X34" i="64"/>
  <c r="P10" i="64"/>
  <c r="T10" i="64" s="1"/>
  <c r="R12" i="64" s="1"/>
  <c r="T4" i="64"/>
  <c r="K52" i="63"/>
  <c r="X52" i="63"/>
  <c r="K16" i="63"/>
  <c r="K34" i="63"/>
  <c r="X34" i="63"/>
  <c r="Y52" i="63"/>
  <c r="Y34" i="63"/>
  <c r="X16" i="63"/>
  <c r="Y16" i="63"/>
  <c r="P10" i="63"/>
  <c r="T10" i="63" s="1"/>
  <c r="R12" i="63" s="1"/>
  <c r="T6" i="63"/>
  <c r="X34" i="62"/>
  <c r="Y34" i="62"/>
  <c r="Y16" i="62"/>
  <c r="X16" i="62"/>
  <c r="K16" i="62"/>
  <c r="X52" i="62"/>
  <c r="Y52" i="62"/>
  <c r="K52" i="62"/>
  <c r="S6" i="62"/>
  <c r="P10" i="62"/>
  <c r="T10" i="62" s="1"/>
  <c r="R12" i="62" s="1"/>
  <c r="T8" i="62"/>
  <c r="X16" i="61"/>
  <c r="T4" i="61"/>
  <c r="P10" i="61"/>
  <c r="T10" i="61" s="1"/>
  <c r="R12" i="61" s="1"/>
  <c r="T8" i="61"/>
  <c r="K52" i="61"/>
  <c r="S10" i="61"/>
  <c r="Y52" i="60"/>
  <c r="K52" i="60"/>
  <c r="B12" i="60"/>
  <c r="B13" i="60" s="1"/>
  <c r="B14" i="60" s="1"/>
  <c r="B15" i="60" s="1"/>
  <c r="K16" i="60"/>
  <c r="Y34" i="60"/>
  <c r="X16" i="60"/>
  <c r="T4" i="60" s="1"/>
  <c r="X34" i="60"/>
  <c r="X52" i="60"/>
  <c r="T8" i="60" s="1"/>
  <c r="P10" i="60"/>
  <c r="T6" i="60"/>
  <c r="Y16" i="60"/>
  <c r="K34" i="60"/>
  <c r="X34" i="57"/>
  <c r="Q6" i="57" s="1"/>
  <c r="K16" i="57"/>
  <c r="K52" i="57"/>
  <c r="K34" i="57"/>
  <c r="Y34" i="57"/>
  <c r="R6" i="57" s="1"/>
  <c r="P10" i="57"/>
  <c r="Y52" i="57"/>
  <c r="R8" i="57" s="1"/>
  <c r="X13" i="57"/>
  <c r="X14" i="57"/>
  <c r="X15" i="57"/>
  <c r="X42" i="57"/>
  <c r="X43" i="57"/>
  <c r="X44" i="57"/>
  <c r="X45" i="57"/>
  <c r="X46" i="57"/>
  <c r="X47" i="57"/>
  <c r="X48" i="57"/>
  <c r="X49" i="57"/>
  <c r="X50" i="57"/>
  <c r="X51" i="57"/>
  <c r="Y6" i="57"/>
  <c r="Y7" i="57"/>
  <c r="S8" i="60" l="1"/>
  <c r="S6" i="60"/>
  <c r="Q10" i="60"/>
  <c r="T10" i="60" s="1"/>
  <c r="R12" i="60" s="1"/>
  <c r="S4" i="60"/>
  <c r="R10" i="60"/>
  <c r="S6" i="57"/>
  <c r="T6" i="57"/>
  <c r="X16" i="57"/>
  <c r="Q4" i="57" s="1"/>
  <c r="T4" i="57" s="1"/>
  <c r="Y16" i="57"/>
  <c r="R4" i="57" s="1"/>
  <c r="R10" i="57" s="1"/>
  <c r="X52" i="57"/>
  <c r="Q8" i="57" s="1"/>
  <c r="S10" i="60" l="1"/>
  <c r="S4" i="57"/>
  <c r="T8" i="57"/>
  <c r="S8" i="57"/>
  <c r="Q10" i="57"/>
  <c r="T10" i="57" s="1"/>
  <c r="R12" i="57" s="1"/>
  <c r="S10" i="57" l="1"/>
  <c r="I20" i="55"/>
  <c r="J20" i="55" s="1"/>
  <c r="J21" i="55"/>
  <c r="J19" i="55"/>
  <c r="J13" i="55"/>
  <c r="J14" i="55"/>
  <c r="J12" i="55"/>
  <c r="J6" i="55"/>
  <c r="J7" i="55"/>
  <c r="J5" i="55"/>
  <c r="I21" i="54"/>
  <c r="J21" i="54" s="1"/>
  <c r="J20" i="54"/>
  <c r="J19" i="54"/>
  <c r="J14" i="54"/>
  <c r="J13" i="54"/>
  <c r="J8" i="54"/>
  <c r="J7" i="54"/>
  <c r="J6" i="54"/>
  <c r="J5" i="54"/>
  <c r="I8" i="53"/>
  <c r="J8" i="53" s="1"/>
  <c r="I21" i="53"/>
  <c r="J21" i="53" s="1"/>
  <c r="J22" i="53"/>
  <c r="J20" i="53"/>
  <c r="J19" i="53"/>
  <c r="J14" i="53"/>
  <c r="J13" i="53"/>
  <c r="J7" i="53"/>
  <c r="J6" i="53"/>
  <c r="J5" i="53"/>
  <c r="J24" i="52"/>
  <c r="I21" i="52"/>
  <c r="J21" i="52" s="1"/>
  <c r="J23" i="52"/>
  <c r="J22" i="52"/>
  <c r="J20" i="52"/>
  <c r="J15" i="52"/>
  <c r="J17" i="52" s="1"/>
  <c r="J14" i="52"/>
  <c r="J13" i="52"/>
  <c r="J7" i="52"/>
  <c r="J6" i="52"/>
  <c r="J5" i="52"/>
  <c r="J15" i="51"/>
  <c r="J23" i="51"/>
  <c r="J22" i="51"/>
  <c r="J21" i="51"/>
  <c r="J20" i="51"/>
  <c r="J14" i="51"/>
  <c r="J13" i="51"/>
  <c r="J7" i="51"/>
  <c r="J6" i="51"/>
  <c r="J5" i="51"/>
  <c r="I24" i="50"/>
  <c r="I23" i="50"/>
  <c r="I22" i="50"/>
  <c r="I21" i="50"/>
  <c r="I15" i="50"/>
  <c r="I14" i="50"/>
  <c r="I7" i="50"/>
  <c r="I6" i="50"/>
  <c r="I5" i="50"/>
  <c r="I24" i="49"/>
  <c r="I23" i="49"/>
  <c r="I22" i="49"/>
  <c r="I21" i="49"/>
  <c r="I15" i="49"/>
  <c r="I14" i="49"/>
  <c r="I7" i="49"/>
  <c r="I6" i="49"/>
  <c r="I5" i="49"/>
  <c r="I35" i="48"/>
  <c r="I34" i="48"/>
  <c r="I33" i="48"/>
  <c r="I32" i="48"/>
  <c r="I31" i="48"/>
  <c r="I30" i="48"/>
  <c r="I29" i="48"/>
  <c r="I21" i="48"/>
  <c r="I20" i="48"/>
  <c r="I19" i="48"/>
  <c r="I18" i="48"/>
  <c r="I17" i="48"/>
  <c r="I16" i="48"/>
  <c r="I9" i="48"/>
  <c r="I8" i="48"/>
  <c r="I7" i="48"/>
  <c r="I6" i="48"/>
  <c r="I5" i="48"/>
  <c r="I35" i="47"/>
  <c r="I34" i="47"/>
  <c r="I33" i="47"/>
  <c r="I32" i="47"/>
  <c r="I31" i="47"/>
  <c r="I30" i="47"/>
  <c r="I29" i="47"/>
  <c r="I21" i="47"/>
  <c r="I20" i="47"/>
  <c r="I19" i="47"/>
  <c r="I18" i="47"/>
  <c r="I17" i="47"/>
  <c r="I16" i="47"/>
  <c r="I9" i="47"/>
  <c r="I8" i="47"/>
  <c r="I7" i="47"/>
  <c r="I6" i="47"/>
  <c r="I5" i="47"/>
  <c r="I35" i="46"/>
  <c r="I34" i="46"/>
  <c r="I33" i="46"/>
  <c r="I32" i="46"/>
  <c r="I31" i="46"/>
  <c r="I30" i="46"/>
  <c r="I29" i="46"/>
  <c r="I21" i="46"/>
  <c r="I20" i="46"/>
  <c r="I19" i="46"/>
  <c r="I18" i="46"/>
  <c r="I17" i="46"/>
  <c r="I16" i="46"/>
  <c r="I9" i="46"/>
  <c r="I8" i="46"/>
  <c r="I7" i="46"/>
  <c r="I6" i="46"/>
  <c r="I5" i="46"/>
  <c r="I21" i="45"/>
  <c r="I35" i="45"/>
  <c r="I34" i="45"/>
  <c r="I33" i="45"/>
  <c r="I32" i="45"/>
  <c r="I31" i="45"/>
  <c r="I30" i="45"/>
  <c r="I29" i="45"/>
  <c r="I20" i="45"/>
  <c r="I19" i="45"/>
  <c r="I18" i="45"/>
  <c r="I17" i="45"/>
  <c r="I16" i="45"/>
  <c r="I9" i="45"/>
  <c r="I8" i="45"/>
  <c r="I7" i="45"/>
  <c r="I6" i="45"/>
  <c r="I5" i="45"/>
  <c r="I32" i="44"/>
  <c r="I31" i="44"/>
  <c r="I30" i="44"/>
  <c r="I29" i="44"/>
  <c r="I28" i="44"/>
  <c r="I27" i="44"/>
  <c r="I20" i="44"/>
  <c r="I19" i="44"/>
  <c r="I18" i="44"/>
  <c r="I17" i="44"/>
  <c r="I16" i="44"/>
  <c r="I9" i="44"/>
  <c r="I8" i="44"/>
  <c r="I7" i="44"/>
  <c r="I6" i="44"/>
  <c r="I5" i="44"/>
  <c r="J25" i="52" l="1"/>
  <c r="I36" i="45"/>
  <c r="I23" i="45"/>
  <c r="J15" i="55"/>
  <c r="J22" i="55"/>
  <c r="J8" i="55"/>
  <c r="J15" i="54"/>
  <c r="J22" i="54"/>
  <c r="J9" i="54"/>
  <c r="J9" i="53"/>
  <c r="J15" i="53"/>
  <c r="J23" i="53"/>
  <c r="J8" i="52"/>
  <c r="J8" i="51"/>
  <c r="J24" i="51"/>
  <c r="I9" i="50"/>
  <c r="I26" i="50"/>
  <c r="I17" i="50"/>
  <c r="I26" i="49"/>
  <c r="I17" i="49"/>
  <c r="I9" i="49"/>
  <c r="I36" i="48"/>
  <c r="I23" i="48"/>
  <c r="I10" i="48"/>
  <c r="I36" i="47"/>
  <c r="I23" i="47"/>
  <c r="I10" i="47"/>
  <c r="I10" i="46"/>
  <c r="I23" i="46"/>
  <c r="I36" i="46"/>
  <c r="I10" i="45"/>
  <c r="I21" i="44"/>
  <c r="I34" i="44"/>
  <c r="I10" i="44"/>
  <c r="I32" i="43"/>
  <c r="I31" i="43"/>
  <c r="I30" i="43"/>
  <c r="I29" i="43"/>
  <c r="I28" i="43"/>
  <c r="I27" i="43"/>
  <c r="I20" i="43"/>
  <c r="I19" i="43"/>
  <c r="I18" i="43"/>
  <c r="I17" i="43"/>
  <c r="I16" i="43"/>
  <c r="I9" i="43"/>
  <c r="I8" i="43"/>
  <c r="I7" i="43"/>
  <c r="I6" i="43"/>
  <c r="I5" i="43"/>
  <c r="I19" i="42"/>
  <c r="I32" i="42"/>
  <c r="I31" i="42"/>
  <c r="I30" i="42"/>
  <c r="I29" i="42"/>
  <c r="I28" i="42"/>
  <c r="I27" i="42"/>
  <c r="I20" i="42"/>
  <c r="I18" i="42"/>
  <c r="I17" i="42"/>
  <c r="I16" i="42"/>
  <c r="I9" i="42"/>
  <c r="I8" i="42"/>
  <c r="I7" i="42"/>
  <c r="I6" i="42"/>
  <c r="I5" i="42"/>
  <c r="I32" i="41"/>
  <c r="I31" i="41"/>
  <c r="I30" i="41"/>
  <c r="I29" i="41"/>
  <c r="I28" i="41"/>
  <c r="I27" i="41"/>
  <c r="I20" i="41"/>
  <c r="I18" i="41"/>
  <c r="I17" i="41"/>
  <c r="I16" i="41"/>
  <c r="I9" i="41"/>
  <c r="I8" i="41"/>
  <c r="I7" i="41"/>
  <c r="I6" i="41"/>
  <c r="I5" i="41"/>
  <c r="I6" i="40"/>
  <c r="I8" i="40"/>
  <c r="I9" i="40"/>
  <c r="I7" i="40"/>
  <c r="I31" i="40"/>
  <c r="I30" i="40"/>
  <c r="I29" i="40"/>
  <c r="I28" i="40"/>
  <c r="I27" i="40"/>
  <c r="I20" i="40"/>
  <c r="I19" i="40"/>
  <c r="I18" i="40"/>
  <c r="I17" i="40"/>
  <c r="I16" i="40"/>
  <c r="I5" i="40"/>
  <c r="I10" i="40" s="1"/>
  <c r="I32" i="39"/>
  <c r="I21" i="39"/>
  <c r="I31" i="39"/>
  <c r="I30" i="39"/>
  <c r="I29" i="39"/>
  <c r="I28" i="39"/>
  <c r="I20" i="39"/>
  <c r="I19" i="39"/>
  <c r="I18" i="39"/>
  <c r="I17" i="39"/>
  <c r="I9" i="39"/>
  <c r="I8" i="39"/>
  <c r="I7" i="39"/>
  <c r="I6" i="39"/>
  <c r="I5" i="39"/>
  <c r="H19" i="38"/>
  <c r="I19" i="38" s="1"/>
  <c r="I31" i="38"/>
  <c r="I30" i="38"/>
  <c r="I29" i="38"/>
  <c r="I28" i="38"/>
  <c r="I20" i="38"/>
  <c r="I18" i="38"/>
  <c r="I17" i="38"/>
  <c r="I9" i="38"/>
  <c r="I8" i="38"/>
  <c r="I7" i="38"/>
  <c r="I6" i="38"/>
  <c r="I5" i="38"/>
  <c r="I20" i="37"/>
  <c r="H30" i="37"/>
  <c r="I30" i="37" s="1"/>
  <c r="H31" i="37"/>
  <c r="I31" i="37" s="1"/>
  <c r="H29" i="37"/>
  <c r="I29" i="37" s="1"/>
  <c r="I28" i="37"/>
  <c r="I19" i="37"/>
  <c r="I18" i="37"/>
  <c r="I17" i="37"/>
  <c r="I9" i="37"/>
  <c r="I8" i="37"/>
  <c r="I7" i="37"/>
  <c r="I6" i="37"/>
  <c r="I5" i="37"/>
  <c r="I17" i="36"/>
  <c r="I7" i="36"/>
  <c r="I8" i="36"/>
  <c r="I9" i="36"/>
  <c r="I29" i="36"/>
  <c r="I28" i="36"/>
  <c r="I27" i="36"/>
  <c r="I26" i="36"/>
  <c r="I25" i="36"/>
  <c r="I24" i="36"/>
  <c r="I23" i="36"/>
  <c r="I16" i="36"/>
  <c r="I15" i="36"/>
  <c r="I6" i="36"/>
  <c r="I5" i="36"/>
  <c r="I28" i="35"/>
  <c r="I27" i="35"/>
  <c r="I5" i="35"/>
  <c r="I6" i="35"/>
  <c r="I15" i="35"/>
  <c r="I14" i="35"/>
  <c r="I23" i="35"/>
  <c r="I24" i="35"/>
  <c r="I25" i="35"/>
  <c r="I26" i="35"/>
  <c r="I22" i="35"/>
  <c r="I22" i="38" l="1"/>
  <c r="I11" i="39"/>
  <c r="I33" i="41"/>
  <c r="I33" i="38"/>
  <c r="I33" i="43"/>
  <c r="I21" i="43"/>
  <c r="I10" i="43"/>
  <c r="I33" i="42"/>
  <c r="I21" i="42"/>
  <c r="I10" i="42"/>
  <c r="I21" i="41"/>
  <c r="I10" i="41"/>
  <c r="I32" i="40"/>
  <c r="I21" i="40"/>
  <c r="I33" i="39"/>
  <c r="I22" i="39"/>
</calcChain>
</file>

<file path=xl/sharedStrings.xml><?xml version="1.0" encoding="utf-8"?>
<sst xmlns="http://schemas.openxmlformats.org/spreadsheetml/2006/main" count="12131" uniqueCount="1076">
  <si>
    <t xml:space="preserve">         </t>
  </si>
  <si>
    <t>DATE</t>
  </si>
  <si>
    <t>BUY/SELL</t>
  </si>
  <si>
    <t>SCRIPTS</t>
  </si>
  <si>
    <t>ENTRY</t>
  </si>
  <si>
    <t>EXIT</t>
  </si>
  <si>
    <t>QTY</t>
  </si>
  <si>
    <t xml:space="preserve">                                         PERFORMANCE  OF PREMIUM STOCK FUTURE PACKAGE MARCH 2013</t>
  </si>
  <si>
    <t>BUY</t>
  </si>
  <si>
    <t>CIPLA</t>
  </si>
  <si>
    <t>PROFIT 2 LOT</t>
  </si>
  <si>
    <t>SBIN</t>
  </si>
  <si>
    <t>TATAMTRDVR</t>
  </si>
  <si>
    <t>SELL</t>
  </si>
  <si>
    <t>DLF</t>
  </si>
  <si>
    <t>BHARATFORG</t>
  </si>
  <si>
    <t>SUNTV</t>
  </si>
  <si>
    <t>ICICI</t>
  </si>
  <si>
    <t xml:space="preserve">                                         PERFORMANCE  OF PREMIUM STOCK FUTURE PACKAGE MAY 2013</t>
  </si>
  <si>
    <t xml:space="preserve">                                         PERFORMANCE  OF PREMIUM STOCK FUTURE PACKAGE APRIL 2013</t>
  </si>
  <si>
    <t xml:space="preserve">BUY </t>
  </si>
  <si>
    <t>AXIS BANK</t>
  </si>
  <si>
    <t xml:space="preserve">CIPLA </t>
  </si>
  <si>
    <t>ITC</t>
  </si>
  <si>
    <t>L&amp;T</t>
  </si>
  <si>
    <t>RELINFRA</t>
  </si>
  <si>
    <t>KTKBANK</t>
  </si>
  <si>
    <t>BHARTIARTL</t>
  </si>
  <si>
    <t>ICICIBANK</t>
  </si>
  <si>
    <t xml:space="preserve">                                         PERFORMANCE  OF PREMIUM NIFTY FUTURE PACKAGE MARCH 2013</t>
  </si>
  <si>
    <t>NIFTY</t>
  </si>
  <si>
    <t>PROFIT 10 LOT</t>
  </si>
  <si>
    <t xml:space="preserve">                                         PERFORMANCE  OF PREMIUM OPTOIN  PACKAGE MARCH 2013</t>
  </si>
  <si>
    <t>DLF 260 CE</t>
  </si>
  <si>
    <t>NIFTY 5900 CE</t>
  </si>
  <si>
    <t>BAJAJ AUTO 2050 CE</t>
  </si>
  <si>
    <t>NIFTY 5800 PE</t>
  </si>
  <si>
    <t>BHARTIARTL 300 PE</t>
  </si>
  <si>
    <t>TCS 1550 CE</t>
  </si>
  <si>
    <t>PROFIT 1 LOT</t>
  </si>
  <si>
    <t xml:space="preserve">                                         PERFORMANCE  OF PREMIUM NIFTY FUTURE PACKAGE MAY 2013</t>
  </si>
  <si>
    <t xml:space="preserve">                                         PERFORMANCE  OF PREMIUM OPTOIN  PACKAGE MAY 2013</t>
  </si>
  <si>
    <t xml:space="preserve">                                         PERFORMANCE  OF PREMIUM NIFTY FUTURE PACKAGE APRIL 2013</t>
  </si>
  <si>
    <t xml:space="preserve">                                         PERFORMANCE  OF PREMIUM OPTOIN  PACKAGE APRIL 2013</t>
  </si>
  <si>
    <t>POINTS</t>
  </si>
  <si>
    <t>NIFTY 5600 PE</t>
  </si>
  <si>
    <t>LT 1300 PE</t>
  </si>
  <si>
    <t>AXIS 1250 CE</t>
  </si>
  <si>
    <t>LT1320 PE</t>
  </si>
  <si>
    <t>NIFTY 5600 CE</t>
  </si>
  <si>
    <t>NIFTY 5800 CE</t>
  </si>
  <si>
    <t>ACC 1200 PE</t>
  </si>
  <si>
    <t>RELINFRA 390 PE</t>
  </si>
  <si>
    <t>NIFTY 6000 CE</t>
  </si>
  <si>
    <t>MCDOWELL-N 240 CE</t>
  </si>
  <si>
    <t>NIFTY 6200 PE</t>
  </si>
  <si>
    <t>MARUTI 1640 PE</t>
  </si>
  <si>
    <t>CNBK 430 CE</t>
  </si>
  <si>
    <t xml:space="preserve">                                         PERFORMANCE  OF PREMIUM STOCK FUTURE PACKAGE JUNE 2013</t>
  </si>
  <si>
    <t xml:space="preserve">                                         PERFORMANCE  OF PREMIUM NIFTY FUTURE PACKAGE JUNE 2013</t>
  </si>
  <si>
    <t xml:space="preserve">                                         PERFORMANCE  OF PREMIUM OPTOIN  PACKAGE JUNE 2013</t>
  </si>
  <si>
    <t>MARUTI</t>
  </si>
  <si>
    <t>ALBK 110 PE</t>
  </si>
  <si>
    <t>HDFCBANK 660 PE (4 LOT)</t>
  </si>
  <si>
    <t>RCOM</t>
  </si>
  <si>
    <t>RCOM 125 CE</t>
  </si>
  <si>
    <t>ITC 340 PE (4LOT)</t>
  </si>
  <si>
    <t>RELIANCE</t>
  </si>
  <si>
    <t>TECHM</t>
  </si>
  <si>
    <t xml:space="preserve">                                         PERFORMANCE  OF PREMIUM OPTOIN  PACKAGE JULY 2013</t>
  </si>
  <si>
    <t xml:space="preserve">                                         PERFORMANCE  OF PREMIUM NIFTY FUTURE PACKAGE JULY 2013</t>
  </si>
  <si>
    <t xml:space="preserve">                                         PERFORMANCE  OF PREMIUM STOCK FUTURE PACKAGE JULY 2013</t>
  </si>
  <si>
    <t>TITAN 240 CE</t>
  </si>
  <si>
    <t>PFC 150 CE</t>
  </si>
  <si>
    <t>PFC</t>
  </si>
  <si>
    <t>IDFC</t>
  </si>
  <si>
    <t>TITAN</t>
  </si>
  <si>
    <t>BAJAJAUTO</t>
  </si>
  <si>
    <t>LICHSGFIN</t>
  </si>
  <si>
    <t>BIOCON</t>
  </si>
  <si>
    <t>NIFTY 6000 CE 8 LOT</t>
  </si>
  <si>
    <t>BHARTIARTL 320 CE</t>
  </si>
  <si>
    <t>APOLOTYRE</t>
  </si>
  <si>
    <t>UNIONBANK</t>
  </si>
  <si>
    <t>TCS 1800 CE</t>
  </si>
  <si>
    <t xml:space="preserve">                                         PERFORMANCE  OF PREMIUM STOCK FUTURE PACKAGE AUG 2013</t>
  </si>
  <si>
    <t xml:space="preserve">                                         PERFORMANCE  OF PREMIUM NIFTY FUTURE PACKAGE AUG 2013</t>
  </si>
  <si>
    <t xml:space="preserve">                                         PERFORMANCE  OF PREMIUM OPTOIN  PACKAGE AUG 2013</t>
  </si>
  <si>
    <t>UNIONBANK 120 PE</t>
  </si>
  <si>
    <t xml:space="preserve">PROFIT  </t>
  </si>
  <si>
    <t>IDEA</t>
  </si>
  <si>
    <t>HCLTECH 960 CE</t>
  </si>
  <si>
    <t>YESBANK</t>
  </si>
  <si>
    <t>IDEA 170 CE</t>
  </si>
  <si>
    <t>NIFTY 5300 PUT</t>
  </si>
  <si>
    <t>HCLTECH</t>
  </si>
  <si>
    <t>TECHM 1260 PUT</t>
  </si>
  <si>
    <t>SBIN 1600 PUT</t>
  </si>
  <si>
    <t>IDEA 150 PE</t>
  </si>
  <si>
    <t xml:space="preserve">                                         PERFORMANCE  OF PREMIUM STOCK FUTURE PACKAGE SEP 2013</t>
  </si>
  <si>
    <t xml:space="preserve">                                         PERFORMANCE  OF PREMIUM NIFTY FUTURE PACKAGE SEP 2013</t>
  </si>
  <si>
    <t xml:space="preserve">                                         PERFORMANCE  OF PREMIUM OPTOIN  PACKAGE SEP 2013</t>
  </si>
  <si>
    <t>NIFTY 5400 PE</t>
  </si>
  <si>
    <t>BANKBARODA 460 PE</t>
  </si>
  <si>
    <t>NIFTY 5950 CE</t>
  </si>
  <si>
    <t>SBIN 1600 PE</t>
  </si>
  <si>
    <t>TATAMOTORS</t>
  </si>
  <si>
    <t xml:space="preserve">                                         PERFORMANCE  OF PREMIUM STOCK FUTURE PACKAGE OCT 2013</t>
  </si>
  <si>
    <t xml:space="preserve">                                         PERFORMANCE  OF PREMIUM NIFTY FUTURE PACKAGE OCT 2013</t>
  </si>
  <si>
    <t xml:space="preserve">                                         PERFORMANCE  OF PREMIUM OPTOIN  PACKAGE OCT 2013</t>
  </si>
  <si>
    <t xml:space="preserve">                                         PERFORMANCE  OF PREMIUM STOCK FUTURE PACKAGE JAN 2014</t>
  </si>
  <si>
    <t xml:space="preserve">                                         PERFORMANCE  OF PREMIUM NIFTY FUTURE PACKAGE JAN 2014 2013</t>
  </si>
  <si>
    <t xml:space="preserve">                                         PERFORMANCE  OF PREMIUM OPTOIN  PACKAGE JAN 2014</t>
  </si>
  <si>
    <t xml:space="preserve">                                         PERFORMANCE  OF PREMIUM STOCK FUTURE PACKAGE NOV 2013</t>
  </si>
  <si>
    <t xml:space="preserve">                                         PERFORMANCE  OF PREMIUM NIFTY FUTURE PACKAGE NOV 2013</t>
  </si>
  <si>
    <t xml:space="preserve">                                         PERFORMANCE  OF PREMIUM OPTOIN  PACKAGE NOV 2013</t>
  </si>
  <si>
    <t xml:space="preserve">                                         PERFORMANCE  OF PREMIUM STOCK FUTURE PACKAGE DEC 2013</t>
  </si>
  <si>
    <t xml:space="preserve">                                         PERFORMANCE  OF PREMIUM NIFTY FUTURE PACKAGE DEC 2013</t>
  </si>
  <si>
    <t xml:space="preserve">                                         PERFORMANCE  OF PREMIUM OPTOIN  PACKAGE DEC 2013</t>
  </si>
  <si>
    <t>ADANIENT</t>
  </si>
  <si>
    <t>HDFC</t>
  </si>
  <si>
    <t>AUROPHARMA</t>
  </si>
  <si>
    <t>BAJAJ-AUTO</t>
  </si>
  <si>
    <t>HINDALCO</t>
  </si>
  <si>
    <t>IRB</t>
  </si>
  <si>
    <t>PUNJLOYD 25 CE</t>
  </si>
  <si>
    <t>KTKBANK 95 CE</t>
  </si>
  <si>
    <t>IDBI 65 CE</t>
  </si>
  <si>
    <t>BHARTIARTL 340 PE</t>
  </si>
  <si>
    <t>IDFC 110 PE</t>
  </si>
  <si>
    <t xml:space="preserve">COALINDIA 275 CE </t>
  </si>
  <si>
    <t>AMBUJACEM 175 PE</t>
  </si>
  <si>
    <t>TATASTEEL 370 PE</t>
  </si>
  <si>
    <t xml:space="preserve">APOLLOTYRE 110 CE </t>
  </si>
  <si>
    <t>CENTURYTEX 320 PE</t>
  </si>
  <si>
    <t>NIFTY 6100 CE</t>
  </si>
  <si>
    <t>YESBANK 350 CE</t>
  </si>
  <si>
    <t>LT 1020 CE</t>
  </si>
  <si>
    <t>CANBANK 250 CE</t>
  </si>
  <si>
    <t>RANBAXY 440 PE</t>
  </si>
  <si>
    <t>PFC 155 PE</t>
  </si>
  <si>
    <t>NIFTY 6300 PE</t>
  </si>
  <si>
    <t>Winners Capital Line</t>
  </si>
  <si>
    <t xml:space="preserve">                                         PERFORMANCE  OF PREMIUM STOCK FUTURE PACKAGE FEB 2014</t>
  </si>
  <si>
    <t xml:space="preserve">                                         PERFORMANCE  OF PREMIUM NIFTY FUTURE PACKAGE FEB 2014 2013</t>
  </si>
  <si>
    <t xml:space="preserve">                                         PERFORMANCE  OF PREMIUM OPTOIN  PACKAGE FEB 2014</t>
  </si>
  <si>
    <t>COALINDIA 260 PE</t>
  </si>
  <si>
    <t>BHEL</t>
  </si>
  <si>
    <t>HCLTECH 1400 PE</t>
  </si>
  <si>
    <t>JSWSTEEL 900 CE</t>
  </si>
  <si>
    <t>BPCL 350 CE</t>
  </si>
  <si>
    <t>14000</t>
  </si>
  <si>
    <t xml:space="preserve">                                         PERFORMANCE  OF PREMIUM STOCK FUTURE PACKAGE MARCH 2014</t>
  </si>
  <si>
    <t xml:space="preserve">                                         PERFORMANCE  OF PREMIUM NIFTY FUTURE PACKAGE MARCH 2014</t>
  </si>
  <si>
    <t xml:space="preserve">                                         PERFORMANCE  OF PREMIUM OPTOIN  PACKAGE MARCH 2014</t>
  </si>
  <si>
    <t>IDFC 100 CE</t>
  </si>
  <si>
    <t>IDFC 110 CE</t>
  </si>
  <si>
    <t>HEROMOTOCO 2150 CE</t>
  </si>
  <si>
    <t>HEROMOTOCO</t>
  </si>
  <si>
    <t>61000</t>
  </si>
  <si>
    <t xml:space="preserve">                                         PERFORMANCE  OF PREMIUM STOCK FUTURE PACKAGE APRIL 2014</t>
  </si>
  <si>
    <t xml:space="preserve">                                         PERFORMANCE  OF PREMIUM NIFTY FUTURE PACKAGE APRIL 2014</t>
  </si>
  <si>
    <t xml:space="preserve">                                         PERFORMANCE  OF PREMIUM OPTOIN  PACKAGE APRIL 2014</t>
  </si>
  <si>
    <t>NTPC 120 PE</t>
  </si>
  <si>
    <t>SBIN 2050 CE</t>
  </si>
  <si>
    <t>CENTURYTEX 370 CE</t>
  </si>
  <si>
    <t>NTPC</t>
  </si>
  <si>
    <t>ADANIPORT (MAY)</t>
  </si>
  <si>
    <t>TATAMOTORS 420 PE(m)</t>
  </si>
  <si>
    <t>16000</t>
  </si>
  <si>
    <t>DRREDDY</t>
  </si>
  <si>
    <t xml:space="preserve">DRREDDY 2600 PE </t>
  </si>
  <si>
    <t>RECLTD</t>
  </si>
  <si>
    <t>SBIN 2700 PE</t>
  </si>
  <si>
    <t>NIFTY 7200 CE</t>
  </si>
  <si>
    <t>HEROMOTOCO 2400 CE</t>
  </si>
  <si>
    <t xml:space="preserve">NIFTY </t>
  </si>
  <si>
    <t>NIFTY 7700 PE</t>
  </si>
  <si>
    <t>M&amp;MFIN</t>
  </si>
  <si>
    <t>NIFTY 7600 CE</t>
  </si>
  <si>
    <t xml:space="preserve">                                         PERFORMANCE  OF PREMIUM STOCK FUTURE PACKAGE JUNE 2014</t>
  </si>
  <si>
    <t xml:space="preserve">                                         PERFORMANCE  OF PREMIUM NIFTY FUTURE PACKAGE JUNE 2014</t>
  </si>
  <si>
    <t xml:space="preserve">                                         PERFORMANCE  OF PREMIUM OPTOIN  PACKAGE JUNE 2014</t>
  </si>
  <si>
    <t xml:space="preserve">                                         PERFORMANCE  OF PREMIUM STOCK FUTURE PACKAGE MAY 2014</t>
  </si>
  <si>
    <t xml:space="preserve">                                         PERFORMANCE  OF PREMIUM NIFTY FUTURE PACKAGE MAY 2014</t>
  </si>
  <si>
    <t xml:space="preserve">                                         PERFORMANCE  OF PREMIUM OPTOIN  PACKAGE MAY 2014</t>
  </si>
  <si>
    <t xml:space="preserve">                                         PERFORMANCE  OF PREMIUM STOCK FUTURE PACKAGE JULY 2014</t>
  </si>
  <si>
    <t xml:space="preserve">                                         PERFORMANCE  OF PREMIUM NIFTY FUTURE PACKAGE JULY 2014</t>
  </si>
  <si>
    <t xml:space="preserve">                                         PERFORMANCE  OF PREMIUM OPTOIN  PACKAGE JULY 2014</t>
  </si>
  <si>
    <t>TATACOMM</t>
  </si>
  <si>
    <t>MCDOWELL-N 2250 PE</t>
  </si>
  <si>
    <t>TATAGLOBAL</t>
  </si>
  <si>
    <t>IDEA 145 CE</t>
  </si>
  <si>
    <t>WIPRO 530 PUT</t>
  </si>
  <si>
    <t>HINDPETRO</t>
  </si>
  <si>
    <t>2ND TGT</t>
  </si>
  <si>
    <t>BEFORE 1ST TGT</t>
  </si>
  <si>
    <t>SL</t>
  </si>
  <si>
    <t>1ST TGT</t>
  </si>
  <si>
    <t>NEAR 2ND TGT</t>
  </si>
  <si>
    <t>DETAILS</t>
  </si>
  <si>
    <t>76000</t>
  </si>
  <si>
    <t>20250</t>
  </si>
  <si>
    <t xml:space="preserve">                                         PERFORMANCE  OF PREMIUM STOCK FUTURE PACKAGE AUG 2014</t>
  </si>
  <si>
    <t xml:space="preserve">                                         PERFORMANCE  OF PREMIUM NIFTY FUTURE PACKAGE AUG 2014</t>
  </si>
  <si>
    <t xml:space="preserve">                                         PERFORMANCE  OF PREMIUM OPTOIN  PACKAGE AUG 2014</t>
  </si>
  <si>
    <t>ONGC 380 PE</t>
  </si>
  <si>
    <t xml:space="preserve">SL </t>
  </si>
  <si>
    <t>HEROMOTOCO 2600 CE</t>
  </si>
  <si>
    <t>LT 1400 PE</t>
  </si>
  <si>
    <t>ONGC 420 PE</t>
  </si>
  <si>
    <t>20000</t>
  </si>
  <si>
    <t>ONGC</t>
  </si>
  <si>
    <t>90000</t>
  </si>
  <si>
    <t>HDFC 1080 PE</t>
  </si>
  <si>
    <t>7500</t>
  </si>
  <si>
    <t xml:space="preserve">                                         PERFORMANCE  OF PREMIUM STOCK FUTURE PACKAGE SEP 2014</t>
  </si>
  <si>
    <t xml:space="preserve">                                         PERFORMANCE  OF PREMIUM NIFTY FUTURE PACKAGE SEP 2014</t>
  </si>
  <si>
    <t xml:space="preserve">                                         PERFORMANCE  OF PREMIUM OPTOIN  PACKAGE SEP 2014</t>
  </si>
  <si>
    <t>NIFTY 8000 PE</t>
  </si>
  <si>
    <t>NIFTY 8200 PE</t>
  </si>
  <si>
    <t>NIFTY 8100 PE</t>
  </si>
  <si>
    <t>YESBANK 600 PE</t>
  </si>
  <si>
    <t>HINDALOC</t>
  </si>
  <si>
    <t>DLF 170 PE</t>
  </si>
  <si>
    <t>12000</t>
  </si>
  <si>
    <t>30000</t>
  </si>
  <si>
    <t>SRTRANSFIM</t>
  </si>
  <si>
    <t>142000</t>
  </si>
  <si>
    <t xml:space="preserve">                                         PERFORMANCE  OF PREMIUM STOCK FUTURE PACKAGE OCT 2014</t>
  </si>
  <si>
    <t xml:space="preserve">                                         PERFORMANCE  OF PREMIUM NIFTY FUTURE PACKAGE OCT 2014</t>
  </si>
  <si>
    <t xml:space="preserve">                                         PERFORMANCE  OF PREMIUM OPTOIN  PACKAGE OCT 2014</t>
  </si>
  <si>
    <t>NEAR COST</t>
  </si>
  <si>
    <t>M&amp;M 1350 PE</t>
  </si>
  <si>
    <t>M&amp;M</t>
  </si>
  <si>
    <t>NIFTY 7900 PE</t>
  </si>
  <si>
    <t>ABOVE 1ST TGT</t>
  </si>
  <si>
    <t>80500</t>
  </si>
  <si>
    <t>NIFTY 8100 CE</t>
  </si>
  <si>
    <t>NEAR ND TGT</t>
  </si>
  <si>
    <t>NIFTY 7950 PE</t>
  </si>
  <si>
    <t xml:space="preserve">                                         PERFORMANCE  OF PREMIUM OPTOIN  PACKAGE NOV 2014</t>
  </si>
  <si>
    <t xml:space="preserve">                                         PERFORMANCE  OF PREMIUM NIFTY FUTURE PACKAGE NOV 2014</t>
  </si>
  <si>
    <t xml:space="preserve">                                         PERFORMANCE  OF PREMIUM STOCK FUTURE PACKAGE NOV 2014</t>
  </si>
  <si>
    <t>SBIN 2700 CE</t>
  </si>
  <si>
    <t>PROFIT 20 LOT</t>
  </si>
  <si>
    <t>NEAR 1S TGT</t>
  </si>
  <si>
    <t>HINDUNILVR</t>
  </si>
  <si>
    <t>DRREDDY 3200 CE</t>
  </si>
  <si>
    <t>YESBANK 700 PE</t>
  </si>
  <si>
    <t>RANBAXY</t>
  </si>
  <si>
    <t>RANBAXY 640 PUT</t>
  </si>
  <si>
    <t>50250</t>
  </si>
  <si>
    <t>26000</t>
  </si>
  <si>
    <t>98500</t>
  </si>
  <si>
    <t>CESC 600PE</t>
  </si>
  <si>
    <t>CESC</t>
  </si>
  <si>
    <t>ONGC 360 PE</t>
  </si>
  <si>
    <t>EXIDEIND</t>
  </si>
  <si>
    <t xml:space="preserve">                                         PERFORMANCE  OF PREMIUM STOCK FUTURE PACKAGE DEC 2014</t>
  </si>
  <si>
    <t xml:space="preserve">                                         PERFORMANCE  OF PREMIUM NIFTY FUTURE PACKAGE DEC 2014</t>
  </si>
  <si>
    <t xml:space="preserve">                                         PERFORMANCE  OF PREMIUM OPTOIN  PACKAGE DEC 2014</t>
  </si>
  <si>
    <t>NEAR TGT</t>
  </si>
  <si>
    <t xml:space="preserve">NEAR 2ND TGT </t>
  </si>
  <si>
    <t>22000</t>
  </si>
  <si>
    <t>37000</t>
  </si>
  <si>
    <t xml:space="preserve">                                         PERFORMANCE  OF PREMIUM OPTOIN  PACKAGE JAN 2015</t>
  </si>
  <si>
    <t xml:space="preserve">                                         PERFORMANCE  OF PREMIUM NIFTY FUTURE PACKAGE JAN 2015</t>
  </si>
  <si>
    <t xml:space="preserve">                                         PERFORMANCE  OF PREMIUM STOCK FUTURE PACKAGE JAN 2015</t>
  </si>
  <si>
    <t>ONGC 360 CE</t>
  </si>
  <si>
    <t>NEAR 1ST TGT</t>
  </si>
  <si>
    <t>IRB 250 CE</t>
  </si>
  <si>
    <t>DABUR 250 PE</t>
  </si>
  <si>
    <t>DABUR</t>
  </si>
  <si>
    <t>NEAR COST BOOK</t>
  </si>
  <si>
    <t>62000</t>
  </si>
  <si>
    <t>1 ST TGT</t>
  </si>
  <si>
    <t>18000</t>
  </si>
  <si>
    <t xml:space="preserve">                                         PERFORMANCE  OF PREMIUM NIFTY FUTURE PACKAGE FEB 2015</t>
  </si>
  <si>
    <t xml:space="preserve">                                         PERFORMANCE  OF PREMIUM OPTOIN  PACKAGE FEB 2015</t>
  </si>
  <si>
    <t xml:space="preserve">                                         PERFORMANCE  OF PREMIUM STOCK FUTURE PACKAGE FEB 2015</t>
  </si>
  <si>
    <t>LT 1700 PE</t>
  </si>
  <si>
    <t>JINDALSTEEL 150 CE</t>
  </si>
  <si>
    <t>YESBANK 840 PE</t>
  </si>
  <si>
    <t>HINDUNILVR 910 PE</t>
  </si>
  <si>
    <t>HDFC 1320 CE</t>
  </si>
  <si>
    <t>19000</t>
  </si>
  <si>
    <t xml:space="preserve">SELL </t>
  </si>
  <si>
    <t>95000</t>
  </si>
  <si>
    <t xml:space="preserve">                                         PERFORMANCE  OF PREMIUM OPTOIN  PACKAGE MARCH 2015</t>
  </si>
  <si>
    <t xml:space="preserve">                                         PERFORMANCE  OF PREMIUM NIFTY FUTURE PACKAGE MARCH 2015</t>
  </si>
  <si>
    <t xml:space="preserve">                                         PERFORMANCE  OF PREMIUM STOCK FUTURE PACKAGE MARCH 2015</t>
  </si>
  <si>
    <t>JINDALSTEL 190 PE</t>
  </si>
  <si>
    <t>YESBANK 900 PE</t>
  </si>
  <si>
    <t>25000</t>
  </si>
  <si>
    <t>LT 1780 CE</t>
  </si>
  <si>
    <t>SBIN 270 PE</t>
  </si>
  <si>
    <t>10000</t>
  </si>
  <si>
    <t>51000</t>
  </si>
  <si>
    <t xml:space="preserve">                                         PERFORMANCE  OF PREMIUM OPTOIN  PACKAGE APRIL 2015</t>
  </si>
  <si>
    <t xml:space="preserve">                                         PERFORMANCE  OF PREMIUM NIFTY FUTURE PACKAGE APRIL 2015</t>
  </si>
  <si>
    <t xml:space="preserve">                                         PERFORMANCE  OF PREMIUM STOCK FUTURE PACKAGE APRIL 2015</t>
  </si>
  <si>
    <t>LUPIN 2050 CE</t>
  </si>
  <si>
    <t>2ND TGT DONE</t>
  </si>
  <si>
    <t>ONGC 310 CE</t>
  </si>
  <si>
    <t>HEROMOTOCO 2450 PE</t>
  </si>
  <si>
    <t>2ND TGTDONE</t>
  </si>
  <si>
    <t>22500</t>
  </si>
  <si>
    <t>SBIN 290 PE</t>
  </si>
  <si>
    <t>1ST TGT DONE</t>
  </si>
  <si>
    <t>RELCAPITAL</t>
  </si>
  <si>
    <t>15000</t>
  </si>
  <si>
    <t>47500</t>
  </si>
  <si>
    <t>SBIN 285 PE</t>
  </si>
  <si>
    <t xml:space="preserve">                                         PERFORMANCE  OF PREMIUM STOCK FUTURE PACKAGE MAY 2015</t>
  </si>
  <si>
    <t xml:space="preserve">                                         PERFORMANCE  OF PREMIUM NIFTY FUTURE PACKAGE MAY 2015</t>
  </si>
  <si>
    <t xml:space="preserve">                                         PERFORMANCE  OF PREMIUM OPTOIN  PACKAGE MAY 2015</t>
  </si>
  <si>
    <t>RELCAPITAL 380 PUT</t>
  </si>
  <si>
    <t>DRREDDY 3650 CE</t>
  </si>
  <si>
    <t>M&amp;M 1260 PUT</t>
  </si>
  <si>
    <t>M&amp;M 1240 PUT</t>
  </si>
  <si>
    <t>67000</t>
  </si>
  <si>
    <t xml:space="preserve">                                         PERFORMANCE  OF PREMIUM STOCK FUTURE PACKAGE JUNE 2015</t>
  </si>
  <si>
    <t xml:space="preserve">                                         PERFORMANCE  OF PREMIUM NIFTY FUTURE PACKAGE JUNE 2015</t>
  </si>
  <si>
    <t xml:space="preserve">                                         PERFORMANCE  OF PREMIUM OPTOIN  PACKAGE JUNE 2015</t>
  </si>
  <si>
    <t>HEROMOTOC 2550 PUT</t>
  </si>
  <si>
    <t>SBIN 260 PUT</t>
  </si>
  <si>
    <t>CEATLTD</t>
  </si>
  <si>
    <t>MARUTI 4000 CE</t>
  </si>
  <si>
    <t>NIFTY 8100 PUT</t>
  </si>
  <si>
    <t>SRTRANSFIN</t>
  </si>
  <si>
    <t>17500</t>
  </si>
  <si>
    <t>LT</t>
  </si>
  <si>
    <t>CANBK 280 PE</t>
  </si>
  <si>
    <t>92500</t>
  </si>
  <si>
    <t xml:space="preserve">                                         PERFORMANCE  OF PREMIUM OPTOIN  PACKAGE JULY 2015</t>
  </si>
  <si>
    <t xml:space="preserve">                                         PERFORMANCE  OF PREMIUM NIFTY FUTURE PACKAGE JULY 2015</t>
  </si>
  <si>
    <t xml:space="preserve">                                         PERFORMANCE  OF PREMIUM STOCK FUTURE PACKAGE JULY 2015</t>
  </si>
  <si>
    <t>NTPC 135 PE</t>
  </si>
  <si>
    <t>JUSTDIAL</t>
  </si>
  <si>
    <t>JUSTDIAL 1100 PE</t>
  </si>
  <si>
    <t>NER 2ND TGT</t>
  </si>
  <si>
    <t>CAIRN 160 PE</t>
  </si>
  <si>
    <t>SL TRIGGER</t>
  </si>
  <si>
    <t>NIFTY 8700 PE</t>
  </si>
  <si>
    <t>48000</t>
  </si>
  <si>
    <t>NIFTY 8600 PE</t>
  </si>
  <si>
    <t>1S TGT</t>
  </si>
  <si>
    <t>LT 1800 PE</t>
  </si>
  <si>
    <t>SBIN 280 PE</t>
  </si>
  <si>
    <t xml:space="preserve">                                         PERFORMANCE  OF PREMIUM STOCK FUTURE PACKAGE AUGUST 2015</t>
  </si>
  <si>
    <t xml:space="preserve">                                         PERFORMANCE  OF PREMIUM NIFTY FUTURE PACKAGE AUGUST 2015</t>
  </si>
  <si>
    <t xml:space="preserve">                                         PERFORMANCE  OF PREMIUM OPTOIN  PACKAGE AUGUST 2015</t>
  </si>
  <si>
    <t>LUPIN 1750 PE</t>
  </si>
  <si>
    <t>LT 1550 CE</t>
  </si>
  <si>
    <t>NIFTY 7800 PE</t>
  </si>
  <si>
    <t>YESBANK 740 CE</t>
  </si>
  <si>
    <t xml:space="preserve">                                         PERFORMANCE  OF PREMIUM STOCK FUTURE PACKAGE SEPTEMBER 2015</t>
  </si>
  <si>
    <t xml:space="preserve">                                         PERFORMANCE  OF PREMIUM NIFTY FUTURE PACKAGE SEPTEMBER 2015</t>
  </si>
  <si>
    <t xml:space="preserve">                                         PERFORMANCE  OF PREMIUM OPTOIN  PACKAGE SEPTEMBER 2015</t>
  </si>
  <si>
    <t>YESBANK 760 PE</t>
  </si>
  <si>
    <t>SBIN 240 PE</t>
  </si>
  <si>
    <t xml:space="preserve">                                         PERFORMANCE  OF PREMIUM STOCK FUTURE PACKAGE OCTOBER 2015</t>
  </si>
  <si>
    <t>RELINFRA 370 CALL</t>
  </si>
  <si>
    <t>DRREDDY 4400 CE</t>
  </si>
  <si>
    <t>YESBAK 760 PUT</t>
  </si>
  <si>
    <t>ADANIPORTS</t>
  </si>
  <si>
    <t>LUPIN 2050 PE</t>
  </si>
  <si>
    <t>28000</t>
  </si>
  <si>
    <t xml:space="preserve">                                         PERFORMANCE  OF PREMIUM NIFTY FUTURE PACKAGE OCTOBER 2015</t>
  </si>
  <si>
    <t xml:space="preserve">                                         PERFORMANCE  OF PREMIUM OPTOIN  PACKAGE OCTOBER 2015</t>
  </si>
  <si>
    <t xml:space="preserve">                                         PERFORMANCE  OF PREMIUM NIFTY FUTURE PACKAGE NOVEMBER 2015</t>
  </si>
  <si>
    <t xml:space="preserve">                                         PERFORMANCE  OF PREMIUM OPTOIN  PACKAGE NOVEMBER 2015</t>
  </si>
  <si>
    <t>DIVISLAB 1200 CE</t>
  </si>
  <si>
    <t>NIFTY FUTURE</t>
  </si>
  <si>
    <t>PROFIT 5 LOT</t>
  </si>
  <si>
    <t>LUPIN 1850 PE</t>
  </si>
  <si>
    <t>CEATLTD 1000 PE</t>
  </si>
  <si>
    <t>AXISBANK 480 PE</t>
  </si>
  <si>
    <t>BIOCON 450 CE</t>
  </si>
  <si>
    <t>DIVISLAB</t>
  </si>
  <si>
    <t>TOTAL POINTS</t>
  </si>
  <si>
    <t>OTY</t>
  </si>
  <si>
    <t xml:space="preserve">1ST TGT </t>
  </si>
  <si>
    <t>AXISBANK 470 PE</t>
  </si>
  <si>
    <t>CAIRN 135 PE</t>
  </si>
  <si>
    <t>CAIRN</t>
  </si>
  <si>
    <t xml:space="preserve">                                         PERFORMANCE  OF PREMIUM STOCK FUTURE PACKAGE NOVEMBER 2015</t>
  </si>
  <si>
    <t xml:space="preserve">                                         PERFORMANCE  OF PREMIUM STOCK FUTURE PACKAGE DECEMBER 2015</t>
  </si>
  <si>
    <t xml:space="preserve">                                         PERFORMANCE  OF PREMIUM NIFTY FUTURE PACKAGE DECEMBER 2015</t>
  </si>
  <si>
    <t xml:space="preserve">                                         PERFORMANCE  OF PREMIUM OPTOIN  PACKAGE DECEMBER 2015</t>
  </si>
  <si>
    <t>HDFC 1180 PE</t>
  </si>
  <si>
    <t>ITC 340 PUT</t>
  </si>
  <si>
    <t>ABIRLANUVO</t>
  </si>
  <si>
    <t>IGL</t>
  </si>
  <si>
    <t>HEROMOTOCO 2700 PE</t>
  </si>
  <si>
    <t>LT 1300 CE</t>
  </si>
  <si>
    <t xml:space="preserve">                                         PERFORMANCE  OF PREMIUM STOCK FUTURE PACKAGE JANUARY 2016</t>
  </si>
  <si>
    <t xml:space="preserve">                                         PERFORMANCE  OF PREMIUM NIFTY FUTURE PACKAGE JANUARY 2016</t>
  </si>
  <si>
    <t xml:space="preserve">                                         PERFORMANCE  OF PREMIUM OPTOIN  PACKAGE JANUARY 2016</t>
  </si>
  <si>
    <t>ARVIND</t>
  </si>
  <si>
    <t>HEROMOTOCO 2500 PE</t>
  </si>
  <si>
    <t>LT 1180 PE</t>
  </si>
  <si>
    <t>SAFE</t>
  </si>
  <si>
    <t>YESBANK 660 PE</t>
  </si>
  <si>
    <t>SBIN 180 PUT</t>
  </si>
  <si>
    <t xml:space="preserve">                                         PERFORMANCE  OF PREMIUM STOCK FUTURE PACKAGE FEBRUARY 2016</t>
  </si>
  <si>
    <t xml:space="preserve">                                         PERFORMANCE  OF PREMIUM NIFTY FUTURE PACKAGE FEBRUARY 2016</t>
  </si>
  <si>
    <t xml:space="preserve">                                         PERFORMANCE  OF PREMIUM OPTOIN  PACKAGE FEBRUARY 2016</t>
  </si>
  <si>
    <t>HDFC 1180 PUT</t>
  </si>
  <si>
    <t>ACC</t>
  </si>
  <si>
    <t>JSWSTEEL 1020 PUT</t>
  </si>
  <si>
    <t>YESBANK 720 PUT</t>
  </si>
  <si>
    <t>SBIN 160 PE</t>
  </si>
  <si>
    <t xml:space="preserve">                                         PERFORMANCE  OF PREMIUM STOCK FUTURE PACKAGE MARCH 2016</t>
  </si>
  <si>
    <t xml:space="preserve">                                         PERFORMANCE  OF PREMIUM NIFTY FUTURE PACKAGE MARCH 2016</t>
  </si>
  <si>
    <t xml:space="preserve">                                         PERFORMANCE  OF PREMIUM OPTOIN  PACKAGE MARCH 2016</t>
  </si>
  <si>
    <t>ICICIBANK 225 PE</t>
  </si>
  <si>
    <t>CANBK</t>
  </si>
  <si>
    <t>LUPIN 1700 PE</t>
  </si>
  <si>
    <t>LUPIN</t>
  </si>
  <si>
    <t xml:space="preserve"> </t>
  </si>
  <si>
    <t>WOCKPHARMA</t>
  </si>
  <si>
    <t>YESBANK 820 PE</t>
  </si>
  <si>
    <t xml:space="preserve">                                         PERFORMANCE  OF PREMIUM STOCK FUTURE PACKAGE APRIL 2016</t>
  </si>
  <si>
    <t xml:space="preserve">                                         PERFORMANCE  OF PREMIUM NIFTY FUTURE PACKAGE APRIL 2016</t>
  </si>
  <si>
    <t xml:space="preserve">                                         PERFORMANCE  OF PREMIUM OPTOIN  PACKAGE APRIL 2016</t>
  </si>
  <si>
    <t>TATAMOTORS 380 PE</t>
  </si>
  <si>
    <t>GRANULES</t>
  </si>
  <si>
    <t>ITC 320 PE</t>
  </si>
  <si>
    <t>JETAIRWAYS</t>
  </si>
  <si>
    <t>JUSTDIAL 800 CE</t>
  </si>
  <si>
    <t>LUPIN 1550 CE</t>
  </si>
  <si>
    <t>YESBANK 880 PE</t>
  </si>
  <si>
    <t xml:space="preserve">                                         PERFORMANCE  OF PREMIUM OPTOIN  PACKAGE MAY 2016</t>
  </si>
  <si>
    <t xml:space="preserve">                                         PERFORMANCE  OF PREMIUM NIFTY FUTURE PACKAGE MAY 2016</t>
  </si>
  <si>
    <t xml:space="preserve">                                         PERFORMANCE  OF PREMIUM STOCK FUTURE PACKAGE MAY 2016</t>
  </si>
  <si>
    <t>ICICIBANK 230 PE</t>
  </si>
  <si>
    <t>ABOVE 1 ST TGT</t>
  </si>
  <si>
    <t>YESBANK 920 PE</t>
  </si>
  <si>
    <t>CANBK 190 PE</t>
  </si>
  <si>
    <t>1st tgt</t>
  </si>
  <si>
    <t>YESBANK 980 PE</t>
  </si>
  <si>
    <t>LT 1250 PE</t>
  </si>
  <si>
    <t xml:space="preserve">                                         PERFORMANCE  OF PREMIUM STOCK FUTURE PACKAGE JUNE 2016</t>
  </si>
  <si>
    <t xml:space="preserve">                                         PERFORMANCE  OF PREMIUM NIFTY FUTURE PACKAGE JUNE 2016</t>
  </si>
  <si>
    <t xml:space="preserve">                                         PERFORMANCE  OF PREMIUM OPTOIN  PACKAGE JUNE 2016</t>
  </si>
  <si>
    <t>SBIN 200 PE</t>
  </si>
  <si>
    <t>BANKBARODA 145 PE</t>
  </si>
  <si>
    <t>AXISBANK</t>
  </si>
  <si>
    <t>UNIONBANK 125 CE</t>
  </si>
  <si>
    <t>2ND TG</t>
  </si>
  <si>
    <t>YESBANK 1080 PE</t>
  </si>
  <si>
    <t>GLENMARK</t>
  </si>
  <si>
    <t xml:space="preserve">                                         PERFORMANCE  OF PREMIUM STOCK FUTURE PACKAGE JULY 2016</t>
  </si>
  <si>
    <t xml:space="preserve">                                         PERFORMANCE  OF PREMIUM NIFTY FUTURE PACKAGE JULY 2016</t>
  </si>
  <si>
    <t xml:space="preserve">                                         PERFORMANCE  OF PREMIUM OPTOIN  PACKAGE JULY 2016</t>
  </si>
  <si>
    <t>YESBANK 1100 PE</t>
  </si>
  <si>
    <t>AXISBANK 550 PE</t>
  </si>
  <si>
    <t>PETRONET 280 PE</t>
  </si>
  <si>
    <t>ONGC 230 PE</t>
  </si>
  <si>
    <t>sl</t>
  </si>
  <si>
    <t>DRREDDY 3400 PE</t>
  </si>
  <si>
    <t>YESBANK 1140 CE</t>
  </si>
  <si>
    <t>YESBANK 1200 PUT</t>
  </si>
  <si>
    <t xml:space="preserve">                                         PERFORMANCE  OF PREMIUM STOCK FUTURE PACKAGE AUGUST 2016</t>
  </si>
  <si>
    <t xml:space="preserve">                                         PERFORMANCE  OF PREMIUM NIFTY FUTURE PACKAGE AUGUST 2016</t>
  </si>
  <si>
    <t xml:space="preserve">                                         PERFORMANCE  OF PREMIUM OPTOIN  PACKAGE AUGUST 2016</t>
  </si>
  <si>
    <t>TCS 2700 PE</t>
  </si>
  <si>
    <t>CANBK 245 PE</t>
  </si>
  <si>
    <t>JUSTDIAL 420 PE</t>
  </si>
  <si>
    <t>YESBANK 1300 CE</t>
  </si>
  <si>
    <t>AXISBANK 620 CE</t>
  </si>
  <si>
    <t>RELIANCE 1070 CE</t>
  </si>
  <si>
    <t>YESBANK 1420 PE</t>
  </si>
  <si>
    <t>YESBANK 1320 PE</t>
  </si>
  <si>
    <t>1ST TG</t>
  </si>
  <si>
    <t>YESBANK 1160 PE</t>
  </si>
  <si>
    <t>AXISBANK 600 PE</t>
  </si>
  <si>
    <t xml:space="preserve">                                         PERFORMANCE  OF PREMIUM STOCK FUTURE PACKAGE SEPTEMBER 2016</t>
  </si>
  <si>
    <t xml:space="preserve">                                         PERFORMANCE  OF PREMIUM NIFTY FUTURE PACKAGE SEPTEMBER 2016</t>
  </si>
  <si>
    <t xml:space="preserve">                                         PERFORMANCE  OF PREMIUM OPTOIN  PACKAGE SEPTEMBER 2016</t>
  </si>
  <si>
    <t xml:space="preserve">                                         PERFORMANCE  OF PREMIUM STOCK FUTURE PACKAGE OCTOBER 2016</t>
  </si>
  <si>
    <t xml:space="preserve">                                         PERFORMANCE  OF PREMIUM NIFTY FUTURE PACKAGE OCTOBER 2016</t>
  </si>
  <si>
    <t xml:space="preserve">                                         PERFORMANCE  OF PREMIUM OPTOIN  PACKAGE OCTOBER 2016</t>
  </si>
  <si>
    <t xml:space="preserve">CANBK </t>
  </si>
  <si>
    <t>ICICIBANK 255 CE</t>
  </si>
  <si>
    <t>AXISBANK 520 PE</t>
  </si>
  <si>
    <t>ICICIBANK 270 PE</t>
  </si>
  <si>
    <t>AJANTPHARM</t>
  </si>
  <si>
    <t>VEDL 200 CE</t>
  </si>
  <si>
    <t>CANBK 325 CE</t>
  </si>
  <si>
    <t>8800 PE</t>
  </si>
  <si>
    <t>YESBANK 1260 PE</t>
  </si>
  <si>
    <t xml:space="preserve">                                         PERFORMANCE  OF PREMIUM STOCK FUTURE PACKAGE NOVEMBER 2016</t>
  </si>
  <si>
    <t xml:space="preserve">                                         PERFORMANCE  OF PREMIUM NIFTY FUTURE PACKAGE NOVEMBER 2016</t>
  </si>
  <si>
    <t xml:space="preserve">                                         PERFORMANCE  OF PREMIUM OPTOIN  PACKAGE NOVEMBER 2016</t>
  </si>
  <si>
    <t>CANBK 300 PUT</t>
  </si>
  <si>
    <t>YESBAN 1300 PUT</t>
  </si>
  <si>
    <t>YESBANK 1180 PUT</t>
  </si>
  <si>
    <t>YESBANK 1160 PUT</t>
  </si>
  <si>
    <t>safe</t>
  </si>
  <si>
    <t xml:space="preserve">                                         PERFORMANCE  OF PREMIUM STOCK FUTURE PACKAGE DECEMBER 2016</t>
  </si>
  <si>
    <t xml:space="preserve">                                         PERFORMANCE  OF PREMIUM NIFTY FUTURE PACKAGE DECEMBER 2016</t>
  </si>
  <si>
    <t xml:space="preserve">                                         PERFORMANCE  OF PREMIUM OPTOIN  PACKAGE DECEMBER 2016</t>
  </si>
  <si>
    <t>UNIONBANK 145 PE</t>
  </si>
  <si>
    <t>ARVIND 360 CE</t>
  </si>
  <si>
    <t>CANBK 310 PE</t>
  </si>
  <si>
    <t>CANBK 270 PE</t>
  </si>
  <si>
    <t xml:space="preserve">                                         PERFORMANCE  OF PREMIUM STOCK FUTURE PACKAGE JANUARY 2017</t>
  </si>
  <si>
    <t>AXISBANK 450 PE</t>
  </si>
  <si>
    <t>AXISBANK 460 PE</t>
  </si>
  <si>
    <t>ICICIBANK 260 PE</t>
  </si>
  <si>
    <t>RELINFRA 540 CE</t>
  </si>
  <si>
    <t>TGT</t>
  </si>
  <si>
    <t xml:space="preserve">                                         PERFORMANCE  OF PREMIUM NIFTY FUTURE PACKAGE JANUARY 2017</t>
  </si>
  <si>
    <t xml:space="preserve">                                         PERFORMANCE  OF PREMIUM OPTOIN  PACKAGE JANUARY 2017</t>
  </si>
  <si>
    <t xml:space="preserve">                                         PERFORMANCE  OF PREMIUM STOCK FUTURE PACKAGE FEBRUARY 2017</t>
  </si>
  <si>
    <t xml:space="preserve">                                         PERFORMANCE  OF PREMIUM NIFTY FUTURE PACKAGE FEBRUARY 2017</t>
  </si>
  <si>
    <t xml:space="preserve">                                         PERFORMANCE  OF PREMIUM OPTOIN  PACKAGE FEBRUARY 2017</t>
  </si>
  <si>
    <t>SBIN 280 CE</t>
  </si>
  <si>
    <t>CANBK 290 CE</t>
  </si>
  <si>
    <t>HINDPETRO 560 CE</t>
  </si>
  <si>
    <t>YESBANK (MARCH)</t>
  </si>
  <si>
    <t>VEDL 265 PE</t>
  </si>
  <si>
    <t xml:space="preserve">                                         PERFORMANCE  OF PREMIUM STOCK FUTURE PACKAGE MARCH 2017</t>
  </si>
  <si>
    <t xml:space="preserve">                                         PERFORMANCE  OF PREMIUM NIFTY FUTURE PACKAGE MARCH 2017</t>
  </si>
  <si>
    <t xml:space="preserve">                                         PERFORMANCE  OF PREMIUM OPTOIN  PACKAGE MARCH 2017</t>
  </si>
  <si>
    <t>EXIT DATE</t>
  </si>
  <si>
    <t>AXISBANK 510 PE</t>
  </si>
  <si>
    <t>YESBAK 1450 PE</t>
  </si>
  <si>
    <t>AXISBANK 500 PE</t>
  </si>
  <si>
    <t xml:space="preserve">                                         PERFORMANCE  OF PREMIUM STOCK FUTURE PACKAGE APRIL 2017</t>
  </si>
  <si>
    <t xml:space="preserve">                                         PERFORMANCE  OF PREMIUM NIFTY FUTURE PACKAGE APRIL 2017</t>
  </si>
  <si>
    <t xml:space="preserve">                                         PERFORMANCE  OF PREMIUM OPTOIN  PACKAGE APRIL 2017</t>
  </si>
  <si>
    <t>CANBK 300 PE</t>
  </si>
  <si>
    <t>YESBANK 1550 PE</t>
  </si>
  <si>
    <t>VEDL 230 PE</t>
  </si>
  <si>
    <t>YESBANK 1600 CE</t>
  </si>
  <si>
    <t>MCDOWELL-N</t>
  </si>
  <si>
    <t xml:space="preserve">                                         PERFORMANCE  OF PREMIUM STOCK FUTURE PACKAGE MAY 2017</t>
  </si>
  <si>
    <t xml:space="preserve">                                         PERFORMANCE  OF PREMIUM NIFTY FUTURE PACKAGE MAY 2017</t>
  </si>
  <si>
    <t xml:space="preserve">                                         PERFORMANCE  OF PREMIUM OPTOIN  PACKAGE MAY 2017</t>
  </si>
  <si>
    <t>SBIN 300 CE</t>
  </si>
  <si>
    <t>RELIANCE 1340 CE</t>
  </si>
  <si>
    <t>MARUTI 6900 CE</t>
  </si>
  <si>
    <t>HEROMOTOCO 3700 CE</t>
  </si>
  <si>
    <t>SUNPHARMA</t>
  </si>
  <si>
    <t xml:space="preserve">                                         PERFORMANCE  OF PREMIUM STOCK FUTURE PACKAGE JUNE 2017</t>
  </si>
  <si>
    <t xml:space="preserve">                                         PERFORMANCE  OF PREMIUM NIFTY FUTURE PACKAGE JUNE 2017</t>
  </si>
  <si>
    <t xml:space="preserve">                                         PERFORMANCE  OF PREMIUM OPTOIN  PACKAGE JUNE 2017</t>
  </si>
  <si>
    <t>MARUTI 7400 CE</t>
  </si>
  <si>
    <t>MARUTI 7500 CE</t>
  </si>
  <si>
    <t>CANBK 350 PE</t>
  </si>
  <si>
    <t>INFRATEL</t>
  </si>
  <si>
    <t xml:space="preserve">                                         PERFORMANCE  OF PREMIUM STOCK FUTURE PACKAGE JULY 2017</t>
  </si>
  <si>
    <t xml:space="preserve">                                         PERFORMANCE  OF PREMIUM NIFTY FUTURE PACKAGE JULY 2017</t>
  </si>
  <si>
    <t xml:space="preserve">                                         PERFORMANCE  OF PREMIUM OPTOIN  PACKAGE JULY 2017</t>
  </si>
  <si>
    <t>SBIN 290 PUT</t>
  </si>
  <si>
    <t>CANBK 365 PUT</t>
  </si>
  <si>
    <t>CANBK 355 PUT</t>
  </si>
  <si>
    <t xml:space="preserve">BUY  </t>
  </si>
  <si>
    <t>SBIN 310 PUT</t>
  </si>
  <si>
    <t>DRREDDY 2100 PUT</t>
  </si>
  <si>
    <t>DRREDDY 2000 PUT</t>
  </si>
  <si>
    <t>S</t>
  </si>
  <si>
    <t>Back</t>
  </si>
  <si>
    <t>Winnes Capital Line</t>
  </si>
  <si>
    <t>CALLS DETAILS</t>
  </si>
  <si>
    <t>TOTAL CALLS</t>
  </si>
  <si>
    <t>TGT HIT</t>
  </si>
  <si>
    <t>SL HIT</t>
  </si>
  <si>
    <t>BE EXIT</t>
  </si>
  <si>
    <t>ACCURACY</t>
  </si>
  <si>
    <t>Sr.</t>
  </si>
  <si>
    <t>TOTAL</t>
  </si>
  <si>
    <t>Accuracy of the Month</t>
  </si>
  <si>
    <t>www.winnerscapitalline.com</t>
  </si>
  <si>
    <t>Total</t>
  </si>
  <si>
    <t>PERFORMANCE  OF PREMIUM OPTOIN  PACKAGE</t>
  </si>
  <si>
    <t>PERFORMANCE  OF PREMIUM NIFTY FUTURE PACKAGE</t>
  </si>
  <si>
    <t>PERFORMANCE  OF PREMIUM STOCK FUTURE PACKAGE</t>
  </si>
  <si>
    <t>↓↓↓↓↓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</si>
  <si>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</si>
  <si>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</si>
  <si>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</si>
  <si>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</si>
  <si>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</si>
  <si>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</si>
  <si>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</si>
  <si>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</si>
  <si>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</si>
  <si>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</si>
  <si>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AUGUST</t>
  </si>
  <si>
    <t>September</t>
  </si>
  <si>
    <t>October</t>
  </si>
  <si>
    <t>November</t>
  </si>
  <si>
    <t>December</t>
  </si>
  <si>
    <t>PREMIUM STOCK FUTURE</t>
  </si>
  <si>
    <t>PREMIUM NIFTY FUTURE</t>
  </si>
  <si>
    <t>PREMIUM OPTOIN</t>
  </si>
  <si>
    <t>BUY/ SELL</t>
  </si>
  <si>
    <t>DRREDDY 1950 PUT</t>
  </si>
  <si>
    <t>3-8-20173</t>
  </si>
  <si>
    <t>YESBANK 1740 PUT</t>
  </si>
  <si>
    <t>SEPTEMBER</t>
  </si>
  <si>
    <t>CANBK 330 PE</t>
  </si>
  <si>
    <t>CANBK 340 PE</t>
  </si>
  <si>
    <t>UJJIVAN 330 CE</t>
  </si>
  <si>
    <t>27-9-207</t>
  </si>
  <si>
    <t>UJJIVAN</t>
  </si>
  <si>
    <t>OCTOBER</t>
  </si>
  <si>
    <t>NOVEMBER</t>
  </si>
  <si>
    <t>ICICIBANK 315 PE</t>
  </si>
  <si>
    <t>ICICIBANK 305 CE</t>
  </si>
  <si>
    <t>CANBK 360 PE</t>
  </si>
  <si>
    <t>DRREDDY 2300 PE</t>
  </si>
  <si>
    <t>RELIANCE 900 PE</t>
  </si>
  <si>
    <t>DECEMBER</t>
  </si>
  <si>
    <t>BANKNIFTY</t>
  </si>
  <si>
    <t>CANBK 370 CE</t>
  </si>
  <si>
    <t>RELINFRA 480 PE</t>
  </si>
  <si>
    <t>ICICIBANK 340 PE</t>
  </si>
  <si>
    <t>RELIANCE 940 CE</t>
  </si>
  <si>
    <t>RELIANCE 960 PE</t>
  </si>
  <si>
    <t>BHARATFIN</t>
  </si>
  <si>
    <t>DRREDDY 2200 CE</t>
  </si>
  <si>
    <t>CANBK 310 CE</t>
  </si>
  <si>
    <t>SBIN 260 PE</t>
  </si>
  <si>
    <t>CANBK 300 CE</t>
  </si>
  <si>
    <t>1ST</t>
  </si>
  <si>
    <t>CANBK 260 PE</t>
  </si>
  <si>
    <t>CANBK 260 CE</t>
  </si>
  <si>
    <t>1st TGT</t>
  </si>
  <si>
    <t>BAJFINANCE</t>
  </si>
  <si>
    <t>ICICIBANK 290 PE</t>
  </si>
  <si>
    <t>DRREDDY 2000 CE</t>
  </si>
  <si>
    <t>SBIN 270 CE</t>
  </si>
  <si>
    <t>2nd tgt</t>
  </si>
  <si>
    <t>SBIN 275 PE</t>
  </si>
  <si>
    <t>SBIN 295 PE</t>
  </si>
  <si>
    <t>SAFE TRADER</t>
  </si>
  <si>
    <t>1 TGT</t>
  </si>
  <si>
    <t>RELIANCE 1220 CE</t>
  </si>
  <si>
    <t>2 NEAR TGT</t>
  </si>
  <si>
    <t>YESBANK 330 CE</t>
  </si>
  <si>
    <t>NEAR 1 TGT</t>
  </si>
  <si>
    <t>2 TGT</t>
  </si>
  <si>
    <t>NIFTY 10600 PE</t>
  </si>
  <si>
    <t>RELIANCE 1140 CE</t>
  </si>
  <si>
    <t>INDUSINDBK</t>
  </si>
  <si>
    <t>NEAR 2 TGT</t>
  </si>
  <si>
    <t>SBIN 275 CE</t>
  </si>
  <si>
    <t>RELIANCE 1080 PE</t>
  </si>
  <si>
    <t>NTPC 157.50 PE</t>
  </si>
  <si>
    <t>2 ND TGT</t>
  </si>
  <si>
    <t>CADILAHC</t>
  </si>
  <si>
    <t>ADANIPORT 360 PE</t>
  </si>
  <si>
    <t>BAJAJAUTO 2700 PE</t>
  </si>
  <si>
    <t>AXISBANK 610 PE</t>
  </si>
  <si>
    <t>FEDRALBANK 85 CE</t>
  </si>
  <si>
    <t>SBIN 300 PE</t>
  </si>
  <si>
    <t>TCS 1920 PE</t>
  </si>
  <si>
    <t>Click any Month</t>
  </si>
  <si>
    <t>ITC 280 PE</t>
  </si>
  <si>
    <t xml:space="preserve">RELIANCE </t>
  </si>
  <si>
    <t>BANKBARODA 120 CE</t>
  </si>
  <si>
    <t>YESBANK 205 PE</t>
  </si>
  <si>
    <t>RELIANCE 1240 PE</t>
  </si>
  <si>
    <t>1TGT</t>
  </si>
  <si>
    <t>RELIANCE 1260 PE</t>
  </si>
  <si>
    <t>AXISBANK 720 PE</t>
  </si>
  <si>
    <t xml:space="preserve">1 TGT </t>
  </si>
  <si>
    <t>RELIANCE 1320 PE</t>
  </si>
  <si>
    <t>AXISBANK 740 CE</t>
  </si>
  <si>
    <t>AXISBANK 760 PE</t>
  </si>
  <si>
    <t>IBULHSGFIN</t>
  </si>
  <si>
    <t>SBIN 315 CE</t>
  </si>
  <si>
    <t>SBIN 310 CE</t>
  </si>
  <si>
    <t>BANKBARODA</t>
  </si>
  <si>
    <t>ICICIBANK 405 CE</t>
  </si>
  <si>
    <t>LT 1540 CE</t>
  </si>
  <si>
    <t>INDIGO</t>
  </si>
  <si>
    <t>1 TGT DONE</t>
  </si>
  <si>
    <t>SUNPHARMA 390 CE</t>
  </si>
  <si>
    <t>MARUTI 6600 CE</t>
  </si>
  <si>
    <t>AMARRAJABAT 620 CE</t>
  </si>
  <si>
    <t xml:space="preserve">NEAR TGT </t>
  </si>
  <si>
    <t xml:space="preserve">YESBANK </t>
  </si>
  <si>
    <t>IBULHSGFIN 660 CE</t>
  </si>
  <si>
    <t xml:space="preserve">2 TGT </t>
  </si>
  <si>
    <t>YESBANK 90 PE</t>
  </si>
  <si>
    <t>YESBANK 90 CE</t>
  </si>
  <si>
    <t>PEL 1900 CE</t>
  </si>
  <si>
    <t>TATASTEEL 360 CE</t>
  </si>
  <si>
    <t>ULTRACEMO 4000 CE</t>
  </si>
  <si>
    <t>HDFC 2020 PE</t>
  </si>
  <si>
    <t>TATAELXSI</t>
  </si>
  <si>
    <t>TATAELXSI 800 PE</t>
  </si>
  <si>
    <t>ULTRACEMCO</t>
  </si>
  <si>
    <t>LT 1380 CE</t>
  </si>
  <si>
    <t>RELIANCE 1560 PE</t>
  </si>
  <si>
    <t xml:space="preserve">AXISBANK </t>
  </si>
  <si>
    <t>RELIANCE 1520 PE</t>
  </si>
  <si>
    <t>SBIN 330 PE</t>
  </si>
  <si>
    <t>PEL 1650 CE</t>
  </si>
  <si>
    <t>RELIANCE 1420 PE</t>
  </si>
  <si>
    <t>LT 1260 PE</t>
  </si>
  <si>
    <t>NIFTY (MARCH)</t>
  </si>
  <si>
    <t>RELIANCE 1340 PE</t>
  </si>
  <si>
    <t>NEAR 1 GT</t>
  </si>
  <si>
    <t>RELIANCE 1180 PE</t>
  </si>
  <si>
    <t>AXISBANK 420 PE</t>
  </si>
  <si>
    <t>ESCORTS</t>
  </si>
  <si>
    <t>AXISBANK 400 PE</t>
  </si>
  <si>
    <t>SBIN 170 CE</t>
  </si>
  <si>
    <t>BAJFINANCE 1900 PE</t>
  </si>
  <si>
    <t>INDIGO 1040 CE</t>
  </si>
  <si>
    <t xml:space="preserve">UBL </t>
  </si>
  <si>
    <t>ICICIBANK 360 CE</t>
  </si>
  <si>
    <t>MARUTI 5500 CE</t>
  </si>
  <si>
    <t>JINDALSTEEL135 PE</t>
  </si>
  <si>
    <t>JUBLFOOD</t>
  </si>
  <si>
    <t>APOLLOTYRE</t>
  </si>
  <si>
    <t>CENTURYTEX 330 CE</t>
  </si>
  <si>
    <t>TATAMOTORS 105 PE</t>
  </si>
  <si>
    <t>INFRATEL 210 CE</t>
  </si>
  <si>
    <t>RELIANCE 2160 CE</t>
  </si>
  <si>
    <t>UPL 480 CE</t>
  </si>
  <si>
    <t>BAJFINANCE 3400 CE</t>
  </si>
  <si>
    <t>NTPC 105 CE</t>
  </si>
  <si>
    <t>CANBK 110 CE</t>
  </si>
  <si>
    <t>MOTHERSUMI 120 PE</t>
  </si>
  <si>
    <t>BHARTIARTL 400 CE</t>
  </si>
  <si>
    <t>RELIANCE 2100 CE</t>
  </si>
  <si>
    <t>RELIANCE 1940 CE</t>
  </si>
  <si>
    <t>GRASIM</t>
  </si>
  <si>
    <t>NEAR 1 TGT4</t>
  </si>
  <si>
    <t>INFY 1100 CE</t>
  </si>
  <si>
    <t>BAJFINANCE 4700 PE</t>
  </si>
  <si>
    <t>HEROMOTOCO 3100 PE</t>
  </si>
  <si>
    <t>BRITANNIA</t>
  </si>
  <si>
    <t>TCS</t>
  </si>
  <si>
    <t>MGL 1160 CE</t>
  </si>
  <si>
    <t>BAJFINANCE 4800 PE</t>
  </si>
  <si>
    <t>TATACHEM</t>
  </si>
  <si>
    <t>MARUTI 8200 CE</t>
  </si>
  <si>
    <t>JSWSTEEL</t>
  </si>
  <si>
    <t>HAVELLS</t>
  </si>
  <si>
    <t>ULTRACEMCO 6300 CE</t>
  </si>
  <si>
    <t>MGL</t>
  </si>
  <si>
    <t>VEDL 185 CE</t>
  </si>
  <si>
    <t>NRAR 2 TGT</t>
  </si>
  <si>
    <t>DABUR 540 CE</t>
  </si>
  <si>
    <t>EXIDEIND 210 CE</t>
  </si>
  <si>
    <t xml:space="preserve"> BUY</t>
  </si>
  <si>
    <t>HDFCBANK 1560 CE</t>
  </si>
  <si>
    <t>APOLLOTYRE 255 CE</t>
  </si>
  <si>
    <t>HDFCLIFE</t>
  </si>
  <si>
    <t>MCDOWELL-N 550 CE</t>
  </si>
  <si>
    <t>VOLTAS 1000 CE</t>
  </si>
  <si>
    <t>BEL</t>
  </si>
  <si>
    <t>SBIN 340 PE</t>
  </si>
  <si>
    <t>BAJFINANCE 4700 CE</t>
  </si>
  <si>
    <t xml:space="preserve">SBIN </t>
  </si>
  <si>
    <t>BANKNARODA 65 CE</t>
  </si>
  <si>
    <t>SBIN 350 PE</t>
  </si>
  <si>
    <t>ESCORT</t>
  </si>
  <si>
    <t>RBLBANK 190 CE</t>
  </si>
  <si>
    <t>SBIN 370 CE</t>
  </si>
  <si>
    <t>MARUTI 6800 CE</t>
  </si>
  <si>
    <t>ELCHERMOT 2600 CE</t>
  </si>
  <si>
    <t>ICICIBANK 650 PE</t>
  </si>
  <si>
    <t>MANAPPURAM 170 CE</t>
  </si>
  <si>
    <t xml:space="preserve">NEAR 2 TGT </t>
  </si>
  <si>
    <t>ADANIPORTS 800 CE</t>
  </si>
  <si>
    <t>PNB 45 CE</t>
  </si>
  <si>
    <t>INFY</t>
  </si>
  <si>
    <t>HDFCBANK 1540 CE</t>
  </si>
  <si>
    <t>HDFC 2500 CE</t>
  </si>
  <si>
    <t>HDFCBANK 1440 CE</t>
  </si>
  <si>
    <t>AUBANK</t>
  </si>
  <si>
    <t>KOTAKBANK 1820 CE</t>
  </si>
  <si>
    <t>HCLTECH 1160 CE</t>
  </si>
  <si>
    <t>VEDL</t>
  </si>
  <si>
    <t>MFSL 1100 CALL</t>
  </si>
  <si>
    <t>INDUSTOWER</t>
  </si>
  <si>
    <t>JINDALSTEEL</t>
  </si>
  <si>
    <t>SBIN 440 CALL</t>
  </si>
  <si>
    <t>UBL</t>
  </si>
  <si>
    <t>PVR 1500 CE</t>
  </si>
  <si>
    <t>GODREJPROP 1600 CE</t>
  </si>
  <si>
    <t>MINDTREE 4800 CE</t>
  </si>
  <si>
    <t>IPCALAB</t>
  </si>
  <si>
    <t>GODREJPROP 2340 CE</t>
  </si>
  <si>
    <t>MFSL</t>
  </si>
  <si>
    <t xml:space="preserve">PEL </t>
  </si>
  <si>
    <t>GODREJCP</t>
  </si>
  <si>
    <t>TRENT</t>
  </si>
  <si>
    <t>MCX</t>
  </si>
  <si>
    <t>TITAN 2180 CE</t>
  </si>
  <si>
    <t>HINDALCO 500 CE</t>
  </si>
  <si>
    <t>MCX 2000 CE</t>
  </si>
  <si>
    <t>DIXON 5700 CE</t>
  </si>
  <si>
    <t>INDUSTOWER 310 CE</t>
  </si>
  <si>
    <t>LEX 850 CE</t>
  </si>
  <si>
    <t>INDUSTOWER 300 CE</t>
  </si>
  <si>
    <t>BERGEPAINT</t>
  </si>
  <si>
    <t>CONCOR 700 CE</t>
  </si>
  <si>
    <t>UPL 780 CE</t>
  </si>
  <si>
    <t>TORNTPOWER</t>
  </si>
  <si>
    <t>APOLLOHOSP 5200 CE</t>
  </si>
  <si>
    <t>DIXON</t>
  </si>
  <si>
    <t>NEAR 2 TGT'</t>
  </si>
  <si>
    <t>MARUTI 8300 CE</t>
  </si>
  <si>
    <t>DIXON 5200 CE</t>
  </si>
  <si>
    <t>GODREJCP 900 CE</t>
  </si>
  <si>
    <t>TATAMOTORS 500 CE</t>
  </si>
  <si>
    <t>MINDTREE 4700 CE</t>
  </si>
  <si>
    <t>METROPOLISH 3300 CE</t>
  </si>
  <si>
    <t>MCX 1840 CE</t>
  </si>
  <si>
    <t>SRTRANSFIN 1180 PE</t>
  </si>
  <si>
    <t>CUMMINSIND</t>
  </si>
  <si>
    <t>BPCL</t>
  </si>
  <si>
    <t>AARTIIND</t>
  </si>
  <si>
    <t>ABFRL</t>
  </si>
  <si>
    <t>POLYCAB</t>
  </si>
  <si>
    <t>GODREJPROP</t>
  </si>
  <si>
    <t>BALKRISIND</t>
  </si>
  <si>
    <t>ULTRACEMOCO</t>
  </si>
  <si>
    <t>SRF</t>
  </si>
  <si>
    <t>TORENTPHARMA 3300 CE</t>
  </si>
  <si>
    <t>ULTRACEMO 7700 CE</t>
  </si>
  <si>
    <t>TATAMOTORS 510 CE</t>
  </si>
  <si>
    <t>MINDTREE 4600 CE</t>
  </si>
  <si>
    <t>INFY 1900 CE</t>
  </si>
  <si>
    <t>LICHSGFIN 405 CE</t>
  </si>
  <si>
    <t>COFORGE 4400 PE</t>
  </si>
  <si>
    <t>HDFC 2300 PE</t>
  </si>
  <si>
    <t>HINDUNIVER 2300 CE</t>
  </si>
  <si>
    <t>BAJAJAUTO 3600 CE</t>
  </si>
  <si>
    <t>TECH</t>
  </si>
  <si>
    <t xml:space="preserve">ADANIENT </t>
  </si>
  <si>
    <t>TATASTEEL</t>
  </si>
  <si>
    <t>TATACONSUM</t>
  </si>
  <si>
    <t>KOTAKBANK</t>
  </si>
  <si>
    <t>M&amp;M 750 PE</t>
  </si>
  <si>
    <t>UPL 740 CE</t>
  </si>
  <si>
    <t>RELIANCE 2400 CE</t>
  </si>
  <si>
    <t>GODREJCP 750 CE</t>
  </si>
  <si>
    <t>KOTAKBANK 1800 CE</t>
  </si>
  <si>
    <t>ADANIPORTS 760 CE</t>
  </si>
  <si>
    <t>TATAMOTORS 450 CE</t>
  </si>
  <si>
    <t>DELTACORP</t>
  </si>
  <si>
    <t>MINDTREE</t>
  </si>
  <si>
    <t>HDFCAMC</t>
  </si>
  <si>
    <t>GRASIM 1740 CE</t>
  </si>
  <si>
    <t>DIXON 4600 CE</t>
  </si>
  <si>
    <t>AUBANK 1400 CE</t>
  </si>
  <si>
    <t>PIIND 3000 CE</t>
  </si>
  <si>
    <t>BPCL 380 CE</t>
  </si>
  <si>
    <t>HAL 1740 CE</t>
  </si>
  <si>
    <t>ICICIGI</t>
  </si>
  <si>
    <t>NEAR  1 TGT</t>
  </si>
  <si>
    <t>NIFTY 16500 CE</t>
  </si>
  <si>
    <t>MINDTREE 3300 CE</t>
  </si>
  <si>
    <t>NIFTY 16300 PE</t>
  </si>
  <si>
    <t>BAJFINANCE 5500 PE</t>
  </si>
  <si>
    <t>ULTRACEMCO 6100 CE</t>
  </si>
  <si>
    <t>MARUTI 7600 CE</t>
  </si>
  <si>
    <t>UPL 800 CE</t>
  </si>
  <si>
    <t>TITAN 2300 CE</t>
  </si>
  <si>
    <t>BAJAJFINSV 14000 CE</t>
  </si>
  <si>
    <t>BANDANBK 320 PE</t>
  </si>
  <si>
    <t>NIFTY 16500 PE</t>
  </si>
  <si>
    <t>HLTECH 1060 CE</t>
  </si>
  <si>
    <t>BANKNIFTY 33600 CE</t>
  </si>
  <si>
    <t>HAL</t>
  </si>
  <si>
    <t>TATAONSUM 720 CE</t>
  </si>
  <si>
    <t>HAL 1800 CE</t>
  </si>
  <si>
    <t>NIFTY 15300 PE</t>
  </si>
  <si>
    <t>BANKNIFTY 33800 CE</t>
  </si>
  <si>
    <t xml:space="preserve">LT </t>
  </si>
  <si>
    <t>APOLLOHOSP</t>
  </si>
  <si>
    <t>COROMANDEL</t>
  </si>
  <si>
    <t>RELIANCE 2460 CE</t>
  </si>
  <si>
    <t>BANKNIFTY 34300 PE</t>
  </si>
  <si>
    <t>RELIANCE 2420 CE</t>
  </si>
  <si>
    <t>BANKNIFTY 34400 PE</t>
  </si>
  <si>
    <t>POLYCAB 2250 CE</t>
  </si>
  <si>
    <t>AXISBANK 700 CE</t>
  </si>
  <si>
    <t>HDFC 2300 CE</t>
  </si>
  <si>
    <t>BANKNIFTY 37300 PE</t>
  </si>
  <si>
    <t>PERSISTENT</t>
  </si>
  <si>
    <t>DEEPAKNTR</t>
  </si>
  <si>
    <t>SIEMENS</t>
  </si>
  <si>
    <t>HDFCBANK</t>
  </si>
  <si>
    <t>BANKNIFTY 37600 PE</t>
  </si>
  <si>
    <t>HAL 2100 CE</t>
  </si>
  <si>
    <t>DIXON 3900 CE</t>
  </si>
  <si>
    <t>TECHM 1040 CE</t>
  </si>
  <si>
    <t>BAKNIFTY 39000 PE</t>
  </si>
  <si>
    <t>BANKNIFTY 38300 PE</t>
  </si>
  <si>
    <t xml:space="preserve"> 11-08-22</t>
  </si>
  <si>
    <t>INDIAMART</t>
  </si>
  <si>
    <t>DIXON 4200 CE</t>
  </si>
  <si>
    <t>TATACHEM 1120 CE</t>
  </si>
  <si>
    <t>CUB</t>
  </si>
  <si>
    <t>BANKNIFTY 40800 PE</t>
  </si>
  <si>
    <t>ALKEM 3350 CE</t>
  </si>
  <si>
    <t>INFY  1400 CE</t>
  </si>
  <si>
    <t>BANKNIFTY 38000 PE</t>
  </si>
  <si>
    <t>HIDUNILVER</t>
  </si>
  <si>
    <t>ADANIENT 3200 PE</t>
  </si>
  <si>
    <t>HINDUNILVR 2600 PE</t>
  </si>
  <si>
    <t>NIFTY 17150 PE</t>
  </si>
  <si>
    <t>AXISBANK 800 CE</t>
  </si>
  <si>
    <t>ADANIENT 3300 CE</t>
  </si>
  <si>
    <t>BANKNIFTY 39700 PE</t>
  </si>
  <si>
    <t>ICICIBANK 900 CE</t>
  </si>
  <si>
    <t>MCDOWELL-N 900 CE</t>
  </si>
  <si>
    <t>NIFTY 18100 CE</t>
  </si>
  <si>
    <t>JKCEMENT</t>
  </si>
  <si>
    <t>TVSMOTORS</t>
  </si>
  <si>
    <t>ADANIENT 3500 CE</t>
  </si>
  <si>
    <t>VEDL 330 CE</t>
  </si>
  <si>
    <t>LTI 5000 CE</t>
  </si>
  <si>
    <t>AMARAJABT 610 PE</t>
  </si>
  <si>
    <t>NIFTY 18300 PE</t>
  </si>
  <si>
    <t>LTTS</t>
  </si>
  <si>
    <t>BANKNIFTY 43000 CE</t>
  </si>
  <si>
    <t>GODREJPROP 1320 CE</t>
  </si>
  <si>
    <t>ADANIENT 4000 CE</t>
  </si>
  <si>
    <t>ULTRACEMCO 7400 CE</t>
  </si>
  <si>
    <t>PIIND 3500 CE</t>
  </si>
  <si>
    <t>BANKNIFTY 43800 CE</t>
  </si>
  <si>
    <t>ADANIPORTS 900 CE</t>
  </si>
  <si>
    <t>NIFTY 18450 PE</t>
  </si>
  <si>
    <t>IRCTC 600 PE</t>
  </si>
  <si>
    <t>BANKNIFTY 42100 PE</t>
  </si>
  <si>
    <t>SBIN 530 PE</t>
  </si>
  <si>
    <t>ADANIENT 3850 PE</t>
  </si>
  <si>
    <t>NIFTY 17800 CE</t>
  </si>
  <si>
    <t>NIFTY 18000 PE</t>
  </si>
  <si>
    <t>BANKNIFTY 42200 PE</t>
  </si>
  <si>
    <t>BANKNIFTY 40500 CE</t>
  </si>
  <si>
    <t>JANUARY</t>
  </si>
  <si>
    <t>FEBRUARY</t>
  </si>
  <si>
    <t>MARCH</t>
  </si>
  <si>
    <t>APRIL</t>
  </si>
  <si>
    <t>MAY</t>
  </si>
  <si>
    <t>JUNE</t>
  </si>
  <si>
    <t>JULY</t>
  </si>
  <si>
    <t xml:space="preserve"> BUY </t>
  </si>
  <si>
    <t xml:space="preserve"> NIFTY</t>
  </si>
  <si>
    <t>NIFTY 17600 PE</t>
  </si>
  <si>
    <t>TATACHEM 1000 CE</t>
  </si>
  <si>
    <t>KOTAKBANK 1780 CE</t>
  </si>
  <si>
    <t>BANKNIFTY 40900 PE</t>
  </si>
  <si>
    <t>BANKNIFTY 40000 PE</t>
  </si>
  <si>
    <t>POWERGRID 220 CE</t>
  </si>
  <si>
    <t xml:space="preserve"> 1 TGT</t>
  </si>
  <si>
    <t>SBICARD</t>
  </si>
  <si>
    <t>HAL 2700 CE</t>
  </si>
  <si>
    <t>SBILIFE 1100 PE</t>
  </si>
  <si>
    <t>NIFTY 17100 PE</t>
  </si>
  <si>
    <t>BANKNIFTY 39400 PE</t>
  </si>
  <si>
    <t>NIFTY 16900 PE</t>
  </si>
  <si>
    <t>MARUTI 8400 CE</t>
  </si>
  <si>
    <t>BANKIFTY 40000 CE</t>
  </si>
  <si>
    <t>TATAPOWER</t>
  </si>
  <si>
    <t>APOLLOHOSP 4300 PE</t>
  </si>
  <si>
    <t>CANBK 285 PE</t>
  </si>
  <si>
    <t>JKCEMENT 3000 CE</t>
  </si>
  <si>
    <t>BATAINDIA</t>
  </si>
  <si>
    <t>MUTHOOTFIN</t>
  </si>
  <si>
    <t>SBILIFE</t>
  </si>
  <si>
    <t>MANNAPPURAM 115 CE</t>
  </si>
  <si>
    <t>BANKNIFTY 42800 PE</t>
  </si>
  <si>
    <t>NEAR 2 TG</t>
  </si>
  <si>
    <t>BANKNIFTY 43200 CE</t>
  </si>
  <si>
    <t>TCS 3260 CE</t>
  </si>
  <si>
    <t>BANKNIFTY 43900 CE</t>
  </si>
  <si>
    <t>HAL 3050 CE</t>
  </si>
  <si>
    <t>BANKNIFTY 43600 PE</t>
  </si>
  <si>
    <t>BANKNIFTY 44200 PE</t>
  </si>
  <si>
    <t>ULTRACEMO</t>
  </si>
  <si>
    <t>RBLBANK 170 CE</t>
  </si>
  <si>
    <t>BATAINDIA 1600 CE</t>
  </si>
  <si>
    <t>HAL 3550 CE</t>
  </si>
  <si>
    <t>ADANIET 2500 CE</t>
  </si>
  <si>
    <t>TITAN 2900 CE</t>
  </si>
  <si>
    <t>NIFTY 18900 CE</t>
  </si>
  <si>
    <t>PVRINOX 1500 CE</t>
  </si>
  <si>
    <t>HDFCBANK 1620 CE</t>
  </si>
  <si>
    <t>RBLBANK</t>
  </si>
  <si>
    <t>COFORGE</t>
  </si>
  <si>
    <t>RBLBANK 195 CE</t>
  </si>
  <si>
    <t>NIFTY 19450 PE</t>
  </si>
  <si>
    <t>LT 2500 CE</t>
  </si>
  <si>
    <t>NIFTY 19550 PE</t>
  </si>
  <si>
    <t>TCS 3400 CE</t>
  </si>
  <si>
    <t>NIFTY 19550 CE</t>
  </si>
  <si>
    <t>SHRIRAMFIN 1860 CE</t>
  </si>
  <si>
    <t>BANKNIFTY 46000 CE</t>
  </si>
  <si>
    <t>SIEMENS 3800 CE</t>
  </si>
  <si>
    <t>CHOLAFIN 1150 CE</t>
  </si>
  <si>
    <t>ASHOKLEY 190 CE</t>
  </si>
  <si>
    <t>RELIACE 2560 CE</t>
  </si>
  <si>
    <t>APOLLHOSP 4900 CE</t>
  </si>
  <si>
    <t>NIFTY 19400 CE</t>
  </si>
  <si>
    <t>SUNTV 610 CE</t>
  </si>
  <si>
    <t>NIFTY 19300 PE</t>
  </si>
  <si>
    <t xml:space="preserve">BALRAMCHIN </t>
  </si>
  <si>
    <t>JSWSTEEL 800 CE</t>
  </si>
  <si>
    <t>ULTRACEMCO 8600 CE</t>
  </si>
  <si>
    <t>LT 2820 CE</t>
  </si>
  <si>
    <t>JSWSTEEL 820 CE</t>
  </si>
  <si>
    <t>BHARTIARTL 910 CE</t>
  </si>
  <si>
    <t>NIFTY 20000 CE</t>
  </si>
  <si>
    <t>NIFTY 19750 PE</t>
  </si>
  <si>
    <t>LTIM 5400 CE</t>
  </si>
  <si>
    <t>BAJAJFINSV</t>
  </si>
  <si>
    <t>NEAR 1 TG</t>
  </si>
  <si>
    <t>BAJAJFINSV 1600 CE</t>
  </si>
  <si>
    <t>BANKNIFTY 44600 CE</t>
  </si>
  <si>
    <t>JKCEMENT 3200 CE</t>
  </si>
  <si>
    <t>NIFTY 19700 CE</t>
  </si>
  <si>
    <t>BAJAJAUTO 5100 CE</t>
  </si>
  <si>
    <t>BANKNIFTY 44100 CE</t>
  </si>
  <si>
    <t>DIXON 5400 CE</t>
  </si>
  <si>
    <t>BANKNIFTY 43500 CE</t>
  </si>
  <si>
    <t>GODREJPROP 1780 CE</t>
  </si>
  <si>
    <t>NEAR  2 TGT</t>
  </si>
  <si>
    <t>BANKNIFTY 43600 CE</t>
  </si>
  <si>
    <t>JSWSTEEL 760 CE</t>
  </si>
  <si>
    <t>ASTRAL</t>
  </si>
  <si>
    <t>GUJGAS 440 CE</t>
  </si>
  <si>
    <t>DIXON 5950 PE</t>
  </si>
  <si>
    <t>NIFTY 20700 CE</t>
  </si>
  <si>
    <t>ABB 4900 CE</t>
  </si>
  <si>
    <t>NIFTY 21100 CE</t>
  </si>
  <si>
    <t>ABB</t>
  </si>
  <si>
    <t>DIXON 6350 CE</t>
  </si>
  <si>
    <t>NIFTY 21400 CE</t>
  </si>
  <si>
    <t>HINDCOPPER</t>
  </si>
  <si>
    <t>GNFC</t>
  </si>
  <si>
    <t>ADANIENT 3050 CE</t>
  </si>
  <si>
    <t>DIXON 6400 CE</t>
  </si>
  <si>
    <t>NIFTY 21550 CE</t>
  </si>
  <si>
    <t>DIXON 6500 CE</t>
  </si>
  <si>
    <t>NIFTY 21700 CE</t>
  </si>
  <si>
    <t>NIFTY 21700 PE</t>
  </si>
  <si>
    <t>TATAMOTORS 800 CE</t>
  </si>
  <si>
    <t>NIFTY 21850 CE</t>
  </si>
  <si>
    <t>ADANIENT 3200 CE</t>
  </si>
  <si>
    <t>NIFTY 21650 CE</t>
  </si>
  <si>
    <t>PERSISTENT 8300 CE</t>
  </si>
  <si>
    <t>NIFTY 21950 CE</t>
  </si>
  <si>
    <t>DIXON 6300 CE</t>
  </si>
  <si>
    <t>BANKNIFTY 45200 CE</t>
  </si>
  <si>
    <t>PNB 130 CE</t>
  </si>
  <si>
    <t>TITAN 3600 CE</t>
  </si>
  <si>
    <t>POWERGRID 280 CE</t>
  </si>
  <si>
    <t>COFORGE 6800 CE</t>
  </si>
  <si>
    <t>POWERGRID</t>
  </si>
  <si>
    <t>BANKNIFTY 47000 CE</t>
  </si>
  <si>
    <t>NIFTY 22150 CE</t>
  </si>
  <si>
    <t>DIXON 6700 CE</t>
  </si>
  <si>
    <t>NIFTY 22200 CE</t>
  </si>
  <si>
    <t>BANKNIFTY 45900 PE</t>
  </si>
  <si>
    <t>BANKNIFTY 47500 CE</t>
  </si>
  <si>
    <t>GUJGASLTD 600 CE</t>
  </si>
  <si>
    <t>NIFTY 21900 PE</t>
  </si>
  <si>
    <t>DIXON 7000 PE</t>
  </si>
  <si>
    <t>AXISBANK 1030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</si>
</sst>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/yy;@"/>
    <numFmt numFmtId="165" formatCode="0_ ;[Red]\-0\ "/>
  </numFmts>
  <fonts count="28" x14ac:knownFonts="1">
    <font>
      <sz val="11"/>
      <color theme="1"/>
      <name val="Calibri"/>
      <family val="2"/>
      <scheme val="minor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20"/>
      <color theme="0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name val="Calibri"/>
      <family val="2"/>
      <scheme val="minor"/>
    </font>
    <font>
      <b/>
      <u/>
      <sz val="18"/>
      <color theme="10"/>
      <name val="Calibri"/>
      <family val="2"/>
    </font>
    <font>
      <b/>
      <sz val="1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72"/>
      <color rgb="FFFF0000"/>
      <name val="Calibri"/>
      <family val="2"/>
      <scheme val="minor"/>
    </font>
    <font>
      <b/>
      <sz val="70"/>
      <color rgb="FFFF0000"/>
      <name val="Calibri"/>
      <family val="2"/>
      <scheme val="minor"/>
    </font>
    <font>
      <b/>
      <sz val="26"/>
      <color rgb="FFFFC000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26"/>
      <color rgb="FFFFC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D8ED"/>
        <bgColor indexed="64"/>
      </patternFill>
    </fill>
    <fill>
      <patternFill patternType="solid">
        <fgColor rgb="FFCFF8FD"/>
        <bgColor indexed="64"/>
      </patternFill>
    </fill>
    <fill>
      <patternFill patternType="solid">
        <fgColor rgb="FF99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</cellStyleXfs>
  <cellXfs count="256">
    <xf numFmtId="0" fontId="0" fillId="0" borderId="0" xfId="0"/>
    <xf numFmtId="49" fontId="3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4" fontId="5" fillId="0" borderId="0" xfId="0" applyNumberFormat="1" applyFont="1"/>
    <xf numFmtId="0" fontId="8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4" borderId="5" xfId="0" applyFill="1" applyBorder="1" applyAlignment="1">
      <alignment shrinkToFit="1"/>
    </xf>
    <xf numFmtId="0" fontId="0" fillId="4" borderId="6" xfId="0" applyFill="1" applyBorder="1" applyAlignment="1">
      <alignment shrinkToFit="1"/>
    </xf>
    <xf numFmtId="0" fontId="0" fillId="4" borderId="7" xfId="0" applyFill="1" applyBorder="1" applyAlignment="1">
      <alignment shrinkToFit="1"/>
    </xf>
    <xf numFmtId="0" fontId="0" fillId="6" borderId="0" xfId="0" applyFill="1" applyAlignment="1">
      <alignment shrinkToFit="1"/>
    </xf>
    <xf numFmtId="0" fontId="14" fillId="7" borderId="8" xfId="2" applyFont="1" applyFill="1" applyBorder="1" applyAlignment="1" applyProtection="1">
      <alignment horizontal="center" vertical="center" shrinkToFit="1"/>
    </xf>
    <xf numFmtId="0" fontId="0" fillId="4" borderId="9" xfId="0" applyFill="1" applyBorder="1" applyAlignment="1">
      <alignment shrinkToFit="1"/>
    </xf>
    <xf numFmtId="0" fontId="0" fillId="4" borderId="12" xfId="0" applyFill="1" applyBorder="1" applyAlignment="1">
      <alignment shrinkToFit="1"/>
    </xf>
    <xf numFmtId="0" fontId="0" fillId="0" borderId="17" xfId="0" applyBorder="1" applyAlignment="1">
      <alignment horizontal="center" shrinkToFit="1"/>
    </xf>
    <xf numFmtId="14" fontId="0" fillId="0" borderId="18" xfId="0" applyNumberFormat="1" applyBorder="1" applyAlignment="1">
      <alignment horizontal="center" shrinkToFit="1"/>
    </xf>
    <xf numFmtId="1" fontId="0" fillId="0" borderId="18" xfId="0" applyNumberFormat="1" applyBorder="1" applyAlignment="1">
      <alignment horizontal="center" shrinkToFit="1"/>
    </xf>
    <xf numFmtId="165" fontId="0" fillId="0" borderId="18" xfId="0" applyNumberFormat="1" applyBorder="1" applyAlignment="1">
      <alignment horizontal="center" shrinkToFit="1"/>
    </xf>
    <xf numFmtId="165" fontId="0" fillId="0" borderId="28" xfId="0" applyNumberForma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14" fontId="0" fillId="0" borderId="25" xfId="0" applyNumberFormat="1" applyBorder="1" applyAlignment="1">
      <alignment horizontal="center" shrinkToFit="1"/>
    </xf>
    <xf numFmtId="1" fontId="0" fillId="0" borderId="25" xfId="0" applyNumberFormat="1" applyBorder="1" applyAlignment="1">
      <alignment horizontal="center" shrinkToFit="1"/>
    </xf>
    <xf numFmtId="165" fontId="0" fillId="0" borderId="25" xfId="0" applyNumberFormat="1" applyBorder="1" applyAlignment="1">
      <alignment horizontal="center" shrinkToFit="1"/>
    </xf>
    <xf numFmtId="165" fontId="0" fillId="0" borderId="30" xfId="0" applyNumberFormat="1" applyBorder="1" applyAlignment="1">
      <alignment horizontal="center" shrinkToFit="1"/>
    </xf>
    <xf numFmtId="0" fontId="0" fillId="6" borderId="0" xfId="0" applyFill="1" applyAlignment="1">
      <alignment horizontal="center" shrinkToFit="1"/>
    </xf>
    <xf numFmtId="0" fontId="20" fillId="9" borderId="8" xfId="0" applyFont="1" applyFill="1" applyBorder="1" applyAlignment="1">
      <alignment horizontal="center" shrinkToFit="1"/>
    </xf>
    <xf numFmtId="0" fontId="0" fillId="4" borderId="38" xfId="0" applyFill="1" applyBorder="1" applyAlignment="1">
      <alignment shrinkToFit="1"/>
    </xf>
    <xf numFmtId="0" fontId="0" fillId="4" borderId="1" xfId="0" applyFill="1" applyBorder="1" applyAlignment="1">
      <alignment shrinkToFit="1"/>
    </xf>
    <xf numFmtId="0" fontId="0" fillId="4" borderId="41" xfId="0" applyFill="1" applyBorder="1" applyAlignment="1">
      <alignment shrinkToFit="1"/>
    </xf>
    <xf numFmtId="0" fontId="0" fillId="4" borderId="9" xfId="0" applyFill="1" applyBorder="1" applyAlignment="1">
      <alignment horizontal="center" shrinkToFit="1"/>
    </xf>
    <xf numFmtId="0" fontId="0" fillId="4" borderId="12" xfId="0" applyFill="1" applyBorder="1" applyAlignment="1">
      <alignment horizontal="center" shrinkToFit="1"/>
    </xf>
    <xf numFmtId="0" fontId="0" fillId="6" borderId="0" xfId="0" applyFill="1" applyAlignment="1">
      <alignment horizontal="center"/>
    </xf>
    <xf numFmtId="0" fontId="0" fillId="6" borderId="0" xfId="0" applyFill="1"/>
    <xf numFmtId="0" fontId="12" fillId="7" borderId="1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13" fillId="17" borderId="28" xfId="2" applyFill="1" applyBorder="1" applyAlignment="1" applyProtection="1">
      <alignment horizontal="center"/>
    </xf>
    <xf numFmtId="0" fontId="0" fillId="18" borderId="17" xfId="0" applyFill="1" applyBorder="1" applyAlignment="1">
      <alignment horizontal="center"/>
    </xf>
    <xf numFmtId="0" fontId="13" fillId="18" borderId="28" xfId="2" applyFill="1" applyBorder="1" applyAlignment="1" applyProtection="1">
      <alignment horizontal="center"/>
    </xf>
    <xf numFmtId="0" fontId="0" fillId="19" borderId="17" xfId="0" applyFill="1" applyBorder="1" applyAlignment="1">
      <alignment horizontal="center"/>
    </xf>
    <xf numFmtId="0" fontId="13" fillId="19" borderId="28" xfId="2" applyFill="1" applyBorder="1" applyAlignment="1" applyProtection="1">
      <alignment horizontal="center"/>
    </xf>
    <xf numFmtId="0" fontId="0" fillId="20" borderId="17" xfId="0" applyFill="1" applyBorder="1" applyAlignment="1">
      <alignment horizontal="center"/>
    </xf>
    <xf numFmtId="0" fontId="13" fillId="20" borderId="28" xfId="2" applyFill="1" applyBorder="1" applyAlignment="1" applyProtection="1">
      <alignment horizontal="center"/>
    </xf>
    <xf numFmtId="0" fontId="0" fillId="16" borderId="24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13" fillId="17" borderId="30" xfId="2" applyFill="1" applyBorder="1" applyAlignment="1" applyProtection="1">
      <alignment horizontal="center"/>
    </xf>
    <xf numFmtId="0" fontId="0" fillId="18" borderId="24" xfId="0" applyFill="1" applyBorder="1" applyAlignment="1">
      <alignment horizontal="center"/>
    </xf>
    <xf numFmtId="0" fontId="13" fillId="18" borderId="30" xfId="2" applyFill="1" applyBorder="1" applyAlignment="1" applyProtection="1">
      <alignment horizontal="center"/>
    </xf>
    <xf numFmtId="0" fontId="0" fillId="19" borderId="24" xfId="0" applyFill="1" applyBorder="1" applyAlignment="1">
      <alignment horizontal="center"/>
    </xf>
    <xf numFmtId="0" fontId="13" fillId="19" borderId="30" xfId="2" applyFill="1" applyBorder="1" applyAlignment="1" applyProtection="1">
      <alignment horizontal="center"/>
    </xf>
    <xf numFmtId="0" fontId="0" fillId="20" borderId="24" xfId="0" applyFill="1" applyBorder="1" applyAlignment="1">
      <alignment horizontal="center"/>
    </xf>
    <xf numFmtId="0" fontId="13" fillId="20" borderId="30" xfId="2" applyFill="1" applyBorder="1" applyAlignment="1" applyProtection="1">
      <alignment horizontal="center"/>
    </xf>
    <xf numFmtId="0" fontId="13" fillId="16" borderId="30" xfId="2" applyFill="1" applyBorder="1" applyAlignment="1" applyProtection="1">
      <alignment horizontal="center"/>
    </xf>
    <xf numFmtId="0" fontId="0" fillId="16" borderId="33" xfId="0" applyFill="1" applyBorder="1" applyAlignment="1">
      <alignment horizontal="center"/>
    </xf>
    <xf numFmtId="0" fontId="13" fillId="16" borderId="42" xfId="2" applyFill="1" applyBorder="1" applyAlignment="1" applyProtection="1">
      <alignment horizontal="center"/>
    </xf>
    <xf numFmtId="0" fontId="0" fillId="17" borderId="33" xfId="0" applyFill="1" applyBorder="1" applyAlignment="1">
      <alignment horizontal="center"/>
    </xf>
    <xf numFmtId="0" fontId="13" fillId="17" borderId="42" xfId="2" applyFill="1" applyBorder="1" applyAlignment="1" applyProtection="1">
      <alignment horizontal="center"/>
    </xf>
    <xf numFmtId="0" fontId="0" fillId="18" borderId="33" xfId="0" applyFill="1" applyBorder="1" applyAlignment="1">
      <alignment horizontal="center"/>
    </xf>
    <xf numFmtId="0" fontId="13" fillId="18" borderId="42" xfId="2" applyFill="1" applyBorder="1" applyAlignment="1" applyProtection="1">
      <alignment horizontal="center"/>
    </xf>
    <xf numFmtId="0" fontId="0" fillId="19" borderId="33" xfId="0" applyFill="1" applyBorder="1" applyAlignment="1">
      <alignment horizontal="center"/>
    </xf>
    <xf numFmtId="0" fontId="13" fillId="19" borderId="42" xfId="2" applyFill="1" applyBorder="1" applyAlignment="1" applyProtection="1">
      <alignment horizontal="center"/>
    </xf>
    <xf numFmtId="0" fontId="0" fillId="20" borderId="33" xfId="0" applyFill="1" applyBorder="1" applyAlignment="1">
      <alignment horizontal="center"/>
    </xf>
    <xf numFmtId="165" fontId="0" fillId="0" borderId="19" xfId="0" applyNumberFormat="1" applyBorder="1" applyAlignment="1">
      <alignment horizontal="center" shrinkToFit="1"/>
    </xf>
    <xf numFmtId="165" fontId="0" fillId="0" borderId="26" xfId="0" applyNumberFormat="1" applyBorder="1" applyAlignment="1">
      <alignment horizontal="center" shrinkToFit="1"/>
    </xf>
    <xf numFmtId="1" fontId="20" fillId="0" borderId="8" xfId="0" applyNumberFormat="1" applyFont="1" applyBorder="1" applyAlignment="1">
      <alignment horizontal="center" shrinkToFit="1"/>
    </xf>
    <xf numFmtId="165" fontId="20" fillId="9" borderId="8" xfId="0" applyNumberFormat="1" applyFont="1" applyFill="1" applyBorder="1" applyAlignment="1">
      <alignment horizontal="center" shrinkToFit="1"/>
    </xf>
    <xf numFmtId="0" fontId="0" fillId="4" borderId="9" xfId="0" applyFill="1" applyBorder="1" applyAlignment="1">
      <alignment wrapText="1" shrinkToFit="1"/>
    </xf>
    <xf numFmtId="0" fontId="0" fillId="4" borderId="12" xfId="0" applyFill="1" applyBorder="1" applyAlignment="1">
      <alignment wrapText="1" shrinkToFit="1"/>
    </xf>
    <xf numFmtId="0" fontId="0" fillId="6" borderId="0" xfId="0" applyFill="1" applyAlignment="1">
      <alignment wrapText="1" shrinkToFit="1"/>
    </xf>
    <xf numFmtId="0" fontId="3" fillId="3" borderId="21" xfId="0" applyFont="1" applyFill="1" applyBorder="1" applyAlignment="1">
      <alignment horizontal="center" vertical="center" wrapText="1" shrinkToFit="1"/>
    </xf>
    <xf numFmtId="49" fontId="3" fillId="3" borderId="22" xfId="0" applyNumberFormat="1" applyFont="1" applyFill="1" applyBorder="1" applyAlignment="1">
      <alignment horizontal="center" vertical="center" wrapText="1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 vertical="center" wrapText="1" shrinkToFit="1"/>
    </xf>
    <xf numFmtId="0" fontId="3" fillId="3" borderId="43" xfId="0" applyFont="1" applyFill="1" applyBorder="1" applyAlignment="1">
      <alignment horizontal="center" vertical="center" wrapText="1" shrinkToFit="1"/>
    </xf>
    <xf numFmtId="0" fontId="3" fillId="3" borderId="23" xfId="0" applyFont="1" applyFill="1" applyBorder="1" applyAlignment="1">
      <alignment horizontal="center" vertical="center" wrapText="1" shrinkToFit="1"/>
    </xf>
    <xf numFmtId="0" fontId="0" fillId="6" borderId="5" xfId="0" applyFill="1" applyBorder="1" applyAlignment="1">
      <alignment shrinkToFit="1"/>
    </xf>
    <xf numFmtId="0" fontId="0" fillId="6" borderId="6" xfId="0" applyFill="1" applyBorder="1" applyAlignment="1">
      <alignment shrinkToFit="1"/>
    </xf>
    <xf numFmtId="0" fontId="0" fillId="6" borderId="7" xfId="0" applyFill="1" applyBorder="1" applyAlignment="1">
      <alignment shrinkToFit="1"/>
    </xf>
    <xf numFmtId="0" fontId="0" fillId="6" borderId="9" xfId="0" applyFill="1" applyBorder="1" applyAlignment="1">
      <alignment shrinkToFit="1"/>
    </xf>
    <xf numFmtId="0" fontId="0" fillId="6" borderId="12" xfId="0" applyFill="1" applyBorder="1" applyAlignment="1">
      <alignment shrinkToFit="1"/>
    </xf>
    <xf numFmtId="0" fontId="0" fillId="6" borderId="38" xfId="0" applyFill="1" applyBorder="1" applyAlignment="1">
      <alignment shrinkToFit="1"/>
    </xf>
    <xf numFmtId="0" fontId="0" fillId="6" borderId="1" xfId="0" applyFill="1" applyBorder="1" applyAlignment="1">
      <alignment shrinkToFit="1"/>
    </xf>
    <xf numFmtId="0" fontId="0" fillId="6" borderId="41" xfId="0" applyFill="1" applyBorder="1" applyAlignment="1">
      <alignment shrinkToFit="1"/>
    </xf>
    <xf numFmtId="2" fontId="0" fillId="0" borderId="18" xfId="0" applyNumberFormat="1" applyBorder="1" applyAlignment="1">
      <alignment horizontal="center" shrinkToFit="1"/>
    </xf>
    <xf numFmtId="2" fontId="0" fillId="0" borderId="25" xfId="0" applyNumberFormat="1" applyBorder="1" applyAlignment="1">
      <alignment horizontal="center" shrinkToFit="1"/>
    </xf>
    <xf numFmtId="2" fontId="0" fillId="0" borderId="19" xfId="0" applyNumberFormat="1" applyBorder="1" applyAlignment="1">
      <alignment horizontal="center" shrinkToFit="1"/>
    </xf>
    <xf numFmtId="2" fontId="0" fillId="0" borderId="26" xfId="0" applyNumberFormat="1" applyBorder="1" applyAlignment="1">
      <alignment horizontal="center" shrinkToFit="1"/>
    </xf>
    <xf numFmtId="0" fontId="13" fillId="20" borderId="42" xfId="2" applyFill="1" applyBorder="1" applyAlignment="1" applyProtection="1">
      <alignment horizontal="center"/>
    </xf>
    <xf numFmtId="0" fontId="0" fillId="21" borderId="17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33" xfId="0" applyFill="1" applyBorder="1" applyAlignment="1">
      <alignment horizontal="center" vertical="center"/>
    </xf>
    <xf numFmtId="0" fontId="13" fillId="23" borderId="12" xfId="2" applyFill="1" applyBorder="1" applyAlignment="1" applyProtection="1">
      <alignment horizontal="center"/>
    </xf>
    <xf numFmtId="0" fontId="3" fillId="3" borderId="35" xfId="0" applyFont="1" applyFill="1" applyBorder="1" applyAlignment="1">
      <alignment horizontal="center" vertical="center" wrapText="1" shrinkToFit="1"/>
    </xf>
    <xf numFmtId="165" fontId="0" fillId="0" borderId="31" xfId="0" applyNumberFormat="1" applyBorder="1" applyAlignment="1">
      <alignment horizontal="center" shrinkToFit="1"/>
    </xf>
    <xf numFmtId="0" fontId="3" fillId="3" borderId="4" xfId="0" applyFont="1" applyFill="1" applyBorder="1" applyAlignment="1">
      <alignment horizontal="center" vertical="center" wrapText="1" shrinkToFit="1"/>
    </xf>
    <xf numFmtId="2" fontId="0" fillId="0" borderId="48" xfId="0" applyNumberFormat="1" applyBorder="1" applyAlignment="1">
      <alignment horizontal="center" shrinkToFit="1"/>
    </xf>
    <xf numFmtId="0" fontId="13" fillId="22" borderId="28" xfId="2" applyFill="1" applyBorder="1" applyAlignment="1" applyProtection="1">
      <alignment horizontal="center" vertical="center"/>
    </xf>
    <xf numFmtId="0" fontId="0" fillId="0" borderId="49" xfId="0" applyBorder="1" applyAlignment="1">
      <alignment horizontal="center" shrinkToFit="1"/>
    </xf>
    <xf numFmtId="14" fontId="0" fillId="0" borderId="48" xfId="0" applyNumberFormat="1" applyBorder="1" applyAlignment="1">
      <alignment horizontal="center" shrinkToFit="1"/>
    </xf>
    <xf numFmtId="1" fontId="0" fillId="0" borderId="48" xfId="0" applyNumberFormat="1" applyBorder="1" applyAlignment="1">
      <alignment horizontal="center" shrinkToFit="1"/>
    </xf>
    <xf numFmtId="165" fontId="0" fillId="0" borderId="48" xfId="0" applyNumberFormat="1" applyBorder="1" applyAlignment="1">
      <alignment horizontal="center" shrinkToFit="1"/>
    </xf>
    <xf numFmtId="2" fontId="0" fillId="0" borderId="31" xfId="0" applyNumberFormat="1" applyBorder="1" applyAlignment="1">
      <alignment horizontal="center" shrinkToFit="1"/>
    </xf>
    <xf numFmtId="165" fontId="0" fillId="0" borderId="50" xfId="0" applyNumberFormat="1" applyBorder="1" applyAlignment="1">
      <alignment horizontal="center" shrinkToFit="1"/>
    </xf>
    <xf numFmtId="0" fontId="13" fillId="22" borderId="30" xfId="2" applyFill="1" applyBorder="1" applyAlignment="1" applyProtection="1">
      <alignment horizontal="center" vertical="center"/>
    </xf>
    <xf numFmtId="0" fontId="0" fillId="0" borderId="25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49" fontId="3" fillId="3" borderId="4" xfId="0" applyNumberFormat="1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0" fillId="0" borderId="31" xfId="0" applyBorder="1" applyAlignment="1">
      <alignment horizontal="center" shrinkToFit="1"/>
    </xf>
    <xf numFmtId="0" fontId="26" fillId="15" borderId="6" xfId="0" applyFont="1" applyFill="1" applyBorder="1" applyAlignment="1">
      <alignment vertical="center"/>
    </xf>
    <xf numFmtId="0" fontId="24" fillId="12" borderId="5" xfId="0" applyFont="1" applyFill="1" applyBorder="1" applyAlignment="1">
      <alignment vertical="center"/>
    </xf>
    <xf numFmtId="0" fontId="24" fillId="12" borderId="6" xfId="0" applyFont="1" applyFill="1" applyBorder="1" applyAlignment="1">
      <alignment vertical="center"/>
    </xf>
    <xf numFmtId="0" fontId="24" fillId="12" borderId="7" xfId="0" applyFont="1" applyFill="1" applyBorder="1" applyAlignment="1">
      <alignment vertical="center"/>
    </xf>
    <xf numFmtId="0" fontId="24" fillId="12" borderId="9" xfId="0" applyFont="1" applyFill="1" applyBorder="1" applyAlignment="1">
      <alignment vertical="center"/>
    </xf>
    <xf numFmtId="0" fontId="24" fillId="12" borderId="0" xfId="0" applyFont="1" applyFill="1" applyAlignment="1">
      <alignment vertical="center"/>
    </xf>
    <xf numFmtId="0" fontId="24" fillId="12" borderId="12" xfId="0" applyFont="1" applyFill="1" applyBorder="1" applyAlignment="1">
      <alignment vertical="center"/>
    </xf>
    <xf numFmtId="0" fontId="24" fillId="12" borderId="38" xfId="0" applyFont="1" applyFill="1" applyBorder="1" applyAlignment="1">
      <alignment vertical="center"/>
    </xf>
    <xf numFmtId="0" fontId="24" fillId="12" borderId="1" xfId="0" applyFont="1" applyFill="1" applyBorder="1" applyAlignment="1">
      <alignment vertical="center"/>
    </xf>
    <xf numFmtId="0" fontId="24" fillId="12" borderId="41" xfId="0" applyFont="1" applyFill="1" applyBorder="1" applyAlignment="1">
      <alignment vertical="center"/>
    </xf>
    <xf numFmtId="0" fontId="26" fillId="15" borderId="1" xfId="0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13" fillId="24" borderId="28" xfId="2" applyFill="1" applyBorder="1" applyAlignment="1" applyProtection="1">
      <alignment horizontal="center"/>
    </xf>
    <xf numFmtId="0" fontId="13" fillId="24" borderId="30" xfId="2" applyFill="1" applyBorder="1" applyAlignment="1" applyProtection="1">
      <alignment horizontal="center"/>
    </xf>
    <xf numFmtId="0" fontId="13" fillId="22" borderId="42" xfId="2" applyFill="1" applyBorder="1" applyAlignment="1" applyProtection="1">
      <alignment horizontal="center" vertical="center"/>
    </xf>
    <xf numFmtId="0" fontId="13" fillId="24" borderId="42" xfId="2" applyFill="1" applyBorder="1" applyAlignment="1" applyProtection="1">
      <alignment horizontal="center"/>
    </xf>
    <xf numFmtId="0" fontId="13" fillId="16" borderId="28" xfId="2" applyFill="1" applyBorder="1" applyAlignment="1" applyProtection="1">
      <alignment horizontal="center"/>
    </xf>
    <xf numFmtId="0" fontId="13" fillId="19" borderId="25" xfId="2" applyFill="1" applyBorder="1" applyAlignment="1" applyProtection="1">
      <alignment horizontal="center" vertical="center"/>
    </xf>
    <xf numFmtId="0" fontId="0" fillId="6" borderId="25" xfId="0" applyFill="1" applyBorder="1" applyAlignment="1">
      <alignment shrinkToFit="1"/>
    </xf>
    <xf numFmtId="0" fontId="13" fillId="0" borderId="25" xfId="2" applyBorder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9" fillId="0" borderId="10" xfId="2" applyNumberFormat="1" applyFont="1" applyBorder="1" applyAlignment="1" applyProtection="1">
      <alignment horizontal="center" shrinkToFit="1"/>
    </xf>
    <xf numFmtId="0" fontId="19" fillId="0" borderId="2" xfId="2" applyNumberFormat="1" applyFont="1" applyBorder="1" applyAlignment="1" applyProtection="1">
      <alignment horizontal="center" shrinkToFit="1"/>
    </xf>
    <xf numFmtId="0" fontId="19" fillId="0" borderId="11" xfId="2" applyNumberFormat="1" applyFont="1" applyBorder="1" applyAlignment="1" applyProtection="1">
      <alignment horizontal="center" shrinkToFit="1"/>
    </xf>
    <xf numFmtId="0" fontId="1" fillId="8" borderId="10" xfId="0" applyFont="1" applyFill="1" applyBorder="1" applyAlignment="1">
      <alignment horizontal="center" vertical="center" shrinkToFit="1"/>
    </xf>
    <xf numFmtId="0" fontId="1" fillId="8" borderId="2" xfId="0" applyFont="1" applyFill="1" applyBorder="1" applyAlignment="1">
      <alignment horizontal="center" vertical="center" shrinkToFit="1"/>
    </xf>
    <xf numFmtId="0" fontId="1" fillId="8" borderId="11" xfId="0" applyFont="1" applyFill="1" applyBorder="1" applyAlignment="1">
      <alignment horizontal="center" vertical="center" shrinkToFit="1"/>
    </xf>
    <xf numFmtId="164" fontId="2" fillId="10" borderId="10" xfId="0" applyNumberFormat="1" applyFont="1" applyFill="1" applyBorder="1" applyAlignment="1">
      <alignment horizontal="center" shrinkToFit="1"/>
    </xf>
    <xf numFmtId="164" fontId="2" fillId="10" borderId="2" xfId="0" applyNumberFormat="1" applyFont="1" applyFill="1" applyBorder="1" applyAlignment="1">
      <alignment horizontal="center" shrinkToFit="1"/>
    </xf>
    <xf numFmtId="164" fontId="2" fillId="10" borderId="11" xfId="0" applyNumberFormat="1" applyFont="1" applyFill="1" applyBorder="1" applyAlignment="1">
      <alignment horizontal="center" shrinkToFit="1"/>
    </xf>
    <xf numFmtId="0" fontId="2" fillId="11" borderId="10" xfId="0" applyFont="1" applyFill="1" applyBorder="1" applyAlignment="1">
      <alignment horizontal="center" shrinkToFit="1"/>
    </xf>
    <xf numFmtId="0" fontId="2" fillId="11" borderId="2" xfId="0" applyFont="1" applyFill="1" applyBorder="1" applyAlignment="1">
      <alignment horizontal="center" shrinkToFit="1"/>
    </xf>
    <xf numFmtId="0" fontId="2" fillId="11" borderId="11" xfId="0" applyFont="1" applyFill="1" applyBorder="1" applyAlignment="1">
      <alignment horizontal="center" shrinkToFit="1"/>
    </xf>
    <xf numFmtId="2" fontId="8" fillId="13" borderId="47" xfId="0" applyNumberFormat="1" applyFont="1" applyFill="1" applyBorder="1" applyAlignment="1">
      <alignment horizontal="center" vertical="center" shrinkToFit="1"/>
    </xf>
    <xf numFmtId="2" fontId="8" fillId="13" borderId="32" xfId="0" applyNumberFormat="1" applyFont="1" applyFill="1" applyBorder="1" applyAlignment="1">
      <alignment horizontal="center" vertical="center" shrinkToFit="1"/>
    </xf>
    <xf numFmtId="0" fontId="8" fillId="13" borderId="17" xfId="0" applyFont="1" applyFill="1" applyBorder="1" applyAlignment="1">
      <alignment horizontal="center" vertical="center" shrinkToFit="1"/>
    </xf>
    <xf numFmtId="0" fontId="8" fillId="13" borderId="33" xfId="0" applyFont="1" applyFill="1" applyBorder="1" applyAlignment="1">
      <alignment horizontal="center" vertical="center" shrinkToFit="1"/>
    </xf>
    <xf numFmtId="0" fontId="17" fillId="7" borderId="5" xfId="0" applyFont="1" applyFill="1" applyBorder="1" applyAlignment="1">
      <alignment horizontal="center" vertical="center" shrinkToFit="1"/>
    </xf>
    <xf numFmtId="0" fontId="17" fillId="7" borderId="6" xfId="0" applyFont="1" applyFill="1" applyBorder="1" applyAlignment="1">
      <alignment horizontal="center" vertical="center" shrinkToFit="1"/>
    </xf>
    <xf numFmtId="0" fontId="17" fillId="7" borderId="3" xfId="0" applyFont="1" applyFill="1" applyBorder="1" applyAlignment="1">
      <alignment horizontal="center" vertical="center" shrinkToFit="1"/>
    </xf>
    <xf numFmtId="0" fontId="17" fillId="7" borderId="9" xfId="0" applyFont="1" applyFill="1" applyBorder="1" applyAlignment="1">
      <alignment horizontal="center" vertical="center" shrinkToFit="1"/>
    </xf>
    <xf numFmtId="0" fontId="17" fillId="7" borderId="0" xfId="0" applyFont="1" applyFill="1" applyAlignment="1">
      <alignment horizontal="center" vertical="center" shrinkToFit="1"/>
    </xf>
    <xf numFmtId="0" fontId="17" fillId="7" borderId="36" xfId="0" applyFont="1" applyFill="1" applyBorder="1" applyAlignment="1">
      <alignment horizontal="center" vertical="center" shrinkToFit="1"/>
    </xf>
    <xf numFmtId="0" fontId="17" fillId="7" borderId="38" xfId="0" applyFont="1" applyFill="1" applyBorder="1" applyAlignment="1">
      <alignment horizontal="center" vertical="center" shrinkToFit="1"/>
    </xf>
    <xf numFmtId="0" fontId="17" fillId="7" borderId="1" xfId="0" applyFont="1" applyFill="1" applyBorder="1" applyAlignment="1">
      <alignment horizontal="center" vertical="center" shrinkToFit="1"/>
    </xf>
    <xf numFmtId="0" fontId="17" fillId="7" borderId="39" xfId="0" applyFont="1" applyFill="1" applyBorder="1" applyAlignment="1">
      <alignment horizontal="center" vertical="center" shrinkToFit="1"/>
    </xf>
    <xf numFmtId="10" fontId="18" fillId="8" borderId="35" xfId="0" applyNumberFormat="1" applyFont="1" applyFill="1" applyBorder="1" applyAlignment="1">
      <alignment horizontal="center" vertical="center" shrinkToFit="1"/>
    </xf>
    <xf numFmtId="10" fontId="18" fillId="8" borderId="6" xfId="0" applyNumberFormat="1" applyFont="1" applyFill="1" applyBorder="1" applyAlignment="1">
      <alignment horizontal="center" vertical="center" shrinkToFit="1"/>
    </xf>
    <xf numFmtId="10" fontId="18" fillId="8" borderId="7" xfId="0" applyNumberFormat="1" applyFont="1" applyFill="1" applyBorder="1" applyAlignment="1">
      <alignment horizontal="center" vertical="center" shrinkToFit="1"/>
    </xf>
    <xf numFmtId="10" fontId="18" fillId="8" borderId="37" xfId="0" applyNumberFormat="1" applyFont="1" applyFill="1" applyBorder="1" applyAlignment="1">
      <alignment horizontal="center" vertical="center" shrinkToFit="1"/>
    </xf>
    <xf numFmtId="10" fontId="18" fillId="8" borderId="0" xfId="0" applyNumberFormat="1" applyFont="1" applyFill="1" applyAlignment="1">
      <alignment horizontal="center" vertical="center" shrinkToFit="1"/>
    </xf>
    <xf numFmtId="10" fontId="18" fillId="8" borderId="12" xfId="0" applyNumberFormat="1" applyFont="1" applyFill="1" applyBorder="1" applyAlignment="1">
      <alignment horizontal="center" vertical="center" shrinkToFit="1"/>
    </xf>
    <xf numFmtId="10" fontId="18" fillId="8" borderId="40" xfId="0" applyNumberFormat="1" applyFont="1" applyFill="1" applyBorder="1" applyAlignment="1">
      <alignment horizontal="center" vertical="center" shrinkToFit="1"/>
    </xf>
    <xf numFmtId="10" fontId="18" fillId="8" borderId="1" xfId="0" applyNumberFormat="1" applyFont="1" applyFill="1" applyBorder="1" applyAlignment="1">
      <alignment horizontal="center" vertical="center" shrinkToFit="1"/>
    </xf>
    <xf numFmtId="10" fontId="18" fillId="8" borderId="41" xfId="0" applyNumberFormat="1" applyFont="1" applyFill="1" applyBorder="1" applyAlignment="1">
      <alignment horizontal="center" vertical="center" shrinkToFit="1"/>
    </xf>
    <xf numFmtId="0" fontId="8" fillId="13" borderId="20" xfId="0" applyFont="1" applyFill="1" applyBorder="1" applyAlignment="1">
      <alignment horizontal="center" vertical="center" shrinkToFit="1"/>
    </xf>
    <xf numFmtId="0" fontId="8" fillId="13" borderId="34" xfId="0" applyFont="1" applyFill="1" applyBorder="1" applyAlignment="1">
      <alignment horizontal="center" vertical="center" shrinkToFit="1"/>
    </xf>
    <xf numFmtId="10" fontId="8" fillId="2" borderId="20" xfId="1" applyNumberFormat="1" applyFont="1" applyFill="1" applyBorder="1" applyAlignment="1">
      <alignment horizontal="center" vertical="center" shrinkToFit="1"/>
    </xf>
    <xf numFmtId="10" fontId="8" fillId="2" borderId="34" xfId="1" applyNumberFormat="1" applyFont="1" applyFill="1" applyBorder="1" applyAlignment="1">
      <alignment horizontal="center" vertical="center" shrinkToFit="1"/>
    </xf>
    <xf numFmtId="10" fontId="8" fillId="2" borderId="27" xfId="1" applyNumberFormat="1" applyFont="1" applyFill="1" applyBorder="1" applyAlignment="1">
      <alignment horizontal="center" vertical="center" shrinkToFit="1"/>
    </xf>
    <xf numFmtId="0" fontId="8" fillId="8" borderId="27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8" borderId="34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shrinkToFit="1"/>
    </xf>
    <xf numFmtId="0" fontId="16" fillId="9" borderId="16" xfId="0" applyFont="1" applyFill="1" applyBorder="1" applyAlignment="1">
      <alignment horizontal="center" vertical="center" shrinkToFit="1"/>
    </xf>
    <xf numFmtId="0" fontId="8" fillId="8" borderId="20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2" fontId="15" fillId="9" borderId="13" xfId="0" applyNumberFormat="1" applyFont="1" applyFill="1" applyBorder="1" applyAlignment="1">
      <alignment horizontal="center" vertical="center" shrinkToFit="1"/>
    </xf>
    <xf numFmtId="2" fontId="15" fillId="9" borderId="46" xfId="0" applyNumberFormat="1" applyFont="1" applyFill="1" applyBorder="1" applyAlignment="1">
      <alignment horizontal="center" vertical="center" shrinkToFit="1"/>
    </xf>
    <xf numFmtId="0" fontId="15" fillId="9" borderId="4" xfId="0" applyFont="1" applyFill="1" applyBorder="1" applyAlignment="1">
      <alignment horizontal="center" vertical="center" wrapText="1" shrinkToFit="1"/>
    </xf>
    <xf numFmtId="0" fontId="15" fillId="9" borderId="15" xfId="0" applyFont="1" applyFill="1" applyBorder="1" applyAlignment="1">
      <alignment horizontal="center" vertical="center" wrapText="1" shrinkToFit="1"/>
    </xf>
    <xf numFmtId="0" fontId="15" fillId="9" borderId="4" xfId="0" applyFont="1" applyFill="1" applyBorder="1" applyAlignment="1">
      <alignment horizontal="center" vertical="center" shrinkToFit="1"/>
    </xf>
    <xf numFmtId="0" fontId="15" fillId="9" borderId="15" xfId="0" applyFont="1" applyFill="1" applyBorder="1" applyAlignment="1">
      <alignment horizontal="center" vertical="center" shrinkToFit="1"/>
    </xf>
    <xf numFmtId="10" fontId="8" fillId="2" borderId="55" xfId="1" applyNumberFormat="1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3" fillId="8" borderId="20" xfId="2" applyFill="1" applyBorder="1" applyAlignment="1" applyProtection="1">
      <alignment horizontal="center" vertical="center" wrapText="1"/>
    </xf>
    <xf numFmtId="0" fontId="13" fillId="8" borderId="27" xfId="2" applyFill="1" applyBorder="1" applyAlignment="1" applyProtection="1">
      <alignment horizontal="center" vertical="center" wrapText="1"/>
    </xf>
    <xf numFmtId="0" fontId="13" fillId="8" borderId="34" xfId="2" applyFill="1" applyBorder="1" applyAlignment="1" applyProtection="1">
      <alignment horizontal="center" vertical="center" wrapText="1"/>
    </xf>
    <xf numFmtId="0" fontId="15" fillId="9" borderId="35" xfId="0" applyFont="1" applyFill="1" applyBorder="1" applyAlignment="1">
      <alignment horizontal="center" vertical="center" wrapText="1" shrinkToFit="1"/>
    </xf>
    <xf numFmtId="0" fontId="15" fillId="9" borderId="40" xfId="0" applyFont="1" applyFill="1" applyBorder="1" applyAlignment="1">
      <alignment horizontal="center" vertical="center" wrapText="1" shrinkToFit="1"/>
    </xf>
    <xf numFmtId="0" fontId="15" fillId="9" borderId="56" xfId="0" applyFont="1" applyFill="1" applyBorder="1" applyAlignment="1">
      <alignment horizontal="center" vertical="center" shrinkToFit="1"/>
    </xf>
    <xf numFmtId="0" fontId="15" fillId="9" borderId="57" xfId="0" applyFont="1" applyFill="1" applyBorder="1" applyAlignment="1">
      <alignment horizontal="center" vertical="center" shrinkToFit="1"/>
    </xf>
    <xf numFmtId="0" fontId="15" fillId="9" borderId="3" xfId="0" applyFont="1" applyFill="1" applyBorder="1" applyAlignment="1">
      <alignment horizontal="center" vertical="center" shrinkToFit="1"/>
    </xf>
    <xf numFmtId="0" fontId="15" fillId="9" borderId="39" xfId="0" applyFont="1" applyFill="1" applyBorder="1" applyAlignment="1">
      <alignment horizontal="center" vertical="center" shrinkToFit="1"/>
    </xf>
    <xf numFmtId="0" fontId="23" fillId="14" borderId="5" xfId="0" applyFont="1" applyFill="1" applyBorder="1" applyAlignment="1">
      <alignment horizontal="center" vertical="center"/>
    </xf>
    <xf numFmtId="0" fontId="23" fillId="14" borderId="6" xfId="0" applyFont="1" applyFill="1" applyBorder="1" applyAlignment="1">
      <alignment horizontal="center" vertical="center"/>
    </xf>
    <xf numFmtId="0" fontId="23" fillId="14" borderId="7" xfId="0" applyFont="1" applyFill="1" applyBorder="1" applyAlignment="1">
      <alignment horizontal="center" vertical="center"/>
    </xf>
    <xf numFmtId="0" fontId="23" fillId="14" borderId="9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23" fillId="14" borderId="12" xfId="0" applyFont="1" applyFill="1" applyBorder="1" applyAlignment="1">
      <alignment horizontal="center" vertical="center"/>
    </xf>
    <xf numFmtId="0" fontId="23" fillId="14" borderId="38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 vertical="center"/>
    </xf>
    <xf numFmtId="0" fontId="23" fillId="14" borderId="41" xfId="0" applyFont="1" applyFill="1" applyBorder="1" applyAlignment="1">
      <alignment horizontal="center" vertical="center"/>
    </xf>
    <xf numFmtId="0" fontId="25" fillId="15" borderId="6" xfId="0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 vertical="center"/>
    </xf>
    <xf numFmtId="0" fontId="27" fillId="15" borderId="38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27" fillId="15" borderId="7" xfId="0" applyFont="1" applyFill="1" applyBorder="1" applyAlignment="1">
      <alignment horizontal="center" vertical="center"/>
    </xf>
    <xf numFmtId="0" fontId="27" fillId="15" borderId="41" xfId="0" applyFont="1" applyFill="1" applyBorder="1" applyAlignment="1">
      <alignment horizontal="center" vertical="center"/>
    </xf>
  </cellXfs>
  <cellStyles count="5">
    <cellStyle name="Excel Built-in Normal" xfId="3" xr:uid="{00000000-0005-0000-0000-000000000000}"/>
    <cellStyle name="Hyperlink" xfId="2" builtinId="8"/>
    <cellStyle name="Normal" xfId="0" builtinId="0"/>
    <cellStyle name="Normal 2" xfId="4" xr:uid="{00000000-0005-0000-0000-000003000000}"/>
    <cellStyle name="Percent" xfId="1" builtinId="5"/>
  </cellStyles>
  <dxfs count="0"/>
  <tableStyles count="0" defaultTableStyle="TableStyleMedium9" defaultPivotStyle="PivotStyleLight16"/>
  <colors>
    <mruColors>
      <color rgb="FF99FFCC"/>
      <color rgb="FFFFCCFF"/>
      <color rgb="FF0000FF"/>
      <color rgb="FF3333FF"/>
      <color rgb="FFCFF8FD"/>
      <color rgb="FFFCD8ED"/>
      <color rgb="FF96E9F4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6" name="Picture 5" descr="logo.jpg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5344" y="3629025"/>
          <a:ext cx="3598546" cy="165925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7324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0224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0224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52850"/>
          <a:ext cx="3524251" cy="16954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19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8324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8324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8324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2624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2624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52850"/>
          <a:ext cx="3524251" cy="16954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52850"/>
          <a:ext cx="3524251" cy="16954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62375"/>
          <a:ext cx="3524251" cy="169545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7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8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8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8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B9E30721-8127-45C3-8A4D-617F1D48E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4" y="3689985"/>
          <a:ext cx="3598546" cy="16592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33800"/>
          <a:ext cx="3524251" cy="1695450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AC5A329B-BF90-4710-AD66-7EE3EEA88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4" y="3689985"/>
          <a:ext cx="3598546" cy="1659255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10574</xdr:colOff>
      <xdr:row>1</xdr:row>
      <xdr:rowOff>10585</xdr:rowOff>
    </xdr:from>
    <xdr:to>
      <xdr:col>6</xdr:col>
      <xdr:colOff>74083</xdr:colOff>
      <xdr:row>10</xdr:row>
      <xdr:rowOff>169335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8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07" y="211668"/>
          <a:ext cx="3164426" cy="1778000"/>
        </a:xfrm>
        <a:prstGeom prst="rect">
          <a:avLst/>
        </a:prstGeom>
      </xdr:spPr>
    </xdr:pic>
    <xdr:clientData/>
  </xdr:twoCellAnchor>
  <xdr:oneCellAnchor>
    <xdr:from>
      <xdr:col>6</xdr:col>
      <xdr:colOff>84667</xdr:colOff>
      <xdr:row>1</xdr:row>
      <xdr:rowOff>10583</xdr:rowOff>
    </xdr:from>
    <xdr:ext cx="7884583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8300-000003000000}"/>
            </a:ext>
          </a:extLst>
        </xdr:cNvPr>
        <xdr:cNvSpPr/>
      </xdr:nvSpPr>
      <xdr:spPr>
        <a:xfrm>
          <a:off x="4243917" y="211666"/>
          <a:ext cx="788458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Winners</a:t>
          </a:r>
          <a:r>
            <a:rPr lang="en-U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Capital Line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glow rad="101600">
                <a:schemeClr val="accent2">
                  <a:satMod val="175000"/>
                  <a:alpha val="40000"/>
                </a:schemeClr>
              </a:glow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63499</xdr:colOff>
      <xdr:row>5</xdr:row>
      <xdr:rowOff>148155</xdr:rowOff>
    </xdr:from>
    <xdr:ext cx="7757583" cy="84375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8300-000004000000}"/>
            </a:ext>
          </a:extLst>
        </xdr:cNvPr>
        <xdr:cNvSpPr/>
      </xdr:nvSpPr>
      <xdr:spPr>
        <a:xfrm>
          <a:off x="4317999" y="1068905"/>
          <a:ext cx="7757583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Grow With</a:t>
          </a:r>
          <a:r>
            <a:rPr lang="en-US" sz="4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Experts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</xdr:colOff>
      <xdr:row>16</xdr:row>
      <xdr:rowOff>9525</xdr:rowOff>
    </xdr:from>
    <xdr:to>
      <xdr:col>18</xdr:col>
      <xdr:colOff>590550</xdr:colOff>
      <xdr:row>21</xdr:row>
      <xdr:rowOff>190500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49" y="3733800"/>
          <a:ext cx="3524251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7.xml"/><Relationship Id="rId4" Type="http://schemas.openxmlformats.org/officeDocument/2006/relationships/printerSettings" Target="../printerSettings/printerSettings78.bin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8.xml"/><Relationship Id="rId4" Type="http://schemas.openxmlformats.org/officeDocument/2006/relationships/printerSettings" Target="../printerSettings/printerSettings79.bin"/></Relationships>
</file>

<file path=xl/worksheets/_rels/sheet10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9.xml"/><Relationship Id="rId4" Type="http://schemas.openxmlformats.org/officeDocument/2006/relationships/printerSettings" Target="../printerSettings/printerSettings80.bin"/></Relationships>
</file>

<file path=xl/worksheets/_rels/sheet10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0.xml"/><Relationship Id="rId4" Type="http://schemas.openxmlformats.org/officeDocument/2006/relationships/printerSettings" Target="../printerSettings/printerSettings81.bin"/></Relationships>
</file>

<file path=xl/worksheets/_rels/sheet10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1.xml"/><Relationship Id="rId4" Type="http://schemas.openxmlformats.org/officeDocument/2006/relationships/printerSettings" Target="../printerSettings/printerSettings82.bin"/></Relationships>
</file>

<file path=xl/worksheets/_rels/sheet10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2.xml"/><Relationship Id="rId4" Type="http://schemas.openxmlformats.org/officeDocument/2006/relationships/printerSettings" Target="../printerSettings/printerSettings83.bin"/></Relationships>
</file>

<file path=xl/worksheets/_rels/sheet10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3.xml"/><Relationship Id="rId4" Type="http://schemas.openxmlformats.org/officeDocument/2006/relationships/printerSettings" Target="../printerSettings/printerSettings84.bin"/></Relationships>
</file>

<file path=xl/worksheets/_rels/sheet10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4.xml"/><Relationship Id="rId4" Type="http://schemas.openxmlformats.org/officeDocument/2006/relationships/printerSettings" Target="../printerSettings/printerSettings85.bin"/></Relationships>
</file>

<file path=xl/worksheets/_rels/sheet10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5.xml"/><Relationship Id="rId4" Type="http://schemas.openxmlformats.org/officeDocument/2006/relationships/printerSettings" Target="../printerSettings/printerSettings86.bin"/></Relationships>
</file>

<file path=xl/worksheets/_rels/sheet10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6.xml"/><Relationship Id="rId4" Type="http://schemas.openxmlformats.org/officeDocument/2006/relationships/printerSettings" Target="../printerSettings/printerSettings87.bin"/></Relationships>
</file>

<file path=xl/worksheets/_rels/sheet1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7.xml"/><Relationship Id="rId4" Type="http://schemas.openxmlformats.org/officeDocument/2006/relationships/printerSettings" Target="../printerSettings/printerSettings88.bin"/></Relationships>
</file>

<file path=xl/worksheets/_rels/sheet1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8.xml"/><Relationship Id="rId4" Type="http://schemas.openxmlformats.org/officeDocument/2006/relationships/printerSettings" Target="../printerSettings/printerSettings89.bin"/></Relationships>
</file>

<file path=xl/worksheets/_rels/sheet1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59.xml"/></Relationships>
</file>

<file path=xl/worksheets/_rels/sheet1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0.xml"/></Relationships>
</file>

<file path=xl/worksheets/_rels/sheet1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1.xml"/></Relationships>
</file>

<file path=xl/worksheets/_rels/sheet1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2.xml"/></Relationships>
</file>

<file path=xl/worksheets/_rels/sheet1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3.xml"/></Relationships>
</file>

<file path=xl/worksheets/_rels/sheet1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4.xml"/></Relationships>
</file>

<file path=xl/worksheets/_rels/sheet1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5.xml"/></Relationships>
</file>

<file path=xl/worksheets/_rels/sheet1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7.xml"/></Relationships>
</file>

<file path=xl/worksheets/_rels/sheet1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8.xml"/></Relationships>
</file>

<file path=xl/worksheets/_rels/sheet1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69.xml"/></Relationships>
</file>

<file path=xl/worksheets/_rels/sheet1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0.xml"/></Relationships>
</file>

<file path=xl/worksheets/_rels/sheet1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1.xml"/></Relationships>
</file>

<file path=xl/worksheets/_rels/sheet1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2.xml"/></Relationships>
</file>

<file path=xl/worksheets/_rels/sheet1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4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3.xml"/></Relationships>
</file>

<file path=xl/worksheets/_rels/sheet1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4.xml"/></Relationships>
</file>

<file path=xl/worksheets/_rels/sheet1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6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5.xml"/></Relationships>
</file>

<file path=xl/worksheets/_rels/sheet1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7.xml"/></Relationships>
</file>

<file path=xl/worksheets/_rels/sheet1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8.xml"/></Relationships>
</file>

<file path=xl/worksheets/_rels/sheet1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0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79.xml"/></Relationships>
</file>

<file path=xl/worksheets/_rels/sheet1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80.xml"/></Relationships>
</file>

<file path=xl/worksheets/_rels/sheet1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1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5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36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8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9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40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41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42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43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44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45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46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4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48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49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9.xml"/><Relationship Id="rId4" Type="http://schemas.openxmlformats.org/officeDocument/2006/relationships/printerSettings" Target="../printerSettings/printerSettings50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0.xml"/><Relationship Id="rId4" Type="http://schemas.openxmlformats.org/officeDocument/2006/relationships/printerSettings" Target="../printerSettings/printerSettings51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1.xml"/><Relationship Id="rId4" Type="http://schemas.openxmlformats.org/officeDocument/2006/relationships/printerSettings" Target="../printerSettings/printerSettings52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2.xml"/><Relationship Id="rId4" Type="http://schemas.openxmlformats.org/officeDocument/2006/relationships/printerSettings" Target="../printerSettings/printerSettings53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3.xml"/><Relationship Id="rId4" Type="http://schemas.openxmlformats.org/officeDocument/2006/relationships/printerSettings" Target="../printerSettings/printerSettings54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4.xml"/><Relationship Id="rId4" Type="http://schemas.openxmlformats.org/officeDocument/2006/relationships/printerSettings" Target="../printerSettings/printerSettings55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5.xml"/><Relationship Id="rId4" Type="http://schemas.openxmlformats.org/officeDocument/2006/relationships/printerSettings" Target="../printerSettings/printerSettings56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6.xml"/><Relationship Id="rId4" Type="http://schemas.openxmlformats.org/officeDocument/2006/relationships/printerSettings" Target="../printerSettings/printerSettings5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7.xml"/><Relationship Id="rId4" Type="http://schemas.openxmlformats.org/officeDocument/2006/relationships/printerSettings" Target="../printerSettings/printerSettings58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8.xml"/><Relationship Id="rId4" Type="http://schemas.openxmlformats.org/officeDocument/2006/relationships/printerSettings" Target="../printerSettings/printerSettings59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9.xml"/><Relationship Id="rId4" Type="http://schemas.openxmlformats.org/officeDocument/2006/relationships/printerSettings" Target="../printerSettings/printerSettings60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0.xml"/><Relationship Id="rId4" Type="http://schemas.openxmlformats.org/officeDocument/2006/relationships/printerSettings" Target="../printerSettings/printerSettings61.bin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1.xml"/><Relationship Id="rId4" Type="http://schemas.openxmlformats.org/officeDocument/2006/relationships/printerSettings" Target="../printerSettings/printerSettings62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2.xml"/><Relationship Id="rId4" Type="http://schemas.openxmlformats.org/officeDocument/2006/relationships/printerSettings" Target="../printerSettings/printerSettings63.bin"/></Relationships>
</file>

<file path=xl/worksheets/_rels/sheet8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3.xml"/><Relationship Id="rId4" Type="http://schemas.openxmlformats.org/officeDocument/2006/relationships/printerSettings" Target="../printerSettings/printerSettings64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4.xml"/><Relationship Id="rId4" Type="http://schemas.openxmlformats.org/officeDocument/2006/relationships/printerSettings" Target="../printerSettings/printerSettings65.bin"/></Relationships>
</file>

<file path=xl/worksheets/_rels/sheet8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5.xml"/><Relationship Id="rId4" Type="http://schemas.openxmlformats.org/officeDocument/2006/relationships/printerSettings" Target="../printerSettings/printerSettings66.bin"/></Relationships>
</file>

<file path=xl/worksheets/_rels/sheet8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6.xml"/><Relationship Id="rId4" Type="http://schemas.openxmlformats.org/officeDocument/2006/relationships/printerSettings" Target="../printerSettings/printerSettings6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7.xml"/><Relationship Id="rId4" Type="http://schemas.openxmlformats.org/officeDocument/2006/relationships/printerSettings" Target="../printerSettings/printerSettings68.bin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8.xml"/><Relationship Id="rId4" Type="http://schemas.openxmlformats.org/officeDocument/2006/relationships/printerSettings" Target="../printerSettings/printerSettings69.bin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9.xml"/><Relationship Id="rId4" Type="http://schemas.openxmlformats.org/officeDocument/2006/relationships/printerSettings" Target="../printerSettings/printerSettings70.bin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0.xml"/><Relationship Id="rId4" Type="http://schemas.openxmlformats.org/officeDocument/2006/relationships/printerSettings" Target="../printerSettings/printerSettings71.bin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1.xml"/><Relationship Id="rId4" Type="http://schemas.openxmlformats.org/officeDocument/2006/relationships/printerSettings" Target="../printerSettings/printerSettings72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2.xml"/><Relationship Id="rId4" Type="http://schemas.openxmlformats.org/officeDocument/2006/relationships/printerSettings" Target="../printerSettings/printerSettings73.bin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3.xml"/><Relationship Id="rId4" Type="http://schemas.openxmlformats.org/officeDocument/2006/relationships/printerSettings" Target="../printerSettings/printerSettings74.bin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4.xml"/><Relationship Id="rId4" Type="http://schemas.openxmlformats.org/officeDocument/2006/relationships/printerSettings" Target="../printerSettings/printerSettings75.bin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5.xml"/><Relationship Id="rId4" Type="http://schemas.openxmlformats.org/officeDocument/2006/relationships/printerSettings" Target="../printerSettings/printerSettings76.bin"/></Relationships>
</file>

<file path=xl/worksheets/_rels/sheet9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6.xml"/><Relationship Id="rId4" Type="http://schemas.openxmlformats.org/officeDocument/2006/relationships/printerSettings" Target="../printerSettings/printerSettings7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6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5.3320312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7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41334</v>
      </c>
      <c r="C5" s="8" t="s">
        <v>8</v>
      </c>
      <c r="D5" s="8" t="s">
        <v>17</v>
      </c>
      <c r="E5" s="8">
        <v>1060</v>
      </c>
      <c r="F5" s="8">
        <v>1100</v>
      </c>
      <c r="G5" s="8">
        <v>250</v>
      </c>
      <c r="H5" s="8">
        <v>10000</v>
      </c>
    </row>
    <row r="6" spans="1:10" ht="25.8" x14ac:dyDescent="0.5">
      <c r="B6" s="7">
        <v>41340</v>
      </c>
      <c r="C6" s="8" t="s">
        <v>8</v>
      </c>
      <c r="D6" s="8" t="s">
        <v>9</v>
      </c>
      <c r="E6" s="8">
        <v>384</v>
      </c>
      <c r="F6" s="8">
        <v>392</v>
      </c>
      <c r="G6" s="8">
        <v>1000</v>
      </c>
      <c r="H6" s="8">
        <v>16000</v>
      </c>
    </row>
    <row r="7" spans="1:10" ht="25.8" x14ac:dyDescent="0.5">
      <c r="B7" s="7">
        <v>41345</v>
      </c>
      <c r="C7" s="8" t="s">
        <v>8</v>
      </c>
      <c r="D7" s="8" t="s">
        <v>11</v>
      </c>
      <c r="E7" s="8">
        <v>2196</v>
      </c>
      <c r="F7" s="8">
        <v>2265</v>
      </c>
      <c r="G7" s="8">
        <v>125</v>
      </c>
      <c r="H7" s="8">
        <v>8625</v>
      </c>
    </row>
    <row r="8" spans="1:10" ht="25.8" x14ac:dyDescent="0.5">
      <c r="B8" s="7">
        <v>41347</v>
      </c>
      <c r="C8" s="8" t="s">
        <v>8</v>
      </c>
      <c r="D8" s="8" t="s">
        <v>12</v>
      </c>
      <c r="E8" s="8">
        <v>174</v>
      </c>
      <c r="F8" s="8">
        <v>172</v>
      </c>
      <c r="G8" s="8">
        <v>2000</v>
      </c>
      <c r="H8" s="8">
        <v>-8000</v>
      </c>
    </row>
    <row r="9" spans="1:10" ht="25.8" x14ac:dyDescent="0.5">
      <c r="B9" s="7">
        <v>41352</v>
      </c>
      <c r="C9" s="8" t="s">
        <v>13</v>
      </c>
      <c r="D9" s="8" t="s">
        <v>14</v>
      </c>
      <c r="E9" s="8">
        <v>264</v>
      </c>
      <c r="F9" s="8">
        <v>252</v>
      </c>
      <c r="G9" s="8">
        <v>1000</v>
      </c>
      <c r="H9" s="8">
        <v>24000</v>
      </c>
    </row>
    <row r="10" spans="1:10" ht="25.8" x14ac:dyDescent="0.5">
      <c r="B10" s="7">
        <v>41354</v>
      </c>
      <c r="C10" s="8" t="s">
        <v>13</v>
      </c>
      <c r="D10" s="8" t="s">
        <v>15</v>
      </c>
      <c r="E10" s="8">
        <v>212</v>
      </c>
      <c r="F10" s="8">
        <v>203</v>
      </c>
      <c r="G10" s="8">
        <v>1000</v>
      </c>
      <c r="H10" s="8">
        <v>18000</v>
      </c>
    </row>
    <row r="11" spans="1:10" ht="25.8" x14ac:dyDescent="0.5">
      <c r="B11" s="7">
        <v>41355</v>
      </c>
      <c r="C11" s="8" t="s">
        <v>8</v>
      </c>
      <c r="D11" s="8" t="s">
        <v>16</v>
      </c>
      <c r="E11" s="8">
        <v>385</v>
      </c>
      <c r="F11" s="8">
        <v>396</v>
      </c>
      <c r="G11" s="8">
        <v>1000</v>
      </c>
      <c r="H11" s="8">
        <v>22000</v>
      </c>
    </row>
    <row r="12" spans="1:10" ht="25.8" x14ac:dyDescent="0.5">
      <c r="B12" s="8"/>
      <c r="C12" s="8"/>
      <c r="D12" s="8"/>
      <c r="E12" s="8"/>
      <c r="F12" s="8"/>
      <c r="G12" s="8"/>
      <c r="H12" s="9">
        <v>90625</v>
      </c>
    </row>
    <row r="13" spans="1:10" ht="15.6" x14ac:dyDescent="0.3">
      <c r="B13" s="11"/>
      <c r="C13" s="11"/>
      <c r="D13" s="11"/>
      <c r="E13" s="11"/>
      <c r="F13" s="11"/>
      <c r="G13" s="11"/>
      <c r="H13" s="11"/>
    </row>
    <row r="14" spans="1:10" ht="15" thickBot="1" x14ac:dyDescent="0.35"/>
    <row r="15" spans="1:10" ht="16.2" thickBot="1" x14ac:dyDescent="0.35">
      <c r="B15" s="158" t="s">
        <v>29</v>
      </c>
      <c r="C15" s="158"/>
      <c r="D15" s="158"/>
      <c r="E15" s="158"/>
      <c r="F15" s="158"/>
      <c r="G15" s="158"/>
      <c r="H15" s="158"/>
    </row>
    <row r="16" spans="1:10" x14ac:dyDescent="0.3">
      <c r="B16" s="1" t="s">
        <v>1</v>
      </c>
      <c r="C16" s="2" t="s">
        <v>2</v>
      </c>
      <c r="D16" s="2" t="s">
        <v>3</v>
      </c>
      <c r="E16" s="3" t="s">
        <v>4</v>
      </c>
      <c r="F16" s="3" t="s">
        <v>5</v>
      </c>
      <c r="G16" s="3" t="s">
        <v>44</v>
      </c>
      <c r="H16" s="3" t="s">
        <v>31</v>
      </c>
    </row>
    <row r="17" spans="2:8" ht="25.8" x14ac:dyDescent="0.5">
      <c r="B17" s="7">
        <v>41337</v>
      </c>
      <c r="C17" s="8" t="s">
        <v>8</v>
      </c>
      <c r="D17" s="8" t="s">
        <v>30</v>
      </c>
      <c r="E17" s="8">
        <v>5715</v>
      </c>
      <c r="F17" s="8">
        <v>5823</v>
      </c>
      <c r="G17" s="8">
        <v>108</v>
      </c>
      <c r="H17" s="8">
        <v>58500</v>
      </c>
    </row>
    <row r="18" spans="2:8" ht="25.8" x14ac:dyDescent="0.5">
      <c r="B18" s="7">
        <v>41339</v>
      </c>
      <c r="C18" s="8" t="s">
        <v>8</v>
      </c>
      <c r="D18" s="8" t="s">
        <v>30</v>
      </c>
      <c r="E18" s="8">
        <v>5838</v>
      </c>
      <c r="F18" s="8">
        <v>5965</v>
      </c>
      <c r="G18" s="8">
        <v>127</v>
      </c>
      <c r="H18" s="8">
        <v>63500</v>
      </c>
    </row>
    <row r="19" spans="2:8" ht="25.8" x14ac:dyDescent="0.5">
      <c r="B19" s="7">
        <v>41344</v>
      </c>
      <c r="C19" s="8" t="s">
        <v>13</v>
      </c>
      <c r="D19" s="8" t="s">
        <v>30</v>
      </c>
      <c r="E19" s="8">
        <v>5950</v>
      </c>
      <c r="F19" s="8">
        <v>5870</v>
      </c>
      <c r="G19" s="8">
        <v>80</v>
      </c>
      <c r="H19" s="8">
        <v>40000</v>
      </c>
    </row>
    <row r="20" spans="2:8" ht="25.8" x14ac:dyDescent="0.5">
      <c r="B20" s="7">
        <v>41348</v>
      </c>
      <c r="C20" s="8" t="s">
        <v>13</v>
      </c>
      <c r="D20" s="8" t="s">
        <v>30</v>
      </c>
      <c r="E20" s="8">
        <v>5885</v>
      </c>
      <c r="F20" s="8">
        <v>5845</v>
      </c>
      <c r="G20" s="8">
        <v>40</v>
      </c>
      <c r="H20" s="8">
        <v>-20000</v>
      </c>
    </row>
    <row r="21" spans="2:8" ht="25.8" x14ac:dyDescent="0.5">
      <c r="B21" s="7">
        <v>41352</v>
      </c>
      <c r="C21" s="8" t="s">
        <v>13</v>
      </c>
      <c r="D21" s="8" t="s">
        <v>30</v>
      </c>
      <c r="E21" s="8">
        <v>5850</v>
      </c>
      <c r="F21" s="8">
        <v>5660</v>
      </c>
      <c r="G21" s="8">
        <v>190</v>
      </c>
      <c r="H21" s="8">
        <v>95000</v>
      </c>
    </row>
    <row r="22" spans="2:8" ht="25.8" x14ac:dyDescent="0.5">
      <c r="B22" s="7">
        <v>41359</v>
      </c>
      <c r="C22" s="8" t="s">
        <v>8</v>
      </c>
      <c r="D22" s="8" t="s">
        <v>30</v>
      </c>
      <c r="E22" s="8">
        <v>5640</v>
      </c>
      <c r="F22" s="8">
        <v>5680</v>
      </c>
      <c r="G22" s="8">
        <v>40</v>
      </c>
      <c r="H22" s="8">
        <v>20000</v>
      </c>
    </row>
    <row r="23" spans="2:8" ht="25.8" x14ac:dyDescent="0.5">
      <c r="B23" s="8"/>
      <c r="C23" s="8"/>
      <c r="D23" s="8"/>
      <c r="E23" s="8"/>
      <c r="F23" s="8"/>
      <c r="G23" s="8"/>
      <c r="H23" s="9">
        <v>257000</v>
      </c>
    </row>
    <row r="25" spans="2:8" ht="15" thickBot="1" x14ac:dyDescent="0.35"/>
    <row r="26" spans="2:8" ht="16.2" thickBot="1" x14ac:dyDescent="0.35">
      <c r="B26" s="158" t="s">
        <v>32</v>
      </c>
      <c r="C26" s="158"/>
      <c r="D26" s="158"/>
      <c r="E26" s="158"/>
      <c r="F26" s="158"/>
      <c r="G26" s="158"/>
      <c r="H26" s="158"/>
    </row>
    <row r="27" spans="2:8" x14ac:dyDescent="0.3">
      <c r="B27" s="1" t="s">
        <v>1</v>
      </c>
      <c r="C27" s="2" t="s">
        <v>2</v>
      </c>
      <c r="D27" s="2" t="s">
        <v>3</v>
      </c>
      <c r="E27" s="3" t="s">
        <v>4</v>
      </c>
      <c r="F27" s="3" t="s">
        <v>5</v>
      </c>
      <c r="G27" s="3" t="s">
        <v>6</v>
      </c>
      <c r="H27" s="3" t="s">
        <v>39</v>
      </c>
    </row>
    <row r="28" spans="2:8" ht="25.8" x14ac:dyDescent="0.5">
      <c r="B28" s="7">
        <v>41337</v>
      </c>
      <c r="C28" s="8" t="s">
        <v>8</v>
      </c>
      <c r="D28" s="8" t="s">
        <v>33</v>
      </c>
      <c r="E28" s="8">
        <v>8</v>
      </c>
      <c r="F28" s="8">
        <v>21</v>
      </c>
      <c r="G28" s="8">
        <v>1000</v>
      </c>
      <c r="H28" s="8">
        <v>13000</v>
      </c>
    </row>
    <row r="29" spans="2:8" ht="25.8" x14ac:dyDescent="0.5">
      <c r="B29" s="7">
        <v>41339</v>
      </c>
      <c r="C29" s="8" t="s">
        <v>8</v>
      </c>
      <c r="D29" s="8" t="s">
        <v>34</v>
      </c>
      <c r="E29" s="8">
        <v>41</v>
      </c>
      <c r="F29" s="8">
        <v>112</v>
      </c>
      <c r="G29" s="8">
        <v>50</v>
      </c>
      <c r="H29" s="8">
        <v>3550</v>
      </c>
    </row>
    <row r="30" spans="2:8" ht="25.8" x14ac:dyDescent="0.5">
      <c r="B30" s="7">
        <v>41344</v>
      </c>
      <c r="C30" s="8" t="s">
        <v>8</v>
      </c>
      <c r="D30" s="8" t="s">
        <v>35</v>
      </c>
      <c r="E30" s="8">
        <v>24</v>
      </c>
      <c r="F30" s="8">
        <v>14</v>
      </c>
      <c r="G30" s="8">
        <v>125</v>
      </c>
      <c r="H30" s="8">
        <v>-1250</v>
      </c>
    </row>
    <row r="31" spans="2:8" ht="25.8" x14ac:dyDescent="0.5">
      <c r="B31" s="7">
        <v>41348</v>
      </c>
      <c r="C31" s="8" t="s">
        <v>8</v>
      </c>
      <c r="D31" s="8" t="s">
        <v>36</v>
      </c>
      <c r="E31" s="8">
        <v>28</v>
      </c>
      <c r="F31" s="8">
        <v>93</v>
      </c>
      <c r="G31" s="8">
        <v>50</v>
      </c>
      <c r="H31" s="8">
        <v>3250</v>
      </c>
    </row>
    <row r="32" spans="2:8" ht="25.8" x14ac:dyDescent="0.5">
      <c r="B32" s="7">
        <v>41352</v>
      </c>
      <c r="C32" s="8" t="s">
        <v>8</v>
      </c>
      <c r="D32" s="8" t="s">
        <v>37</v>
      </c>
      <c r="E32" s="8">
        <v>10</v>
      </c>
      <c r="F32" s="8">
        <v>21</v>
      </c>
      <c r="G32" s="8">
        <v>1000</v>
      </c>
      <c r="H32" s="8">
        <v>11000</v>
      </c>
    </row>
    <row r="33" spans="2:8" ht="25.8" x14ac:dyDescent="0.5">
      <c r="B33" s="7">
        <v>41358</v>
      </c>
      <c r="C33" s="8" t="s">
        <v>8</v>
      </c>
      <c r="D33" s="8" t="s">
        <v>38</v>
      </c>
      <c r="E33" s="8">
        <v>12</v>
      </c>
      <c r="F33" s="8">
        <v>26</v>
      </c>
      <c r="G33" s="8">
        <v>250</v>
      </c>
      <c r="H33" s="8">
        <v>3500</v>
      </c>
    </row>
    <row r="34" spans="2:8" ht="25.8" x14ac:dyDescent="0.5">
      <c r="B34" s="8"/>
      <c r="C34" s="8"/>
      <c r="D34" s="8"/>
      <c r="E34" s="8"/>
      <c r="F34" s="8"/>
      <c r="G34" s="8"/>
      <c r="H34" s="9">
        <v>33050</v>
      </c>
    </row>
    <row r="35" spans="2:8" ht="15.6" x14ac:dyDescent="0.3">
      <c r="B35" s="11"/>
      <c r="C35" s="11"/>
      <c r="D35" s="11"/>
      <c r="E35" s="11"/>
      <c r="F35" s="11"/>
      <c r="G35" s="11"/>
      <c r="H35" s="11"/>
    </row>
    <row r="36" spans="2:8" ht="15.6" x14ac:dyDescent="0.3">
      <c r="B36" s="11"/>
      <c r="C36" s="11"/>
      <c r="D36" s="11"/>
      <c r="E36" s="11"/>
      <c r="F36" s="11"/>
      <c r="G36" s="11"/>
      <c r="H36" s="11"/>
    </row>
  </sheetData>
  <mergeCells count="5">
    <mergeCell ref="B1:H1"/>
    <mergeCell ref="B2:H2"/>
    <mergeCell ref="B3:H3"/>
    <mergeCell ref="B15:H15"/>
    <mergeCell ref="B26:H26"/>
  </mergeCells>
  <hyperlinks>
    <hyperlink ref="J2" location="'Home Page'!A1" display="Back" xr:uid="{00000000-0004-0000-00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32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9.3320312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116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41611</v>
      </c>
      <c r="C5" s="8" t="s">
        <v>13</v>
      </c>
      <c r="D5" s="8" t="s">
        <v>16</v>
      </c>
      <c r="E5" s="8">
        <v>385</v>
      </c>
      <c r="F5" s="8">
        <v>375</v>
      </c>
      <c r="G5" s="8">
        <v>2000</v>
      </c>
      <c r="H5" s="8">
        <v>20000</v>
      </c>
    </row>
    <row r="6" spans="1:10" ht="25.8" x14ac:dyDescent="0.5">
      <c r="B6" s="7">
        <v>41619</v>
      </c>
      <c r="C6" s="8" t="s">
        <v>13</v>
      </c>
      <c r="D6" s="8" t="s">
        <v>92</v>
      </c>
      <c r="E6" s="8">
        <v>380</v>
      </c>
      <c r="F6" s="8">
        <v>370</v>
      </c>
      <c r="G6" s="8">
        <v>2000</v>
      </c>
      <c r="H6" s="8">
        <v>20000</v>
      </c>
    </row>
    <row r="7" spans="1:10" ht="25.8" x14ac:dyDescent="0.5">
      <c r="B7" s="7">
        <v>41624</v>
      </c>
      <c r="C7" s="8" t="s">
        <v>13</v>
      </c>
      <c r="D7" s="8" t="s">
        <v>11</v>
      </c>
      <c r="E7" s="8">
        <v>1740</v>
      </c>
      <c r="F7" s="8">
        <v>1770</v>
      </c>
      <c r="G7" s="8">
        <v>250</v>
      </c>
      <c r="H7" s="8">
        <v>-7500</v>
      </c>
    </row>
    <row r="8" spans="1:10" ht="25.8" x14ac:dyDescent="0.5">
      <c r="B8" s="7">
        <v>41628</v>
      </c>
      <c r="C8" s="8" t="s">
        <v>20</v>
      </c>
      <c r="D8" s="8" t="s">
        <v>121</v>
      </c>
      <c r="E8" s="8">
        <v>380</v>
      </c>
      <c r="F8" s="8">
        <v>386</v>
      </c>
      <c r="G8" s="8">
        <v>4000</v>
      </c>
      <c r="H8" s="8">
        <v>24000</v>
      </c>
    </row>
    <row r="9" spans="1:10" ht="25.8" x14ac:dyDescent="0.5">
      <c r="B9" s="7">
        <v>41634</v>
      </c>
      <c r="C9" s="8" t="s">
        <v>13</v>
      </c>
      <c r="D9" s="8" t="s">
        <v>122</v>
      </c>
      <c r="E9" s="8">
        <v>1960</v>
      </c>
      <c r="F9" s="8">
        <v>1920</v>
      </c>
      <c r="G9" s="8">
        <v>250</v>
      </c>
      <c r="H9" s="8">
        <v>10000</v>
      </c>
    </row>
    <row r="10" spans="1:10" ht="25.8" x14ac:dyDescent="0.5">
      <c r="B10" s="7"/>
      <c r="C10" s="8"/>
      <c r="D10" s="8"/>
      <c r="E10" s="8"/>
      <c r="F10" s="8"/>
      <c r="G10" s="8"/>
      <c r="H10" s="8">
        <v>66500</v>
      </c>
    </row>
    <row r="12" spans="1:10" ht="15" thickBot="1" x14ac:dyDescent="0.35"/>
    <row r="13" spans="1:10" ht="16.2" thickBot="1" x14ac:dyDescent="0.35">
      <c r="B13" s="158" t="s">
        <v>117</v>
      </c>
      <c r="C13" s="158"/>
      <c r="D13" s="158"/>
      <c r="E13" s="158"/>
      <c r="F13" s="158"/>
      <c r="G13" s="158"/>
      <c r="H13" s="158"/>
    </row>
    <row r="14" spans="1:10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31</v>
      </c>
    </row>
    <row r="15" spans="1:10" ht="25.8" x14ac:dyDescent="0.5">
      <c r="B15" s="7">
        <v>41617</v>
      </c>
      <c r="C15" s="8" t="s">
        <v>13</v>
      </c>
      <c r="D15" s="8" t="s">
        <v>30</v>
      </c>
      <c r="E15" s="8">
        <v>6400</v>
      </c>
      <c r="F15" s="8">
        <v>6350</v>
      </c>
      <c r="G15" s="8">
        <v>50</v>
      </c>
      <c r="H15" s="8">
        <v>25000</v>
      </c>
    </row>
    <row r="16" spans="1:10" ht="25.8" x14ac:dyDescent="0.5">
      <c r="B16" s="7">
        <v>41624</v>
      </c>
      <c r="C16" s="8" t="s">
        <v>20</v>
      </c>
      <c r="D16" s="8" t="s">
        <v>30</v>
      </c>
      <c r="E16" s="8">
        <v>6200</v>
      </c>
      <c r="F16" s="8">
        <v>6160</v>
      </c>
      <c r="G16" s="8">
        <v>40</v>
      </c>
      <c r="H16" s="8">
        <v>-20000</v>
      </c>
    </row>
    <row r="17" spans="2:8" ht="25.8" x14ac:dyDescent="0.5">
      <c r="B17" s="7">
        <v>41628</v>
      </c>
      <c r="C17" s="8" t="s">
        <v>8</v>
      </c>
      <c r="D17" s="8" t="s">
        <v>30</v>
      </c>
      <c r="E17" s="8">
        <v>6200</v>
      </c>
      <c r="F17" s="8">
        <v>6300</v>
      </c>
      <c r="G17" s="8">
        <v>100</v>
      </c>
      <c r="H17" s="8">
        <v>50000</v>
      </c>
    </row>
    <row r="18" spans="2:8" ht="25.8" x14ac:dyDescent="0.5">
      <c r="B18" s="7"/>
      <c r="C18" s="8"/>
      <c r="D18" s="8"/>
      <c r="E18" s="8"/>
      <c r="F18" s="8"/>
      <c r="G18" s="8"/>
      <c r="H18" s="9">
        <v>55000</v>
      </c>
    </row>
    <row r="20" spans="2:8" ht="15" thickBot="1" x14ac:dyDescent="0.35"/>
    <row r="21" spans="2:8" ht="16.2" thickBot="1" x14ac:dyDescent="0.35">
      <c r="B21" s="158" t="s">
        <v>118</v>
      </c>
      <c r="C21" s="158"/>
      <c r="D21" s="158"/>
      <c r="E21" s="158"/>
      <c r="F21" s="158"/>
      <c r="G21" s="158"/>
      <c r="H21" s="158"/>
    </row>
    <row r="22" spans="2:8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89</v>
      </c>
    </row>
    <row r="23" spans="2:8" ht="25.8" x14ac:dyDescent="0.5">
      <c r="B23" s="7">
        <v>41613</v>
      </c>
      <c r="C23" s="8" t="s">
        <v>20</v>
      </c>
      <c r="D23" s="8" t="s">
        <v>138</v>
      </c>
      <c r="E23" s="8">
        <v>14</v>
      </c>
      <c r="F23" s="8">
        <v>20</v>
      </c>
      <c r="G23" s="8">
        <v>1000</v>
      </c>
      <c r="H23" s="8">
        <v>6000</v>
      </c>
    </row>
    <row r="24" spans="2:8" ht="25.8" x14ac:dyDescent="0.5">
      <c r="B24" s="7">
        <v>41617</v>
      </c>
      <c r="C24" s="8" t="s">
        <v>8</v>
      </c>
      <c r="D24" s="8" t="s">
        <v>139</v>
      </c>
      <c r="E24" s="8">
        <v>15</v>
      </c>
      <c r="F24" s="8">
        <v>21</v>
      </c>
      <c r="G24" s="8">
        <v>1000</v>
      </c>
      <c r="H24" s="8">
        <v>6000</v>
      </c>
    </row>
    <row r="25" spans="2:8" ht="25.8" x14ac:dyDescent="0.5">
      <c r="B25" s="7">
        <v>41619</v>
      </c>
      <c r="C25" s="8" t="s">
        <v>8</v>
      </c>
      <c r="D25" s="8" t="s">
        <v>140</v>
      </c>
      <c r="E25" s="8">
        <v>4</v>
      </c>
      <c r="F25" s="8">
        <v>7</v>
      </c>
      <c r="G25" s="8">
        <v>4000</v>
      </c>
      <c r="H25" s="8">
        <v>12000</v>
      </c>
    </row>
    <row r="26" spans="2:8" ht="25.8" x14ac:dyDescent="0.5">
      <c r="B26" s="7">
        <v>41627</v>
      </c>
      <c r="C26" s="8" t="s">
        <v>8</v>
      </c>
      <c r="D26" s="8" t="s">
        <v>141</v>
      </c>
      <c r="E26" s="8">
        <v>75</v>
      </c>
      <c r="F26" s="8">
        <v>115</v>
      </c>
      <c r="G26" s="8">
        <v>200</v>
      </c>
      <c r="H26" s="8">
        <v>8000</v>
      </c>
    </row>
    <row r="27" spans="2:8" ht="25.8" x14ac:dyDescent="0.5">
      <c r="B27" s="7"/>
      <c r="C27" s="8"/>
      <c r="D27" s="8"/>
      <c r="E27" s="8"/>
      <c r="F27" s="8"/>
      <c r="G27" s="8"/>
      <c r="H27" s="16">
        <v>32000</v>
      </c>
    </row>
    <row r="28" spans="2:8" ht="25.8" x14ac:dyDescent="0.5">
      <c r="B28" s="13"/>
      <c r="C28" s="8"/>
      <c r="D28" s="8"/>
      <c r="E28" s="8"/>
      <c r="F28" s="8"/>
      <c r="G28" s="8"/>
      <c r="H28" s="8"/>
    </row>
    <row r="29" spans="2:8" ht="25.8" x14ac:dyDescent="0.5">
      <c r="B29" s="13"/>
      <c r="C29" s="8"/>
      <c r="D29" s="8"/>
      <c r="E29" s="8"/>
      <c r="F29" s="8"/>
      <c r="G29" s="8"/>
      <c r="H29" s="8"/>
    </row>
    <row r="30" spans="2:8" ht="25.8" x14ac:dyDescent="0.5">
      <c r="B30" s="13"/>
      <c r="C30" s="8"/>
      <c r="D30" s="8"/>
      <c r="E30" s="8"/>
      <c r="F30" s="8"/>
      <c r="G30" s="8"/>
      <c r="H30" s="8"/>
    </row>
    <row r="31" spans="2:8" ht="25.8" x14ac:dyDescent="0.5">
      <c r="B31" s="13"/>
      <c r="C31" s="8"/>
      <c r="D31" s="8"/>
      <c r="E31" s="8"/>
      <c r="F31" s="8"/>
      <c r="G31" s="8"/>
      <c r="H31" s="8"/>
    </row>
    <row r="32" spans="2:8" ht="25.8" x14ac:dyDescent="0.5">
      <c r="H32" s="9"/>
    </row>
  </sheetData>
  <mergeCells count="5">
    <mergeCell ref="B1:H1"/>
    <mergeCell ref="B2:H2"/>
    <mergeCell ref="B3:H3"/>
    <mergeCell ref="B13:H13"/>
    <mergeCell ref="B21:H21"/>
  </mergeCells>
  <hyperlinks>
    <hyperlink ref="J2" location="'Home Page'!A1" display="Back" xr:uid="{00000000-0004-0000-0900-000000000000}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00"/>
  <dimension ref="A1:Y53"/>
  <sheetViews>
    <sheetView topLeftCell="A16" workbookViewId="0">
      <selection activeCell="L46" sqref="L46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44348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5</v>
      </c>
      <c r="Q4" s="208">
        <f>X16</f>
        <v>5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44348</v>
      </c>
      <c r="D6" s="35" t="s">
        <v>13</v>
      </c>
      <c r="E6" s="35" t="s">
        <v>28</v>
      </c>
      <c r="F6" s="126">
        <v>657</v>
      </c>
      <c r="G6" s="127">
        <v>647</v>
      </c>
      <c r="H6" s="34">
        <v>44349</v>
      </c>
      <c r="I6" s="36">
        <v>2750</v>
      </c>
      <c r="J6" s="129">
        <v>10</v>
      </c>
      <c r="K6" s="41">
        <f>J6*I6</f>
        <v>27500</v>
      </c>
      <c r="L6" s="37" t="s">
        <v>642</v>
      </c>
      <c r="M6" s="32"/>
      <c r="O6" s="231" t="s">
        <v>599</v>
      </c>
      <c r="P6" s="199">
        <f>COUNT(C24:C33)</f>
        <v>3</v>
      </c>
      <c r="Q6" s="200">
        <f>X34</f>
        <v>2</v>
      </c>
      <c r="R6" s="200">
        <f>Y34</f>
        <v>1</v>
      </c>
      <c r="S6" s="201">
        <v>0</v>
      </c>
      <c r="T6" s="197">
        <f t="shared" ref="T6" si="0">Q6/P6</f>
        <v>0.66666666666666663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44354</v>
      </c>
      <c r="D7" s="40" t="s">
        <v>8</v>
      </c>
      <c r="E7" s="40" t="s">
        <v>178</v>
      </c>
      <c r="F7" s="126">
        <v>171</v>
      </c>
      <c r="G7" s="126">
        <v>172.25</v>
      </c>
      <c r="H7" s="39">
        <v>44354</v>
      </c>
      <c r="I7" s="41">
        <v>8000</v>
      </c>
      <c r="J7" s="130">
        <v>1.25</v>
      </c>
      <c r="K7" s="41">
        <f t="shared" ref="K7:K10" si="1">J7*I7</f>
        <v>10000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44356</v>
      </c>
      <c r="D8" s="40" t="s">
        <v>8</v>
      </c>
      <c r="E8" s="40" t="s">
        <v>121</v>
      </c>
      <c r="F8" s="128">
        <v>965</v>
      </c>
      <c r="G8" s="126">
        <v>995</v>
      </c>
      <c r="H8" s="39">
        <v>44358</v>
      </c>
      <c r="I8" s="41">
        <v>1300</v>
      </c>
      <c r="J8" s="130">
        <f>995-965</f>
        <v>30</v>
      </c>
      <c r="K8" s="41">
        <f t="shared" si="1"/>
        <v>39000</v>
      </c>
      <c r="L8" s="42" t="s">
        <v>642</v>
      </c>
      <c r="M8" s="32"/>
      <c r="O8" s="231" t="s">
        <v>600</v>
      </c>
      <c r="P8" s="199">
        <f>COUNT(C42:C51)</f>
        <v>4</v>
      </c>
      <c r="Q8" s="200">
        <f>X52</f>
        <v>3</v>
      </c>
      <c r="R8" s="200">
        <f>Y52</f>
        <v>1</v>
      </c>
      <c r="S8" s="201">
        <v>0</v>
      </c>
      <c r="T8" s="197">
        <f t="shared" ref="T8:T10" si="5">Q8/P8</f>
        <v>0.75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44357</v>
      </c>
      <c r="D9" s="40" t="s">
        <v>8</v>
      </c>
      <c r="E9" s="40" t="s">
        <v>247</v>
      </c>
      <c r="F9" s="126">
        <v>2380</v>
      </c>
      <c r="G9" s="126">
        <v>2480</v>
      </c>
      <c r="H9" s="39">
        <v>44365</v>
      </c>
      <c r="I9" s="41">
        <v>600</v>
      </c>
      <c r="J9" s="130">
        <f>2480-2380</f>
        <v>100</v>
      </c>
      <c r="K9" s="41">
        <f t="shared" si="1"/>
        <v>60000</v>
      </c>
      <c r="L9" s="42" t="s">
        <v>647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44361</v>
      </c>
      <c r="D10" s="40" t="s">
        <v>8</v>
      </c>
      <c r="E10" s="40" t="s">
        <v>68</v>
      </c>
      <c r="F10" s="126">
        <v>1070</v>
      </c>
      <c r="G10" s="126">
        <v>1100</v>
      </c>
      <c r="H10" s="39">
        <v>44363</v>
      </c>
      <c r="I10" s="41">
        <v>1200</v>
      </c>
      <c r="J10" s="130">
        <f>1100-1070</f>
        <v>30</v>
      </c>
      <c r="K10" s="41">
        <f t="shared" si="1"/>
        <v>36000</v>
      </c>
      <c r="L10" s="42" t="s">
        <v>651</v>
      </c>
      <c r="M10" s="32"/>
      <c r="O10" s="171" t="s">
        <v>575</v>
      </c>
      <c r="P10" s="173">
        <f>SUM(P4:P9)</f>
        <v>12</v>
      </c>
      <c r="Q10" s="173">
        <f>SUM(Q4:Q9)</f>
        <v>10</v>
      </c>
      <c r="R10" s="173">
        <f>SUM(R4:R9)</f>
        <v>2</v>
      </c>
      <c r="S10" s="193">
        <f>SUM(S4:S9)</f>
        <v>0</v>
      </c>
      <c r="T10" s="195">
        <f t="shared" si="5"/>
        <v>0.83333333333333337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0.83333333333333337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172500</v>
      </c>
      <c r="L16" s="86"/>
      <c r="M16" s="32"/>
      <c r="X16" s="29">
        <f>SUM(X6:X15)</f>
        <v>5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44348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44354</v>
      </c>
      <c r="D24" s="40" t="s">
        <v>8</v>
      </c>
      <c r="E24" s="35" t="s">
        <v>30</v>
      </c>
      <c r="F24" s="36">
        <v>15780</v>
      </c>
      <c r="G24" s="36">
        <v>15730</v>
      </c>
      <c r="H24" s="39">
        <v>44355</v>
      </c>
      <c r="I24" s="36">
        <v>375</v>
      </c>
      <c r="J24" s="41">
        <v>-50</v>
      </c>
      <c r="K24" s="41">
        <f>J24*I24</f>
        <v>-18750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44361</v>
      </c>
      <c r="D25" s="40" t="s">
        <v>13</v>
      </c>
      <c r="E25" s="40" t="s">
        <v>30</v>
      </c>
      <c r="F25" s="41">
        <v>15850</v>
      </c>
      <c r="G25" s="41">
        <v>15660</v>
      </c>
      <c r="H25" s="39">
        <v>44364</v>
      </c>
      <c r="I25" s="41">
        <v>375</v>
      </c>
      <c r="J25" s="115">
        <f>15850-15660</f>
        <v>190</v>
      </c>
      <c r="K25" s="41">
        <f t="shared" ref="K25:K29" si="8">J25*I25</f>
        <v>71250</v>
      </c>
      <c r="L25" s="42" t="s">
        <v>774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44377</v>
      </c>
      <c r="D26" s="40" t="s">
        <v>13</v>
      </c>
      <c r="E26" s="40" t="s">
        <v>30</v>
      </c>
      <c r="F26" s="41">
        <v>15800</v>
      </c>
      <c r="G26" s="41">
        <v>15700</v>
      </c>
      <c r="H26" s="39">
        <v>44348</v>
      </c>
      <c r="I26" s="41">
        <v>375</v>
      </c>
      <c r="J26" s="85">
        <v>100</v>
      </c>
      <c r="K26" s="41">
        <f t="shared" si="8"/>
        <v>37500</v>
      </c>
      <c r="L26" s="42" t="s">
        <v>672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90000</v>
      </c>
      <c r="L34" s="86"/>
      <c r="M34" s="32"/>
      <c r="X34" s="29">
        <f>SUM(X24:X33)</f>
        <v>2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44348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44348</v>
      </c>
      <c r="D42" s="35" t="s">
        <v>8</v>
      </c>
      <c r="E42" s="35" t="s">
        <v>772</v>
      </c>
      <c r="F42" s="127">
        <v>15</v>
      </c>
      <c r="G42" s="127">
        <v>20</v>
      </c>
      <c r="H42" s="34">
        <v>44349</v>
      </c>
      <c r="I42" s="36">
        <v>2750</v>
      </c>
      <c r="J42" s="129">
        <v>5</v>
      </c>
      <c r="K42" s="41">
        <f>J42*I42</f>
        <v>13750</v>
      </c>
      <c r="L42" s="37" t="s">
        <v>642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44354</v>
      </c>
      <c r="D43" s="121" t="s">
        <v>8</v>
      </c>
      <c r="E43" s="121" t="s">
        <v>773</v>
      </c>
      <c r="F43" s="128">
        <v>4</v>
      </c>
      <c r="G43" s="128">
        <v>5.4</v>
      </c>
      <c r="H43" s="120">
        <v>44354</v>
      </c>
      <c r="I43" s="122">
        <v>12000</v>
      </c>
      <c r="J43" s="133">
        <f>5.4-4</f>
        <v>1.4000000000000004</v>
      </c>
      <c r="K43" s="41">
        <f t="shared" ref="K43:K49" si="12">J43*I43</f>
        <v>16800.000000000004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44361</v>
      </c>
      <c r="D44" s="40" t="s">
        <v>8</v>
      </c>
      <c r="E44" s="40" t="s">
        <v>775</v>
      </c>
      <c r="F44" s="126">
        <v>25</v>
      </c>
      <c r="G44" s="126">
        <v>39</v>
      </c>
      <c r="H44" s="39">
        <v>44361</v>
      </c>
      <c r="I44" s="41">
        <v>2400</v>
      </c>
      <c r="J44" s="130">
        <f>39-25</f>
        <v>14</v>
      </c>
      <c r="K44" s="41">
        <f t="shared" si="12"/>
        <v>33600</v>
      </c>
      <c r="L44" s="42" t="s">
        <v>651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44375</v>
      </c>
      <c r="D45" s="40" t="s">
        <v>8</v>
      </c>
      <c r="E45" s="40" t="s">
        <v>776</v>
      </c>
      <c r="F45" s="126">
        <v>2</v>
      </c>
      <c r="G45" s="126">
        <v>1</v>
      </c>
      <c r="H45" s="39">
        <v>44377</v>
      </c>
      <c r="I45" s="41">
        <v>16000</v>
      </c>
      <c r="J45" s="130">
        <v>-1</v>
      </c>
      <c r="K45" s="41">
        <f t="shared" si="12"/>
        <v>-16000</v>
      </c>
      <c r="L45" s="42" t="s">
        <v>197</v>
      </c>
      <c r="M45" s="32"/>
      <c r="X45" s="29">
        <f t="shared" si="10"/>
        <v>0</v>
      </c>
      <c r="Y45" s="29">
        <f t="shared" si="11"/>
        <v>1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48150</v>
      </c>
      <c r="L52" s="86"/>
      <c r="M52" s="32"/>
      <c r="X52" s="29">
        <f>SUM(X42:X51)</f>
        <v>3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6300-000000000000}"/>
    <hyperlink ref="O1" location="'Home Page'!A1" display="Back" xr:uid="{00000000-0004-0000-6300-000001000000}"/>
    <hyperlink ref="B34" r:id="rId2" xr:uid="{00000000-0004-0000-6300-000002000000}"/>
    <hyperlink ref="B52" r:id="rId3" xr:uid="{00000000-0004-0000-6300-000003000000}"/>
    <hyperlink ref="O4:O5" location="'MARCH 2021'!A1" display="PREMIUM STOCK FUTURE" xr:uid="{00000000-0004-0000-6300-000004000000}"/>
    <hyperlink ref="O6:O7" location="'JUNE 2021'!A1" display="PREMIUM NIFTY FUTURE" xr:uid="{00000000-0004-0000-6300-000005000000}"/>
    <hyperlink ref="O8:O9" location="'JUNE 2021'!A1" display="PREMIUM OPTOIN" xr:uid="{00000000-0004-0000-6300-000006000000}"/>
  </hyperlinks>
  <pageMargins left="0" right="0" top="0" bottom="0" header="0" footer="0"/>
  <pageSetup paperSize="9" orientation="portrait" r:id="rId4"/>
  <drawing r:id="rId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01"/>
  <dimension ref="A1:Y53"/>
  <sheetViews>
    <sheetView topLeftCell="A13" workbookViewId="0">
      <selection activeCell="I26" sqref="I26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44378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44383</v>
      </c>
      <c r="D6" s="35" t="s">
        <v>13</v>
      </c>
      <c r="E6" s="35" t="s">
        <v>777</v>
      </c>
      <c r="F6" s="126">
        <v>1573</v>
      </c>
      <c r="G6" s="127">
        <v>1550</v>
      </c>
      <c r="H6" s="34">
        <v>44384</v>
      </c>
      <c r="I6" s="36">
        <v>1200</v>
      </c>
      <c r="J6" s="129">
        <f>1573-1550</f>
        <v>23</v>
      </c>
      <c r="K6" s="41">
        <f>J6*I6</f>
        <v>27600</v>
      </c>
      <c r="L6" s="37" t="s">
        <v>642</v>
      </c>
      <c r="M6" s="32"/>
      <c r="O6" s="231" t="s">
        <v>599</v>
      </c>
      <c r="P6" s="199">
        <f>COUNT(C24:C33)</f>
        <v>2</v>
      </c>
      <c r="Q6" s="200">
        <f>X34</f>
        <v>2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44390</v>
      </c>
      <c r="D7" s="40" t="s">
        <v>8</v>
      </c>
      <c r="E7" s="40" t="s">
        <v>120</v>
      </c>
      <c r="F7" s="126">
        <v>1505</v>
      </c>
      <c r="G7" s="126">
        <v>1530</v>
      </c>
      <c r="H7" s="39">
        <v>44393</v>
      </c>
      <c r="I7" s="41">
        <v>600</v>
      </c>
      <c r="J7" s="130">
        <f>1530-1505</f>
        <v>25</v>
      </c>
      <c r="K7" s="41">
        <f t="shared" ref="K7:K10" si="1">J7*I7</f>
        <v>15000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44403</v>
      </c>
      <c r="D8" s="40" t="s">
        <v>8</v>
      </c>
      <c r="E8" s="40" t="s">
        <v>777</v>
      </c>
      <c r="F8" s="128">
        <v>1600</v>
      </c>
      <c r="G8" s="126">
        <v>1617</v>
      </c>
      <c r="H8" s="39">
        <v>44406</v>
      </c>
      <c r="I8" s="41">
        <v>1200</v>
      </c>
      <c r="J8" s="130">
        <v>17</v>
      </c>
      <c r="K8" s="41">
        <f t="shared" si="1"/>
        <v>20400</v>
      </c>
      <c r="L8" s="42" t="s">
        <v>646</v>
      </c>
      <c r="M8" s="32"/>
      <c r="O8" s="231" t="s">
        <v>600</v>
      </c>
      <c r="P8" s="199">
        <f>COUNT(C42:C51)</f>
        <v>2</v>
      </c>
      <c r="Q8" s="200">
        <f>X52</f>
        <v>1</v>
      </c>
      <c r="R8" s="200">
        <f>Y52</f>
        <v>1</v>
      </c>
      <c r="S8" s="201">
        <v>0</v>
      </c>
      <c r="T8" s="197">
        <f t="shared" ref="T8:T10" si="5">Q8/P8</f>
        <v>0.5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7</v>
      </c>
      <c r="Q10" s="173">
        <f>SUM(Q4:Q9)</f>
        <v>6</v>
      </c>
      <c r="R10" s="173">
        <f>SUM(R4:R9)</f>
        <v>1</v>
      </c>
      <c r="S10" s="193">
        <f>SUM(S4:S9)</f>
        <v>0</v>
      </c>
      <c r="T10" s="195">
        <f t="shared" si="5"/>
        <v>0.8571428571428571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0.8571428571428571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63000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44378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44384</v>
      </c>
      <c r="D24" s="40" t="s">
        <v>8</v>
      </c>
      <c r="E24" s="35" t="s">
        <v>30</v>
      </c>
      <c r="F24" s="36">
        <v>15820</v>
      </c>
      <c r="G24" s="36">
        <v>15900</v>
      </c>
      <c r="H24" s="39">
        <v>44384</v>
      </c>
      <c r="I24" s="36">
        <v>375</v>
      </c>
      <c r="J24" s="41">
        <v>80</v>
      </c>
      <c r="K24" s="41">
        <f>J24*I24</f>
        <v>30000</v>
      </c>
      <c r="L24" s="37" t="s">
        <v>642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44403</v>
      </c>
      <c r="D25" s="40" t="s">
        <v>8</v>
      </c>
      <c r="E25" s="40" t="s">
        <v>30</v>
      </c>
      <c r="F25" s="41">
        <v>15820</v>
      </c>
      <c r="G25" s="41">
        <v>15880</v>
      </c>
      <c r="H25" s="39">
        <v>44404</v>
      </c>
      <c r="I25" s="41">
        <v>375</v>
      </c>
      <c r="J25" s="115">
        <v>80</v>
      </c>
      <c r="K25" s="41">
        <f t="shared" ref="K25:K29" si="8">J25*I25</f>
        <v>30000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60000</v>
      </c>
      <c r="L34" s="86"/>
      <c r="M34" s="32"/>
      <c r="X34" s="29">
        <f>SUM(X24:X33)</f>
        <v>2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44378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44384</v>
      </c>
      <c r="D42" s="35" t="s">
        <v>8</v>
      </c>
      <c r="E42" s="35" t="s">
        <v>778</v>
      </c>
      <c r="F42" s="127">
        <v>28</v>
      </c>
      <c r="G42" s="127">
        <v>20</v>
      </c>
      <c r="H42" s="34">
        <v>44386</v>
      </c>
      <c r="I42" s="36">
        <v>1100</v>
      </c>
      <c r="J42" s="129">
        <v>-8</v>
      </c>
      <c r="K42" s="41">
        <f>J42*I42</f>
        <v>-8800</v>
      </c>
      <c r="L42" s="37" t="s">
        <v>197</v>
      </c>
      <c r="M42" s="32"/>
      <c r="X42" s="29">
        <f t="shared" ref="X42:X51" si="10">IF($K42&gt;0,1,0)</f>
        <v>0</v>
      </c>
      <c r="Y42" s="29">
        <f t="shared" ref="Y42:Y51" si="11">IF($K42&lt;0,1,0)</f>
        <v>1</v>
      </c>
    </row>
    <row r="43" spans="1:25" x14ac:dyDescent="0.3">
      <c r="A43" s="31"/>
      <c r="B43" s="119">
        <v>2</v>
      </c>
      <c r="C43" s="120">
        <v>44397</v>
      </c>
      <c r="D43" s="121" t="s">
        <v>8</v>
      </c>
      <c r="E43" s="121" t="s">
        <v>779</v>
      </c>
      <c r="F43" s="128">
        <v>18</v>
      </c>
      <c r="G43" s="128">
        <v>26</v>
      </c>
      <c r="H43" s="120">
        <v>44399</v>
      </c>
      <c r="I43" s="122">
        <v>600</v>
      </c>
      <c r="J43" s="133">
        <v>8</v>
      </c>
      <c r="K43" s="41">
        <f t="shared" ref="K43:K49" si="12">J43*I43</f>
        <v>4800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-4000</v>
      </c>
      <c r="L52" s="86"/>
      <c r="M52" s="32"/>
      <c r="X52" s="29">
        <f>SUM(X42:X51)</f>
        <v>1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6400-000000000000}"/>
    <hyperlink ref="O1" location="'Home Page'!A1" display="Back" xr:uid="{00000000-0004-0000-6400-000001000000}"/>
    <hyperlink ref="B34" r:id="rId2" xr:uid="{00000000-0004-0000-6400-000002000000}"/>
    <hyperlink ref="B52" r:id="rId3" xr:uid="{00000000-0004-0000-6400-000003000000}"/>
    <hyperlink ref="O4:O5" location="'MARCH 2021'!A1" display="PREMIUM STOCK FUTURE" xr:uid="{00000000-0004-0000-6400-000004000000}"/>
    <hyperlink ref="O6:O7" location="'JUNE 2021'!A1" display="PREMIUM NIFTY FUTURE" xr:uid="{00000000-0004-0000-6400-000005000000}"/>
    <hyperlink ref="O8:O9" location="'JUNE 2021'!A1" display="PREMIUM OPTOIN" xr:uid="{00000000-0004-0000-6400-000006000000}"/>
  </hyperlinks>
  <pageMargins left="0" right="0" top="0" bottom="0" header="0" footer="0"/>
  <pageSetup paperSize="9" orientation="portrait" r:id="rId4"/>
  <drawing r:id="rId5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02"/>
  <dimension ref="A1:Y53"/>
  <sheetViews>
    <sheetView topLeftCell="A13" workbookViewId="0">
      <selection activeCell="H11" sqref="H1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44409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5</v>
      </c>
      <c r="Q4" s="208">
        <f>X16</f>
        <v>5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44410</v>
      </c>
      <c r="D6" s="35" t="s">
        <v>8</v>
      </c>
      <c r="E6" s="35" t="s">
        <v>76</v>
      </c>
      <c r="F6" s="126">
        <v>1770</v>
      </c>
      <c r="G6" s="127">
        <v>1800</v>
      </c>
      <c r="H6" s="34">
        <v>44411</v>
      </c>
      <c r="I6" s="36">
        <v>750</v>
      </c>
      <c r="J6" s="129">
        <v>30</v>
      </c>
      <c r="K6" s="41">
        <f>J6*I6</f>
        <v>22500</v>
      </c>
      <c r="L6" s="37" t="s">
        <v>642</v>
      </c>
      <c r="M6" s="32"/>
      <c r="O6" s="231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44418</v>
      </c>
      <c r="D7" s="40" t="s">
        <v>8</v>
      </c>
      <c r="E7" s="40" t="s">
        <v>781</v>
      </c>
      <c r="F7" s="126">
        <v>1285</v>
      </c>
      <c r="G7" s="126">
        <v>1330</v>
      </c>
      <c r="H7" s="39">
        <v>44420</v>
      </c>
      <c r="I7" s="41">
        <v>1000</v>
      </c>
      <c r="J7" s="130">
        <f>1330-1285</f>
        <v>45</v>
      </c>
      <c r="K7" s="41">
        <f t="shared" ref="K7:K10" si="1">J7*I7</f>
        <v>45000</v>
      </c>
      <c r="L7" s="42" t="s">
        <v>651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44431</v>
      </c>
      <c r="D8" s="40" t="s">
        <v>8</v>
      </c>
      <c r="E8" s="40" t="s">
        <v>781</v>
      </c>
      <c r="F8" s="128">
        <v>1300</v>
      </c>
      <c r="G8" s="126">
        <v>1360</v>
      </c>
      <c r="H8" s="39">
        <v>44432</v>
      </c>
      <c r="I8" s="41">
        <v>60</v>
      </c>
      <c r="J8" s="130">
        <v>1000</v>
      </c>
      <c r="K8" s="41">
        <f t="shared" si="1"/>
        <v>60000</v>
      </c>
      <c r="L8" s="42" t="s">
        <v>647</v>
      </c>
      <c r="M8" s="32"/>
      <c r="O8" s="231" t="s">
        <v>600</v>
      </c>
      <c r="P8" s="199">
        <f>COUNT(C42:C51)</f>
        <v>3</v>
      </c>
      <c r="Q8" s="200">
        <f>X52</f>
        <v>3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44431</v>
      </c>
      <c r="D9" s="40" t="s">
        <v>13</v>
      </c>
      <c r="E9" s="40" t="s">
        <v>15</v>
      </c>
      <c r="F9" s="126">
        <v>740</v>
      </c>
      <c r="G9" s="126">
        <v>722</v>
      </c>
      <c r="H9" s="39">
        <v>44431</v>
      </c>
      <c r="I9" s="41">
        <f>740-722</f>
        <v>18</v>
      </c>
      <c r="J9" s="130">
        <v>1500</v>
      </c>
      <c r="K9" s="41">
        <f t="shared" si="1"/>
        <v>27000</v>
      </c>
      <c r="L9" s="42" t="s">
        <v>642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44435</v>
      </c>
      <c r="D10" s="40" t="s">
        <v>8</v>
      </c>
      <c r="E10" s="40" t="s">
        <v>745</v>
      </c>
      <c r="F10" s="126">
        <v>842</v>
      </c>
      <c r="G10" s="126">
        <v>862</v>
      </c>
      <c r="H10" s="39">
        <v>44440</v>
      </c>
      <c r="I10" s="41">
        <v>2000</v>
      </c>
      <c r="J10" s="130">
        <f>862-842</f>
        <v>20</v>
      </c>
      <c r="K10" s="41">
        <f t="shared" si="1"/>
        <v>40000</v>
      </c>
      <c r="L10" s="42" t="s">
        <v>642</v>
      </c>
      <c r="M10" s="32"/>
      <c r="O10" s="171" t="s">
        <v>575</v>
      </c>
      <c r="P10" s="173">
        <f>SUM(P4:P9)</f>
        <v>11</v>
      </c>
      <c r="Q10" s="173">
        <f>SUM(Q4:Q9)</f>
        <v>11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194500</v>
      </c>
      <c r="L16" s="86"/>
      <c r="M16" s="32"/>
      <c r="X16" s="29">
        <f>SUM(X6:X15)</f>
        <v>5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44409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44410</v>
      </c>
      <c r="D24" s="40" t="s">
        <v>8</v>
      </c>
      <c r="E24" s="35" t="s">
        <v>30</v>
      </c>
      <c r="F24" s="36">
        <v>15880</v>
      </c>
      <c r="G24" s="36">
        <v>16080</v>
      </c>
      <c r="H24" s="39">
        <v>44411</v>
      </c>
      <c r="I24" s="36">
        <v>250</v>
      </c>
      <c r="J24" s="41">
        <v>200</v>
      </c>
      <c r="K24" s="41">
        <f>J24*I24</f>
        <v>50000</v>
      </c>
      <c r="L24" s="37" t="s">
        <v>642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44418</v>
      </c>
      <c r="D25" s="40" t="s">
        <v>8</v>
      </c>
      <c r="E25" s="40" t="s">
        <v>619</v>
      </c>
      <c r="F25" s="41">
        <v>36250</v>
      </c>
      <c r="G25" s="41">
        <v>36360</v>
      </c>
      <c r="H25" s="39">
        <v>44419</v>
      </c>
      <c r="I25" s="41">
        <v>125</v>
      </c>
      <c r="J25" s="115">
        <f>36360-36250</f>
        <v>110</v>
      </c>
      <c r="K25" s="41">
        <f t="shared" ref="K25:K29" si="8">J25*I25</f>
        <v>13750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44431</v>
      </c>
      <c r="D26" s="40" t="s">
        <v>8</v>
      </c>
      <c r="E26" s="40" t="s">
        <v>30</v>
      </c>
      <c r="F26" s="41">
        <v>16480</v>
      </c>
      <c r="G26" s="41">
        <v>16680</v>
      </c>
      <c r="H26" s="39">
        <v>44433</v>
      </c>
      <c r="I26" s="41">
        <v>200</v>
      </c>
      <c r="J26" s="85">
        <v>200</v>
      </c>
      <c r="K26" s="41">
        <f t="shared" si="8"/>
        <v>40000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103750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44409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44410</v>
      </c>
      <c r="D42" s="35" t="s">
        <v>8</v>
      </c>
      <c r="E42" s="35" t="s">
        <v>780</v>
      </c>
      <c r="F42" s="127">
        <v>22</v>
      </c>
      <c r="G42" s="127">
        <v>42</v>
      </c>
      <c r="H42" s="34">
        <v>44411</v>
      </c>
      <c r="I42" s="36">
        <v>1100</v>
      </c>
      <c r="J42" s="129">
        <v>20</v>
      </c>
      <c r="K42" s="41">
        <f>J42*I42</f>
        <v>22000</v>
      </c>
      <c r="L42" s="37" t="s">
        <v>642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44418</v>
      </c>
      <c r="D43" s="121" t="s">
        <v>8</v>
      </c>
      <c r="E43" s="121" t="s">
        <v>782</v>
      </c>
      <c r="F43" s="128">
        <v>30</v>
      </c>
      <c r="G43" s="128">
        <v>37</v>
      </c>
      <c r="H43" s="120">
        <v>44419</v>
      </c>
      <c r="I43" s="122">
        <v>800</v>
      </c>
      <c r="J43" s="133">
        <v>7</v>
      </c>
      <c r="K43" s="41">
        <f t="shared" ref="K43:K49" si="12">J43*I43</f>
        <v>5600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44431</v>
      </c>
      <c r="D44" s="40" t="s">
        <v>8</v>
      </c>
      <c r="E44" s="40" t="s">
        <v>783</v>
      </c>
      <c r="F44" s="126">
        <v>17</v>
      </c>
      <c r="G44" s="126">
        <v>29.4</v>
      </c>
      <c r="H44" s="39">
        <v>44431</v>
      </c>
      <c r="I44" s="41">
        <f>29.4-17</f>
        <v>12.399999999999999</v>
      </c>
      <c r="J44" s="130">
        <v>1400</v>
      </c>
      <c r="K44" s="41">
        <f t="shared" si="12"/>
        <v>17359.999999999996</v>
      </c>
      <c r="L44" s="42" t="s">
        <v>651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44960</v>
      </c>
      <c r="L52" s="86"/>
      <c r="M52" s="32"/>
      <c r="X52" s="29">
        <f>SUM(X42:X51)</f>
        <v>3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6500-000000000000}"/>
    <hyperlink ref="O1" location="'Home Page'!A1" display="Back" xr:uid="{00000000-0004-0000-6500-000001000000}"/>
    <hyperlink ref="B34" r:id="rId2" xr:uid="{00000000-0004-0000-6500-000002000000}"/>
    <hyperlink ref="B52" r:id="rId3" xr:uid="{00000000-0004-0000-6500-000003000000}"/>
    <hyperlink ref="O4:O5" location="'AUGUST 2021'!A1" display="PREMIUM STOCK FUTURE" xr:uid="{00000000-0004-0000-6500-000004000000}"/>
    <hyperlink ref="O6:O7" location="'AUGUST 2021'!A1" display="PREMIUM NIFTY FUTURE" xr:uid="{00000000-0004-0000-6500-000005000000}"/>
    <hyperlink ref="O8:O9" location="'AUGUST 2021'!A1" display="PREMIUM OPTOIN" xr:uid="{00000000-0004-0000-6500-000006000000}"/>
  </hyperlinks>
  <pageMargins left="0" right="0" top="0" bottom="0" header="0" footer="0"/>
  <pageSetup paperSize="9" orientation="portrait" r:id="rId4"/>
  <drawing r:id="rId5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03"/>
  <dimension ref="A1:Y53"/>
  <sheetViews>
    <sheetView topLeftCell="A16" workbookViewId="0">
      <selection activeCell="P24" sqref="P24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44440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7</v>
      </c>
      <c r="Q4" s="208">
        <f>X16</f>
        <v>7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44442</v>
      </c>
      <c r="D6" s="35" t="s">
        <v>8</v>
      </c>
      <c r="E6" s="35" t="s">
        <v>786</v>
      </c>
      <c r="F6" s="126">
        <v>218</v>
      </c>
      <c r="G6" s="127">
        <v>226</v>
      </c>
      <c r="H6" s="34">
        <v>44445</v>
      </c>
      <c r="I6" s="36">
        <v>5600</v>
      </c>
      <c r="J6" s="129">
        <f>226-218</f>
        <v>8</v>
      </c>
      <c r="K6" s="41">
        <f>J6*I6</f>
        <v>44800</v>
      </c>
      <c r="L6" s="37" t="s">
        <v>647</v>
      </c>
      <c r="M6" s="32"/>
      <c r="O6" s="231" t="s">
        <v>599</v>
      </c>
      <c r="P6" s="199">
        <f>COUNT(C24:C33)</f>
        <v>5</v>
      </c>
      <c r="Q6" s="200">
        <f>X34</f>
        <v>4</v>
      </c>
      <c r="R6" s="200">
        <f>Y34</f>
        <v>1</v>
      </c>
      <c r="S6" s="201">
        <v>0</v>
      </c>
      <c r="T6" s="197">
        <f t="shared" ref="T6" si="0">Q6/P6</f>
        <v>0.8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44445</v>
      </c>
      <c r="D7" s="40" t="s">
        <v>8</v>
      </c>
      <c r="E7" s="40" t="s">
        <v>784</v>
      </c>
      <c r="F7" s="126">
        <v>311</v>
      </c>
      <c r="G7" s="126">
        <v>316.75</v>
      </c>
      <c r="H7" s="39">
        <v>44445</v>
      </c>
      <c r="I7" s="41">
        <v>6200</v>
      </c>
      <c r="J7" s="130">
        <v>5.76</v>
      </c>
      <c r="K7" s="41">
        <f t="shared" ref="K7:K12" si="1">J7*I7</f>
        <v>35712</v>
      </c>
      <c r="L7" s="42" t="s">
        <v>651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44446</v>
      </c>
      <c r="D8" s="40" t="s">
        <v>8</v>
      </c>
      <c r="E8" s="40" t="s">
        <v>787</v>
      </c>
      <c r="F8" s="128">
        <v>403</v>
      </c>
      <c r="G8" s="126">
        <v>409.5</v>
      </c>
      <c r="H8" s="39">
        <v>44453</v>
      </c>
      <c r="I8" s="41">
        <v>5000</v>
      </c>
      <c r="J8" s="130">
        <f>409.5-403</f>
        <v>6.5</v>
      </c>
      <c r="K8" s="41">
        <f t="shared" si="1"/>
        <v>32500</v>
      </c>
      <c r="L8" s="42" t="s">
        <v>646</v>
      </c>
      <c r="M8" s="32"/>
      <c r="O8" s="231" t="s">
        <v>600</v>
      </c>
      <c r="P8" s="199">
        <f>COUNT(C42:C51)</f>
        <v>6</v>
      </c>
      <c r="Q8" s="200">
        <f>X52</f>
        <v>6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44453</v>
      </c>
      <c r="D9" s="40" t="s">
        <v>8</v>
      </c>
      <c r="E9" s="40" t="s">
        <v>786</v>
      </c>
      <c r="F9" s="126">
        <v>246</v>
      </c>
      <c r="G9" s="126">
        <v>258</v>
      </c>
      <c r="H9" s="39">
        <v>44454</v>
      </c>
      <c r="I9" s="41">
        <v>5600</v>
      </c>
      <c r="J9" s="130">
        <f>258-246</f>
        <v>12</v>
      </c>
      <c r="K9" s="41">
        <f t="shared" si="1"/>
        <v>67200</v>
      </c>
      <c r="L9" s="42" t="s">
        <v>647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44460</v>
      </c>
      <c r="D10" s="40" t="s">
        <v>8</v>
      </c>
      <c r="E10" s="40" t="s">
        <v>789</v>
      </c>
      <c r="F10" s="126">
        <v>1570</v>
      </c>
      <c r="G10" s="126">
        <v>1630</v>
      </c>
      <c r="H10" s="39">
        <v>44461</v>
      </c>
      <c r="I10" s="41">
        <v>1400</v>
      </c>
      <c r="J10" s="130">
        <f>1630-1570</f>
        <v>60</v>
      </c>
      <c r="K10" s="41">
        <f t="shared" si="1"/>
        <v>84000</v>
      </c>
      <c r="L10" s="42" t="s">
        <v>647</v>
      </c>
      <c r="M10" s="32"/>
      <c r="O10" s="171" t="s">
        <v>575</v>
      </c>
      <c r="P10" s="173">
        <f>SUM(P4:P9)</f>
        <v>18</v>
      </c>
      <c r="Q10" s="173">
        <f>SUM(Q4:Q9)</f>
        <v>17</v>
      </c>
      <c r="R10" s="173">
        <f>SUM(R4:R9)</f>
        <v>1</v>
      </c>
      <c r="S10" s="193">
        <f>SUM(S4:S9)</f>
        <v>0</v>
      </c>
      <c r="T10" s="195">
        <f t="shared" si="5"/>
        <v>0.94444444444444442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44463</v>
      </c>
      <c r="D11" s="40" t="s">
        <v>8</v>
      </c>
      <c r="E11" s="40" t="s">
        <v>786</v>
      </c>
      <c r="F11" s="126">
        <v>293</v>
      </c>
      <c r="G11" s="126">
        <v>306</v>
      </c>
      <c r="H11" s="39">
        <v>44463</v>
      </c>
      <c r="I11" s="41">
        <v>5600</v>
      </c>
      <c r="J11" s="85">
        <f>306-293</f>
        <v>13</v>
      </c>
      <c r="K11" s="41">
        <f t="shared" si="1"/>
        <v>72800</v>
      </c>
      <c r="L11" s="42" t="s">
        <v>647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44466</v>
      </c>
      <c r="D12" s="40" t="s">
        <v>8</v>
      </c>
      <c r="E12" s="40" t="s">
        <v>793</v>
      </c>
      <c r="F12" s="126">
        <v>2400</v>
      </c>
      <c r="G12" s="126">
        <v>2420</v>
      </c>
      <c r="H12" s="39">
        <v>44466</v>
      </c>
      <c r="I12" s="41">
        <v>450</v>
      </c>
      <c r="J12" s="85">
        <v>20</v>
      </c>
      <c r="K12" s="41">
        <f t="shared" si="1"/>
        <v>9000</v>
      </c>
      <c r="L12" s="42" t="s">
        <v>646</v>
      </c>
      <c r="M12" s="32"/>
      <c r="O12" s="175" t="s">
        <v>576</v>
      </c>
      <c r="P12" s="176"/>
      <c r="Q12" s="177"/>
      <c r="R12" s="184">
        <f>T10</f>
        <v>0.94444444444444442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346012</v>
      </c>
      <c r="L16" s="86"/>
      <c r="M16" s="32"/>
      <c r="X16" s="29">
        <f>SUM(X6:X15)</f>
        <v>7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44440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44442</v>
      </c>
      <c r="D24" s="40" t="s">
        <v>8</v>
      </c>
      <c r="E24" s="35" t="s">
        <v>30</v>
      </c>
      <c r="F24" s="36">
        <v>17250</v>
      </c>
      <c r="G24" s="36">
        <v>17450</v>
      </c>
      <c r="H24" s="39">
        <v>44445</v>
      </c>
      <c r="I24" s="36">
        <v>250</v>
      </c>
      <c r="J24" s="41">
        <v>200</v>
      </c>
      <c r="K24" s="41">
        <f>J24*I24</f>
        <v>50000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44453</v>
      </c>
      <c r="D25" s="40" t="s">
        <v>8</v>
      </c>
      <c r="E25" s="40" t="s">
        <v>30</v>
      </c>
      <c r="F25" s="41">
        <v>17380</v>
      </c>
      <c r="G25" s="41">
        <v>17580</v>
      </c>
      <c r="H25" s="39">
        <v>44454</v>
      </c>
      <c r="I25" s="41">
        <v>250</v>
      </c>
      <c r="J25" s="115">
        <v>200</v>
      </c>
      <c r="K25" s="41">
        <f t="shared" ref="K25:K29" si="8">J25*I25</f>
        <v>50000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44459</v>
      </c>
      <c r="D26" s="40" t="s">
        <v>8</v>
      </c>
      <c r="E26" s="40" t="s">
        <v>30</v>
      </c>
      <c r="F26" s="41">
        <v>17500</v>
      </c>
      <c r="G26" s="41">
        <v>17400</v>
      </c>
      <c r="H26" s="39">
        <v>44460</v>
      </c>
      <c r="I26" s="41">
        <v>250</v>
      </c>
      <c r="J26" s="85">
        <v>-100</v>
      </c>
      <c r="K26" s="41">
        <f t="shared" si="8"/>
        <v>-25000</v>
      </c>
      <c r="L26" s="42" t="s">
        <v>197</v>
      </c>
      <c r="M26" s="32"/>
      <c r="X26" s="29">
        <f t="shared" si="6"/>
        <v>0</v>
      </c>
      <c r="Y26" s="29">
        <f t="shared" si="7"/>
        <v>1</v>
      </c>
    </row>
    <row r="27" spans="1:25" x14ac:dyDescent="0.3">
      <c r="A27" s="31"/>
      <c r="B27" s="38">
        <f t="shared" si="9"/>
        <v>4</v>
      </c>
      <c r="C27" s="39">
        <v>44460</v>
      </c>
      <c r="D27" s="40" t="s">
        <v>8</v>
      </c>
      <c r="E27" s="40" t="s">
        <v>30</v>
      </c>
      <c r="F27" s="41">
        <v>17350</v>
      </c>
      <c r="G27" s="41">
        <v>17550</v>
      </c>
      <c r="H27" s="39">
        <v>44460</v>
      </c>
      <c r="I27" s="41">
        <v>250</v>
      </c>
      <c r="J27" s="85">
        <v>200</v>
      </c>
      <c r="K27" s="41">
        <f t="shared" si="8"/>
        <v>50000</v>
      </c>
      <c r="L27" s="42" t="s">
        <v>647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44463</v>
      </c>
      <c r="D28" s="40" t="s">
        <v>8</v>
      </c>
      <c r="E28" s="40" t="s">
        <v>30</v>
      </c>
      <c r="F28" s="41">
        <v>17830</v>
      </c>
      <c r="G28" s="41">
        <v>18030</v>
      </c>
      <c r="H28" s="39">
        <v>44466</v>
      </c>
      <c r="I28" s="41">
        <v>250</v>
      </c>
      <c r="J28" s="85">
        <f>18030-17830</f>
        <v>200</v>
      </c>
      <c r="K28" s="41">
        <f t="shared" si="8"/>
        <v>50000</v>
      </c>
      <c r="L28" s="42" t="s">
        <v>647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175000</v>
      </c>
      <c r="L34" s="86"/>
      <c r="M34" s="32"/>
      <c r="X34" s="29">
        <f>SUM(X24:X33)</f>
        <v>4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44440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131" t="s">
        <v>1</v>
      </c>
      <c r="D41" s="132" t="s">
        <v>601</v>
      </c>
      <c r="E41" s="132" t="s">
        <v>3</v>
      </c>
      <c r="F41" s="116" t="s">
        <v>4</v>
      </c>
      <c r="G41" s="116" t="s">
        <v>5</v>
      </c>
      <c r="H41" s="116" t="s">
        <v>528</v>
      </c>
      <c r="I41" s="116" t="s">
        <v>6</v>
      </c>
      <c r="J41" s="114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9">
        <v>44440</v>
      </c>
      <c r="D42" s="40" t="s">
        <v>8</v>
      </c>
      <c r="E42" s="40" t="s">
        <v>791</v>
      </c>
      <c r="F42" s="126">
        <v>50</v>
      </c>
      <c r="G42" s="126">
        <v>70</v>
      </c>
      <c r="H42" s="39">
        <v>44441</v>
      </c>
      <c r="I42" s="41">
        <v>2000</v>
      </c>
      <c r="J42" s="126">
        <v>20</v>
      </c>
      <c r="K42" s="41">
        <f>J42*I42</f>
        <v>40000</v>
      </c>
      <c r="L42" s="37" t="s">
        <v>642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39">
        <v>44445</v>
      </c>
      <c r="D43" s="40" t="s">
        <v>8</v>
      </c>
      <c r="E43" s="40" t="s">
        <v>785</v>
      </c>
      <c r="F43" s="126">
        <v>40</v>
      </c>
      <c r="G43" s="126">
        <v>59</v>
      </c>
      <c r="H43" s="39">
        <v>44445</v>
      </c>
      <c r="I43" s="41">
        <v>1300</v>
      </c>
      <c r="J43" s="126">
        <v>19</v>
      </c>
      <c r="K43" s="41">
        <f t="shared" ref="K43:K49" si="12">J43*I43</f>
        <v>24700</v>
      </c>
      <c r="L43" s="124" t="s">
        <v>642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44447</v>
      </c>
      <c r="D44" s="40" t="s">
        <v>8</v>
      </c>
      <c r="E44" s="40" t="s">
        <v>788</v>
      </c>
      <c r="F44" s="126">
        <v>9</v>
      </c>
      <c r="G44" s="126">
        <v>17</v>
      </c>
      <c r="H44" s="39">
        <v>44454</v>
      </c>
      <c r="I44" s="41">
        <v>6000</v>
      </c>
      <c r="J44" s="126">
        <f>17-9</f>
        <v>8</v>
      </c>
      <c r="K44" s="41">
        <f t="shared" si="12"/>
        <v>48000</v>
      </c>
      <c r="L44" s="42" t="s">
        <v>647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44460</v>
      </c>
      <c r="D45" s="40" t="s">
        <v>8</v>
      </c>
      <c r="E45" s="40" t="s">
        <v>790</v>
      </c>
      <c r="F45" s="126">
        <v>55</v>
      </c>
      <c r="G45" s="126">
        <v>95</v>
      </c>
      <c r="H45" s="39">
        <v>44461</v>
      </c>
      <c r="I45" s="41">
        <v>814</v>
      </c>
      <c r="J45" s="126">
        <f>95-55</f>
        <v>40</v>
      </c>
      <c r="K45" s="41">
        <f t="shared" si="12"/>
        <v>32560</v>
      </c>
      <c r="L45" s="42" t="s">
        <v>647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>
        <v>44463</v>
      </c>
      <c r="D46" s="40" t="s">
        <v>8</v>
      </c>
      <c r="E46" s="40" t="s">
        <v>792</v>
      </c>
      <c r="F46" s="126">
        <v>90</v>
      </c>
      <c r="G46" s="126">
        <v>107</v>
      </c>
      <c r="H46" s="39">
        <v>44463</v>
      </c>
      <c r="I46" s="41">
        <v>800</v>
      </c>
      <c r="J46" s="126">
        <f>107-90</f>
        <v>17</v>
      </c>
      <c r="K46" s="41">
        <f t="shared" si="12"/>
        <v>13600</v>
      </c>
      <c r="L46" s="42" t="s">
        <v>646</v>
      </c>
      <c r="M46" s="32"/>
      <c r="X46" s="29">
        <f t="shared" si="10"/>
        <v>1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>
        <v>44466</v>
      </c>
      <c r="D47" s="40" t="s">
        <v>8</v>
      </c>
      <c r="E47" s="40" t="s">
        <v>794</v>
      </c>
      <c r="F47" s="126">
        <v>55</v>
      </c>
      <c r="G47" s="126">
        <v>67</v>
      </c>
      <c r="H47" s="39">
        <v>44466</v>
      </c>
      <c r="I47" s="41">
        <v>1300</v>
      </c>
      <c r="J47" s="126">
        <f>67-55</f>
        <v>12</v>
      </c>
      <c r="K47" s="41">
        <f t="shared" si="12"/>
        <v>15600</v>
      </c>
      <c r="L47" s="42" t="s">
        <v>646</v>
      </c>
      <c r="M47" s="32"/>
      <c r="X47" s="29">
        <f t="shared" si="10"/>
        <v>1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174460</v>
      </c>
      <c r="L52" s="86"/>
      <c r="M52" s="32"/>
      <c r="X52" s="29">
        <f>SUM(X42:X51)</f>
        <v>6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6600-000000000000}"/>
    <hyperlink ref="O1" location="'Home Page'!A1" display="Back" xr:uid="{00000000-0004-0000-6600-000001000000}"/>
    <hyperlink ref="B34" r:id="rId2" xr:uid="{00000000-0004-0000-6600-000002000000}"/>
    <hyperlink ref="B52" r:id="rId3" xr:uid="{00000000-0004-0000-6600-000003000000}"/>
    <hyperlink ref="O4:O5" location="'AUGUST 2021'!A1" display="PREMIUM STOCK FUTURE" xr:uid="{00000000-0004-0000-6600-000004000000}"/>
    <hyperlink ref="O6:O7" location="'AUGUST 2021'!A1" display="PREMIUM NIFTY FUTURE" xr:uid="{00000000-0004-0000-6600-000005000000}"/>
    <hyperlink ref="O8:O9" location="'AUGUST 2021'!A1" display="PREMIUM OPTOIN" xr:uid="{00000000-0004-0000-6600-000006000000}"/>
  </hyperlinks>
  <pageMargins left="0" right="0" top="0" bottom="0" header="0" footer="0"/>
  <pageSetup paperSize="9" orientation="portrait" r:id="rId4"/>
  <drawing r:id="rId5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04"/>
  <dimension ref="A1:Y53"/>
  <sheetViews>
    <sheetView workbookViewId="0">
      <selection activeCell="O16" sqref="O16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44470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8</v>
      </c>
      <c r="Q4" s="208">
        <f>X16</f>
        <v>6</v>
      </c>
      <c r="R4" s="208">
        <f>Y16</f>
        <v>2</v>
      </c>
      <c r="S4" s="209">
        <f>P4-Q4-R4</f>
        <v>0</v>
      </c>
      <c r="T4" s="195">
        <f>Q4/P4</f>
        <v>0.75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44473</v>
      </c>
      <c r="D6" s="35" t="s">
        <v>8</v>
      </c>
      <c r="E6" s="35" t="s">
        <v>786</v>
      </c>
      <c r="F6" s="126">
        <v>304</v>
      </c>
      <c r="G6" s="127">
        <v>324</v>
      </c>
      <c r="H6" s="34">
        <v>44476</v>
      </c>
      <c r="I6" s="36">
        <v>5600</v>
      </c>
      <c r="J6" s="129">
        <f>324-304</f>
        <v>20</v>
      </c>
      <c r="K6" s="41">
        <f>J6*I6</f>
        <v>112000</v>
      </c>
      <c r="L6" s="37" t="s">
        <v>647</v>
      </c>
      <c r="M6" s="32"/>
      <c r="O6" s="231" t="s">
        <v>599</v>
      </c>
      <c r="P6" s="199">
        <f>COUNT(C24:C33)</f>
        <v>6</v>
      </c>
      <c r="Q6" s="200">
        <f>X34</f>
        <v>4</v>
      </c>
      <c r="R6" s="200">
        <f>Y34</f>
        <v>2</v>
      </c>
      <c r="S6" s="201">
        <v>0</v>
      </c>
      <c r="T6" s="197">
        <f t="shared" ref="T6" si="0">Q6/P6</f>
        <v>0.66666666666666663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44475</v>
      </c>
      <c r="D7" s="40" t="s">
        <v>8</v>
      </c>
      <c r="E7" s="40" t="s">
        <v>795</v>
      </c>
      <c r="F7" s="126">
        <v>1024</v>
      </c>
      <c r="G7" s="126">
        <v>1044</v>
      </c>
      <c r="H7" s="39">
        <v>44475</v>
      </c>
      <c r="I7" s="41">
        <v>1300</v>
      </c>
      <c r="J7" s="130">
        <v>20</v>
      </c>
      <c r="K7" s="41">
        <f t="shared" ref="K7:K12" si="1">J7*I7</f>
        <v>26000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44480</v>
      </c>
      <c r="D8" s="40" t="s">
        <v>8</v>
      </c>
      <c r="E8" s="40" t="s">
        <v>796</v>
      </c>
      <c r="F8" s="128">
        <v>2750</v>
      </c>
      <c r="G8" s="126">
        <v>2850</v>
      </c>
      <c r="H8" s="39">
        <v>44482</v>
      </c>
      <c r="I8" s="41">
        <v>550</v>
      </c>
      <c r="J8" s="130">
        <f>2850-2750</f>
        <v>100</v>
      </c>
      <c r="K8" s="41">
        <f t="shared" si="1"/>
        <v>55000</v>
      </c>
      <c r="L8" s="42" t="s">
        <v>651</v>
      </c>
      <c r="M8" s="32"/>
      <c r="O8" s="231" t="s">
        <v>600</v>
      </c>
      <c r="P8" s="199">
        <f>COUNT(C42:C51)</f>
        <v>7</v>
      </c>
      <c r="Q8" s="200">
        <f>X52</f>
        <v>7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44483</v>
      </c>
      <c r="D9" s="40" t="s">
        <v>8</v>
      </c>
      <c r="E9" s="40" t="s">
        <v>28</v>
      </c>
      <c r="F9" s="126">
        <v>715</v>
      </c>
      <c r="G9" s="126">
        <v>745</v>
      </c>
      <c r="H9" s="39">
        <v>44487</v>
      </c>
      <c r="I9" s="41">
        <v>2750</v>
      </c>
      <c r="J9" s="130">
        <f>745-715</f>
        <v>30</v>
      </c>
      <c r="K9" s="41">
        <f t="shared" si="1"/>
        <v>82500</v>
      </c>
      <c r="L9" s="42" t="s">
        <v>651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44487</v>
      </c>
      <c r="D10" s="40" t="s">
        <v>8</v>
      </c>
      <c r="E10" s="40" t="s">
        <v>797</v>
      </c>
      <c r="F10" s="126">
        <v>1040</v>
      </c>
      <c r="G10" s="126">
        <v>1010</v>
      </c>
      <c r="H10" s="39">
        <v>44488</v>
      </c>
      <c r="I10" s="41">
        <v>1000</v>
      </c>
      <c r="J10" s="130">
        <v>-30</v>
      </c>
      <c r="K10" s="41">
        <f t="shared" si="1"/>
        <v>-30000</v>
      </c>
      <c r="L10" s="42" t="s">
        <v>197</v>
      </c>
      <c r="M10" s="32"/>
      <c r="O10" s="171" t="s">
        <v>575</v>
      </c>
      <c r="P10" s="173">
        <f>SUM(P4:P9)</f>
        <v>21</v>
      </c>
      <c r="Q10" s="173">
        <f>SUM(Q4:Q9)</f>
        <v>17</v>
      </c>
      <c r="R10" s="173">
        <f>SUM(R4:R9)</f>
        <v>4</v>
      </c>
      <c r="S10" s="193">
        <f>SUM(S4:S9)</f>
        <v>0</v>
      </c>
      <c r="T10" s="195">
        <f t="shared" si="5"/>
        <v>0.80952380952380953</v>
      </c>
      <c r="X10" s="29">
        <f t="shared" si="2"/>
        <v>0</v>
      </c>
      <c r="Y10" s="29">
        <f t="shared" si="3"/>
        <v>1</v>
      </c>
    </row>
    <row r="11" spans="1:25" ht="15" thickBot="1" x14ac:dyDescent="0.35">
      <c r="A11" s="31"/>
      <c r="B11" s="38">
        <f t="shared" si="4"/>
        <v>6</v>
      </c>
      <c r="C11" s="39">
        <v>44488</v>
      </c>
      <c r="D11" s="40" t="s">
        <v>8</v>
      </c>
      <c r="E11" s="40" t="s">
        <v>798</v>
      </c>
      <c r="F11" s="126">
        <v>1135</v>
      </c>
      <c r="G11" s="126">
        <v>1115</v>
      </c>
      <c r="H11" s="39">
        <v>44488</v>
      </c>
      <c r="I11" s="41">
        <v>1450</v>
      </c>
      <c r="J11" s="85">
        <v>-20</v>
      </c>
      <c r="K11" s="41">
        <f t="shared" si="1"/>
        <v>-29000</v>
      </c>
      <c r="L11" s="42" t="s">
        <v>197</v>
      </c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1</v>
      </c>
    </row>
    <row r="12" spans="1:25" ht="15" customHeight="1" x14ac:dyDescent="0.3">
      <c r="A12" s="31"/>
      <c r="B12" s="38">
        <f>B11+1</f>
        <v>7</v>
      </c>
      <c r="C12" s="39">
        <v>44489</v>
      </c>
      <c r="D12" s="40" t="s">
        <v>8</v>
      </c>
      <c r="E12" s="40" t="s">
        <v>799</v>
      </c>
      <c r="F12" s="126">
        <v>1935</v>
      </c>
      <c r="G12" s="126">
        <v>1954</v>
      </c>
      <c r="H12" s="39">
        <v>44490</v>
      </c>
      <c r="I12" s="41">
        <v>600</v>
      </c>
      <c r="J12" s="85">
        <v>19</v>
      </c>
      <c r="K12" s="41">
        <f t="shared" si="1"/>
        <v>11400</v>
      </c>
      <c r="L12" s="42" t="s">
        <v>646</v>
      </c>
      <c r="M12" s="32"/>
      <c r="O12" s="175" t="s">
        <v>576</v>
      </c>
      <c r="P12" s="176"/>
      <c r="Q12" s="177"/>
      <c r="R12" s="184">
        <f>T10</f>
        <v>0.80952380952380953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>
        <v>44495</v>
      </c>
      <c r="D13" s="40" t="s">
        <v>8</v>
      </c>
      <c r="E13" s="40" t="s">
        <v>807</v>
      </c>
      <c r="F13" s="126">
        <v>730</v>
      </c>
      <c r="G13" s="126">
        <v>761</v>
      </c>
      <c r="H13" s="39">
        <v>44496</v>
      </c>
      <c r="I13" s="41">
        <v>2200</v>
      </c>
      <c r="J13" s="85">
        <v>31</v>
      </c>
      <c r="K13" s="41">
        <v>68200</v>
      </c>
      <c r="L13" s="42" t="s">
        <v>651</v>
      </c>
      <c r="M13" s="32"/>
      <c r="O13" s="178"/>
      <c r="P13" s="179"/>
      <c r="Q13" s="180"/>
      <c r="R13" s="187"/>
      <c r="S13" s="188"/>
      <c r="T13" s="189"/>
      <c r="X13" s="29">
        <f t="shared" si="2"/>
        <v>1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296100</v>
      </c>
      <c r="L16" s="86"/>
      <c r="M16" s="32"/>
      <c r="X16" s="29">
        <f>SUM(X6:X15)</f>
        <v>6</v>
      </c>
      <c r="Y16" s="29">
        <f>SUM(Y6:Y15)</f>
        <v>2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44470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44473</v>
      </c>
      <c r="D24" s="40" t="s">
        <v>8</v>
      </c>
      <c r="E24" s="35" t="s">
        <v>30</v>
      </c>
      <c r="F24" s="36">
        <v>17690</v>
      </c>
      <c r="G24" s="36">
        <v>17825</v>
      </c>
      <c r="H24" s="39">
        <v>44474</v>
      </c>
      <c r="I24" s="36">
        <v>250</v>
      </c>
      <c r="J24" s="41">
        <f>17825-17690</f>
        <v>135</v>
      </c>
      <c r="K24" s="41">
        <f>J24*I24</f>
        <v>33750</v>
      </c>
      <c r="L24" s="37" t="s">
        <v>651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44475</v>
      </c>
      <c r="D25" s="40" t="s">
        <v>8</v>
      </c>
      <c r="E25" s="40" t="s">
        <v>30</v>
      </c>
      <c r="F25" s="41">
        <v>17730</v>
      </c>
      <c r="G25" s="41">
        <v>17630</v>
      </c>
      <c r="H25" s="39">
        <v>44475</v>
      </c>
      <c r="I25" s="41">
        <v>250</v>
      </c>
      <c r="J25" s="41">
        <v>-100</v>
      </c>
      <c r="K25" s="41">
        <f t="shared" ref="K25:K29" si="8">J25*I25</f>
        <v>-25000</v>
      </c>
      <c r="L25" s="42" t="s">
        <v>197</v>
      </c>
      <c r="M25" s="32"/>
      <c r="X25" s="29">
        <f t="shared" si="6"/>
        <v>0</v>
      </c>
      <c r="Y25" s="29">
        <f t="shared" si="7"/>
        <v>1</v>
      </c>
    </row>
    <row r="26" spans="1:25" x14ac:dyDescent="0.3">
      <c r="A26" s="31"/>
      <c r="B26" s="38">
        <f t="shared" ref="B26:B33" si="9">B25+1</f>
        <v>3</v>
      </c>
      <c r="C26" s="39">
        <v>44475</v>
      </c>
      <c r="D26" s="40" t="s">
        <v>8</v>
      </c>
      <c r="E26" s="40" t="s">
        <v>619</v>
      </c>
      <c r="F26" s="41">
        <v>37900</v>
      </c>
      <c r="G26" s="41">
        <v>38200</v>
      </c>
      <c r="H26" s="39">
        <v>44477</v>
      </c>
      <c r="I26" s="41">
        <v>250</v>
      </c>
      <c r="J26" s="85">
        <v>300</v>
      </c>
      <c r="K26" s="41">
        <f t="shared" si="8"/>
        <v>75000</v>
      </c>
      <c r="L26" s="42" t="s">
        <v>651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44488</v>
      </c>
      <c r="D27" s="40" t="s">
        <v>8</v>
      </c>
      <c r="E27" s="40" t="s">
        <v>30</v>
      </c>
      <c r="F27" s="41">
        <v>18500</v>
      </c>
      <c r="G27" s="41">
        <v>18400</v>
      </c>
      <c r="H27" s="39">
        <v>44488</v>
      </c>
      <c r="I27" s="41">
        <v>250</v>
      </c>
      <c r="J27" s="85">
        <v>-100</v>
      </c>
      <c r="K27" s="41">
        <f t="shared" si="8"/>
        <v>-25000</v>
      </c>
      <c r="L27" s="42" t="s">
        <v>197</v>
      </c>
      <c r="M27" s="32"/>
      <c r="X27" s="29">
        <f t="shared" si="6"/>
        <v>0</v>
      </c>
      <c r="Y27" s="29">
        <f t="shared" si="7"/>
        <v>1</v>
      </c>
    </row>
    <row r="28" spans="1:25" x14ac:dyDescent="0.3">
      <c r="A28" s="31"/>
      <c r="B28" s="38">
        <f t="shared" si="9"/>
        <v>5</v>
      </c>
      <c r="C28" s="39">
        <v>44489</v>
      </c>
      <c r="D28" s="40" t="s">
        <v>8</v>
      </c>
      <c r="E28" s="40" t="s">
        <v>30</v>
      </c>
      <c r="F28" s="41">
        <v>18280</v>
      </c>
      <c r="G28" s="41">
        <v>18366</v>
      </c>
      <c r="H28" s="39">
        <v>44490</v>
      </c>
      <c r="I28" s="41">
        <v>250</v>
      </c>
      <c r="J28" s="85">
        <f>18366-18280</f>
        <v>86</v>
      </c>
      <c r="K28" s="41">
        <f t="shared" si="8"/>
        <v>21500</v>
      </c>
      <c r="L28" s="42" t="s">
        <v>646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44491</v>
      </c>
      <c r="D29" s="40" t="s">
        <v>8</v>
      </c>
      <c r="E29" s="40" t="s">
        <v>30</v>
      </c>
      <c r="F29" s="41">
        <v>18100</v>
      </c>
      <c r="G29" s="41">
        <v>18200</v>
      </c>
      <c r="H29" s="39">
        <v>44494</v>
      </c>
      <c r="I29" s="41">
        <v>250</v>
      </c>
      <c r="J29" s="85">
        <v>100</v>
      </c>
      <c r="K29" s="41">
        <f t="shared" si="8"/>
        <v>25000</v>
      </c>
      <c r="L29" s="42" t="s">
        <v>642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105250</v>
      </c>
      <c r="L34" s="86"/>
      <c r="M34" s="32"/>
      <c r="X34" s="29">
        <f>SUM(X24:X33)</f>
        <v>4</v>
      </c>
      <c r="Y34" s="29">
        <f>SUM(Y24:Y33)</f>
        <v>2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44470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131" t="s">
        <v>1</v>
      </c>
      <c r="D41" s="132" t="s">
        <v>601</v>
      </c>
      <c r="E41" s="132" t="s">
        <v>3</v>
      </c>
      <c r="F41" s="116" t="s">
        <v>4</v>
      </c>
      <c r="G41" s="116" t="s">
        <v>5</v>
      </c>
      <c r="H41" s="116" t="s">
        <v>528</v>
      </c>
      <c r="I41" s="116" t="s">
        <v>6</v>
      </c>
      <c r="J41" s="114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9">
        <v>44473</v>
      </c>
      <c r="D42" s="40" t="s">
        <v>8</v>
      </c>
      <c r="E42" s="40" t="s">
        <v>800</v>
      </c>
      <c r="F42" s="126">
        <v>65</v>
      </c>
      <c r="G42" s="126">
        <v>95</v>
      </c>
      <c r="H42" s="39">
        <v>44474</v>
      </c>
      <c r="I42" s="41">
        <v>750</v>
      </c>
      <c r="J42" s="126">
        <v>30</v>
      </c>
      <c r="K42" s="41">
        <f>J42*I42</f>
        <v>22500</v>
      </c>
      <c r="L42" s="37" t="s">
        <v>651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39">
        <v>44475</v>
      </c>
      <c r="D43" s="40" t="s">
        <v>8</v>
      </c>
      <c r="E43" s="40" t="s">
        <v>801</v>
      </c>
      <c r="F43" s="126">
        <v>14</v>
      </c>
      <c r="G43" s="126">
        <v>17</v>
      </c>
      <c r="H43" s="39">
        <v>44477</v>
      </c>
      <c r="I43" s="41">
        <v>4300</v>
      </c>
      <c r="J43" s="126">
        <v>3</v>
      </c>
      <c r="K43" s="41">
        <f t="shared" ref="K43:K49" si="12">J43*I43</f>
        <v>12900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44477</v>
      </c>
      <c r="D44" s="40" t="s">
        <v>8</v>
      </c>
      <c r="E44" s="40" t="s">
        <v>802</v>
      </c>
      <c r="F44" s="126">
        <v>90</v>
      </c>
      <c r="G44" s="126">
        <v>150</v>
      </c>
      <c r="H44" s="39">
        <v>44480</v>
      </c>
      <c r="I44" s="41">
        <v>700</v>
      </c>
      <c r="J44" s="126">
        <v>60</v>
      </c>
      <c r="K44" s="41">
        <f t="shared" si="12"/>
        <v>42000</v>
      </c>
      <c r="L44" s="42" t="s">
        <v>647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44480</v>
      </c>
      <c r="D45" s="40" t="s">
        <v>8</v>
      </c>
      <c r="E45" s="40" t="s">
        <v>803</v>
      </c>
      <c r="F45" s="126">
        <v>240</v>
      </c>
      <c r="G45" s="126">
        <v>440</v>
      </c>
      <c r="H45" s="39">
        <v>44483</v>
      </c>
      <c r="I45" s="41">
        <v>250</v>
      </c>
      <c r="J45" s="126">
        <v>200</v>
      </c>
      <c r="K45" s="41">
        <f t="shared" si="12"/>
        <v>50000</v>
      </c>
      <c r="L45" s="42" t="s">
        <v>647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>
        <v>44483</v>
      </c>
      <c r="D46" s="40" t="s">
        <v>8</v>
      </c>
      <c r="E46" s="40" t="s">
        <v>804</v>
      </c>
      <c r="F46" s="126">
        <v>15</v>
      </c>
      <c r="G46" s="126">
        <v>19</v>
      </c>
      <c r="H46" s="39">
        <v>44488</v>
      </c>
      <c r="I46" s="41">
        <v>5600</v>
      </c>
      <c r="J46" s="126">
        <v>4</v>
      </c>
      <c r="K46" s="41">
        <f t="shared" si="12"/>
        <v>22400</v>
      </c>
      <c r="L46" s="42" t="s">
        <v>646</v>
      </c>
      <c r="M46" s="32"/>
      <c r="X46" s="29">
        <f t="shared" si="10"/>
        <v>1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>
        <v>44489</v>
      </c>
      <c r="D47" s="40" t="s">
        <v>8</v>
      </c>
      <c r="E47" s="40" t="s">
        <v>805</v>
      </c>
      <c r="F47" s="126">
        <v>40</v>
      </c>
      <c r="G47" s="126">
        <v>70</v>
      </c>
      <c r="H47" s="39">
        <v>44491</v>
      </c>
      <c r="I47" s="41">
        <v>2500</v>
      </c>
      <c r="J47" s="126">
        <v>30</v>
      </c>
      <c r="K47" s="41">
        <f t="shared" si="12"/>
        <v>75000</v>
      </c>
      <c r="L47" s="42" t="s">
        <v>647</v>
      </c>
      <c r="M47" s="32"/>
      <c r="X47" s="29">
        <f t="shared" si="10"/>
        <v>1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>
        <v>44491</v>
      </c>
      <c r="D48" s="40" t="s">
        <v>8</v>
      </c>
      <c r="E48" s="40" t="s">
        <v>806</v>
      </c>
      <c r="F48" s="126">
        <v>9</v>
      </c>
      <c r="G48" s="126">
        <v>12.4</v>
      </c>
      <c r="H48" s="39">
        <v>44491</v>
      </c>
      <c r="I48" s="41">
        <v>5600</v>
      </c>
      <c r="J48" s="130">
        <v>3.4</v>
      </c>
      <c r="K48" s="41">
        <f t="shared" si="12"/>
        <v>19040</v>
      </c>
      <c r="L48" s="42" t="s">
        <v>646</v>
      </c>
      <c r="M48" s="32"/>
      <c r="X48" s="29">
        <f t="shared" si="10"/>
        <v>1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243840</v>
      </c>
      <c r="L52" s="86"/>
      <c r="M52" s="32"/>
      <c r="X52" s="29">
        <f>SUM(X42:X51)</f>
        <v>7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6700-000000000000}"/>
    <hyperlink ref="O1" location="'Home Page'!A1" display="Back" xr:uid="{00000000-0004-0000-6700-000001000000}"/>
    <hyperlink ref="B34" r:id="rId2" xr:uid="{00000000-0004-0000-6700-000002000000}"/>
    <hyperlink ref="B52" r:id="rId3" xr:uid="{00000000-0004-0000-6700-000003000000}"/>
    <hyperlink ref="O4:O5" location="'AUGUST 2021'!A1" display="PREMIUM STOCK FUTURE" xr:uid="{00000000-0004-0000-6700-000004000000}"/>
    <hyperlink ref="O6:O7" location="'AUGUST 2021'!A1" display="PREMIUM NIFTY FUTURE" xr:uid="{00000000-0004-0000-6700-000005000000}"/>
    <hyperlink ref="O8:O9" location="'AUGUST 2021'!A1" display="PREMIUM OPTOIN" xr:uid="{00000000-0004-0000-6700-000006000000}"/>
  </hyperlinks>
  <pageMargins left="0" right="0" top="0" bottom="0" header="0" footer="0"/>
  <pageSetup paperSize="9" orientation="portrait" r:id="rId4"/>
  <drawing r:id="rId5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05"/>
  <dimension ref="A1:Y53"/>
  <sheetViews>
    <sheetView topLeftCell="A16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44501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6</v>
      </c>
      <c r="Q4" s="208">
        <f>X16</f>
        <v>6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44509</v>
      </c>
      <c r="D6" s="35" t="s">
        <v>8</v>
      </c>
      <c r="E6" s="35" t="s">
        <v>410</v>
      </c>
      <c r="F6" s="126">
        <v>2545</v>
      </c>
      <c r="G6" s="127">
        <v>2570</v>
      </c>
      <c r="H6" s="34">
        <v>44510</v>
      </c>
      <c r="I6" s="36">
        <v>500</v>
      </c>
      <c r="J6" s="129">
        <f>2570-2545</f>
        <v>25</v>
      </c>
      <c r="K6" s="41">
        <f>J6*I6</f>
        <v>12500</v>
      </c>
      <c r="L6" s="37" t="s">
        <v>646</v>
      </c>
      <c r="M6" s="32"/>
      <c r="O6" s="231" t="s">
        <v>599</v>
      </c>
      <c r="P6" s="199">
        <f>COUNT(C24:C33)</f>
        <v>7</v>
      </c>
      <c r="Q6" s="200">
        <f>X34</f>
        <v>6</v>
      </c>
      <c r="R6" s="200">
        <f>Y34</f>
        <v>1</v>
      </c>
      <c r="S6" s="201">
        <v>0</v>
      </c>
      <c r="T6" s="197">
        <f t="shared" ref="T6" si="0">Q6/P6</f>
        <v>0.8571428571428571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44510</v>
      </c>
      <c r="D7" s="40" t="s">
        <v>8</v>
      </c>
      <c r="E7" s="40" t="s">
        <v>810</v>
      </c>
      <c r="F7" s="126">
        <v>540</v>
      </c>
      <c r="G7" s="126">
        <v>552</v>
      </c>
      <c r="H7" s="39">
        <v>44511</v>
      </c>
      <c r="I7" s="41">
        <v>3000</v>
      </c>
      <c r="J7" s="130">
        <f>552-540</f>
        <v>12</v>
      </c>
      <c r="K7" s="41">
        <f t="shared" ref="K7:K12" si="1">J7*I7</f>
        <v>36000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44516</v>
      </c>
      <c r="D8" s="40" t="s">
        <v>8</v>
      </c>
      <c r="E8" s="40" t="s">
        <v>812</v>
      </c>
      <c r="F8" s="128">
        <v>5420</v>
      </c>
      <c r="G8" s="126">
        <v>5560</v>
      </c>
      <c r="H8" s="39">
        <v>44516</v>
      </c>
      <c r="I8" s="41">
        <v>250</v>
      </c>
      <c r="J8" s="130">
        <v>40</v>
      </c>
      <c r="K8" s="41">
        <f t="shared" si="1"/>
        <v>10000</v>
      </c>
      <c r="L8" s="42" t="s">
        <v>813</v>
      </c>
      <c r="M8" s="32"/>
      <c r="O8" s="231" t="s">
        <v>600</v>
      </c>
      <c r="P8" s="199">
        <f>COUNT(C42:C51)</f>
        <v>4</v>
      </c>
      <c r="Q8" s="200">
        <f>X52</f>
        <v>3</v>
      </c>
      <c r="R8" s="200">
        <f>Y52</f>
        <v>1</v>
      </c>
      <c r="S8" s="201">
        <v>0</v>
      </c>
      <c r="T8" s="197">
        <f t="shared" ref="T8:T10" si="5">Q8/P8</f>
        <v>0.75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44517</v>
      </c>
      <c r="D9" s="40" t="s">
        <v>8</v>
      </c>
      <c r="E9" s="40" t="s">
        <v>747</v>
      </c>
      <c r="F9" s="126">
        <v>664</v>
      </c>
      <c r="G9" s="126">
        <v>673</v>
      </c>
      <c r="H9" s="39">
        <v>44518</v>
      </c>
      <c r="I9" s="41">
        <v>2700</v>
      </c>
      <c r="J9" s="130">
        <f>673-664</f>
        <v>9</v>
      </c>
      <c r="K9" s="41">
        <f t="shared" si="1"/>
        <v>24300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44522</v>
      </c>
      <c r="D10" s="40" t="s">
        <v>8</v>
      </c>
      <c r="E10" s="40" t="s">
        <v>273</v>
      </c>
      <c r="F10" s="126">
        <v>610</v>
      </c>
      <c r="G10" s="126">
        <v>616</v>
      </c>
      <c r="H10" s="39">
        <v>44524</v>
      </c>
      <c r="I10" s="41">
        <v>2500</v>
      </c>
      <c r="J10" s="130">
        <v>6</v>
      </c>
      <c r="K10" s="41">
        <f t="shared" si="1"/>
        <v>15000</v>
      </c>
      <c r="L10" s="42" t="s">
        <v>646</v>
      </c>
      <c r="M10" s="32"/>
      <c r="O10" s="171" t="s">
        <v>575</v>
      </c>
      <c r="P10" s="173">
        <f>SUM(P4:P9)</f>
        <v>17</v>
      </c>
      <c r="Q10" s="173">
        <f>SUM(Q4:Q9)</f>
        <v>15</v>
      </c>
      <c r="R10" s="173">
        <f>SUM(R4:R9)</f>
        <v>2</v>
      </c>
      <c r="S10" s="193">
        <f>SUM(S4:S9)</f>
        <v>0</v>
      </c>
      <c r="T10" s="195">
        <f t="shared" si="5"/>
        <v>0.88235294117647056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44526</v>
      </c>
      <c r="D11" s="40" t="s">
        <v>8</v>
      </c>
      <c r="E11" s="40" t="s">
        <v>786</v>
      </c>
      <c r="F11" s="126">
        <v>280</v>
      </c>
      <c r="G11" s="126">
        <v>286.60000000000002</v>
      </c>
      <c r="H11" s="39">
        <v>44530</v>
      </c>
      <c r="I11" s="41">
        <v>2800</v>
      </c>
      <c r="J11" s="85">
        <v>6.6</v>
      </c>
      <c r="K11" s="41">
        <f t="shared" si="1"/>
        <v>18480</v>
      </c>
      <c r="L11" s="42" t="s">
        <v>646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0.88235294117647056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116280</v>
      </c>
      <c r="L16" s="86"/>
      <c r="M16" s="32"/>
      <c r="X16" s="29">
        <f>SUM(X6:X15)</f>
        <v>6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44501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44501</v>
      </c>
      <c r="D24" s="40" t="s">
        <v>8</v>
      </c>
      <c r="E24" s="35" t="s">
        <v>30</v>
      </c>
      <c r="F24" s="36">
        <v>17800</v>
      </c>
      <c r="G24" s="36">
        <v>18000</v>
      </c>
      <c r="H24" s="39">
        <v>44501</v>
      </c>
      <c r="I24" s="36">
        <v>250</v>
      </c>
      <c r="J24" s="41">
        <f>18000-17800</f>
        <v>200</v>
      </c>
      <c r="K24" s="41">
        <f>J24*I24</f>
        <v>50000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44509</v>
      </c>
      <c r="D25" s="40" t="s">
        <v>8</v>
      </c>
      <c r="E25" s="40" t="s">
        <v>30</v>
      </c>
      <c r="F25" s="41">
        <v>18060</v>
      </c>
      <c r="G25" s="41">
        <v>17960</v>
      </c>
      <c r="H25" s="39">
        <v>44510</v>
      </c>
      <c r="I25" s="41">
        <v>250</v>
      </c>
      <c r="J25" s="41">
        <v>-100</v>
      </c>
      <c r="K25" s="41">
        <f t="shared" ref="K25:K29" si="8">J25*I25</f>
        <v>-25000</v>
      </c>
      <c r="L25" s="42" t="s">
        <v>197</v>
      </c>
      <c r="M25" s="32"/>
      <c r="X25" s="29">
        <f t="shared" si="6"/>
        <v>0</v>
      </c>
      <c r="Y25" s="29">
        <f t="shared" si="7"/>
        <v>1</v>
      </c>
    </row>
    <row r="26" spans="1:25" x14ac:dyDescent="0.3">
      <c r="A26" s="31"/>
      <c r="B26" s="38">
        <f t="shared" ref="B26:B33" si="9">B25+1</f>
        <v>3</v>
      </c>
      <c r="C26" s="39">
        <v>44516</v>
      </c>
      <c r="D26" s="40" t="s">
        <v>8</v>
      </c>
      <c r="E26" s="40" t="s">
        <v>30</v>
      </c>
      <c r="F26" s="41">
        <v>18040</v>
      </c>
      <c r="G26" s="41">
        <v>18140</v>
      </c>
      <c r="H26" s="39">
        <v>44516</v>
      </c>
      <c r="I26" s="41">
        <v>250</v>
      </c>
      <c r="J26" s="85">
        <v>100</v>
      </c>
      <c r="K26" s="41">
        <f t="shared" si="8"/>
        <v>25000</v>
      </c>
      <c r="L26" s="42" t="s">
        <v>642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44517</v>
      </c>
      <c r="D27" s="40" t="s">
        <v>8</v>
      </c>
      <c r="E27" s="40" t="s">
        <v>30</v>
      </c>
      <c r="F27" s="41">
        <v>17960</v>
      </c>
      <c r="G27" s="41">
        <v>18020</v>
      </c>
      <c r="H27" s="39">
        <v>44517</v>
      </c>
      <c r="I27" s="41">
        <v>250</v>
      </c>
      <c r="J27" s="85">
        <f>18020-17960</f>
        <v>60</v>
      </c>
      <c r="K27" s="41">
        <f t="shared" si="8"/>
        <v>15000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44518</v>
      </c>
      <c r="D28" s="40" t="s">
        <v>8</v>
      </c>
      <c r="E28" s="40" t="s">
        <v>30</v>
      </c>
      <c r="F28" s="41">
        <v>17750</v>
      </c>
      <c r="G28" s="41">
        <v>17850</v>
      </c>
      <c r="H28" s="39">
        <v>44518</v>
      </c>
      <c r="I28" s="41">
        <v>250</v>
      </c>
      <c r="J28" s="85">
        <v>100</v>
      </c>
      <c r="K28" s="41">
        <f t="shared" si="8"/>
        <v>25000</v>
      </c>
      <c r="L28" s="42" t="s">
        <v>642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44522</v>
      </c>
      <c r="D29" s="40" t="s">
        <v>8</v>
      </c>
      <c r="E29" s="40" t="s">
        <v>30</v>
      </c>
      <c r="F29" s="41">
        <v>17480</v>
      </c>
      <c r="G29" s="41">
        <v>17530</v>
      </c>
      <c r="H29" s="39">
        <v>44522</v>
      </c>
      <c r="I29" s="41">
        <v>250</v>
      </c>
      <c r="J29" s="85">
        <f>17530-17480</f>
        <v>50</v>
      </c>
      <c r="K29" s="41">
        <f t="shared" si="8"/>
        <v>12500</v>
      </c>
      <c r="L29" s="42" t="s">
        <v>646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44530</v>
      </c>
      <c r="D30" s="40" t="s">
        <v>8</v>
      </c>
      <c r="E30" s="40" t="s">
        <v>30</v>
      </c>
      <c r="F30" s="41">
        <v>17100</v>
      </c>
      <c r="G30" s="41">
        <v>17199</v>
      </c>
      <c r="H30" s="39">
        <v>44530</v>
      </c>
      <c r="I30" s="41">
        <v>250</v>
      </c>
      <c r="J30" s="85">
        <v>99</v>
      </c>
      <c r="K30" s="41">
        <f>J30*I30</f>
        <v>24750</v>
      </c>
      <c r="L30" s="42" t="s">
        <v>646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127250</v>
      </c>
      <c r="L34" s="86"/>
      <c r="M34" s="32"/>
      <c r="X34" s="29">
        <f>SUM(X24:X33)</f>
        <v>6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44501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131" t="s">
        <v>1</v>
      </c>
      <c r="D41" s="132" t="s">
        <v>601</v>
      </c>
      <c r="E41" s="132" t="s">
        <v>3</v>
      </c>
      <c r="F41" s="116" t="s">
        <v>4</v>
      </c>
      <c r="G41" s="116" t="s">
        <v>5</v>
      </c>
      <c r="H41" s="116" t="s">
        <v>528</v>
      </c>
      <c r="I41" s="116" t="s">
        <v>6</v>
      </c>
      <c r="J41" s="114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9">
        <v>44509</v>
      </c>
      <c r="D42" s="40" t="s">
        <v>8</v>
      </c>
      <c r="E42" s="40" t="s">
        <v>808</v>
      </c>
      <c r="F42" s="126">
        <v>23</v>
      </c>
      <c r="G42" s="126">
        <v>28.65</v>
      </c>
      <c r="H42" s="39">
        <v>44509</v>
      </c>
      <c r="I42" s="41">
        <v>3126</v>
      </c>
      <c r="J42" s="126">
        <v>5.65</v>
      </c>
      <c r="K42" s="41">
        <f>J42*I42</f>
        <v>17661.900000000001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39">
        <v>44510</v>
      </c>
      <c r="D43" s="40" t="s">
        <v>8</v>
      </c>
      <c r="E43" s="40" t="s">
        <v>809</v>
      </c>
      <c r="F43" s="126">
        <v>21</v>
      </c>
      <c r="G43" s="126">
        <v>24.9</v>
      </c>
      <c r="H43" s="39">
        <v>44511</v>
      </c>
      <c r="I43" s="41">
        <v>2600</v>
      </c>
      <c r="J43" s="126">
        <v>3.9</v>
      </c>
      <c r="K43" s="41">
        <f t="shared" ref="K43:K49" si="12">J43*I43</f>
        <v>10140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44516</v>
      </c>
      <c r="D44" s="40" t="s">
        <v>8</v>
      </c>
      <c r="E44" s="40" t="s">
        <v>811</v>
      </c>
      <c r="F44" s="126">
        <v>130</v>
      </c>
      <c r="G44" s="126">
        <v>144</v>
      </c>
      <c r="H44" s="39">
        <v>44516</v>
      </c>
      <c r="I44" s="41">
        <v>250</v>
      </c>
      <c r="J44" s="126">
        <v>14</v>
      </c>
      <c r="K44" s="41">
        <f t="shared" si="12"/>
        <v>3500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44517</v>
      </c>
      <c r="D45" s="40" t="s">
        <v>8</v>
      </c>
      <c r="E45" s="40" t="s">
        <v>814</v>
      </c>
      <c r="F45" s="126">
        <v>160</v>
      </c>
      <c r="G45" s="126">
        <v>120</v>
      </c>
      <c r="H45" s="39">
        <v>44518</v>
      </c>
      <c r="I45" s="41">
        <v>200</v>
      </c>
      <c r="J45" s="126">
        <v>-40</v>
      </c>
      <c r="K45" s="41">
        <f t="shared" si="12"/>
        <v>-8000</v>
      </c>
      <c r="L45" s="42" t="s">
        <v>197</v>
      </c>
      <c r="M45" s="32"/>
      <c r="X45" s="29">
        <f t="shared" si="10"/>
        <v>0</v>
      </c>
      <c r="Y45" s="29">
        <f t="shared" si="11"/>
        <v>1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26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26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39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23301.9</v>
      </c>
      <c r="L52" s="86"/>
      <c r="M52" s="32"/>
      <c r="X52" s="29">
        <f>SUM(X42:X51)</f>
        <v>3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6800-000000000000}"/>
    <hyperlink ref="O1" location="'Home Page'!A1" display="Back" xr:uid="{00000000-0004-0000-6800-000001000000}"/>
    <hyperlink ref="B34" r:id="rId2" xr:uid="{00000000-0004-0000-6800-000002000000}"/>
    <hyperlink ref="B52" r:id="rId3" xr:uid="{00000000-0004-0000-6800-000003000000}"/>
    <hyperlink ref="O4:O5" location="'AUGUST 2021'!A1" display="PREMIUM STOCK FUTURE" xr:uid="{00000000-0004-0000-6800-000004000000}"/>
    <hyperlink ref="O6:O7" location="'AUGUST 2021'!A1" display="PREMIUM NIFTY FUTURE" xr:uid="{00000000-0004-0000-6800-000005000000}"/>
    <hyperlink ref="O8:O9" location="'AUGUST 2021'!A1" display="PREMIUM OPTOIN" xr:uid="{00000000-0004-0000-6800-000006000000}"/>
  </hyperlinks>
  <pageMargins left="0" right="0" top="0" bottom="0" header="0" footer="0"/>
  <pageSetup paperSize="9" orientation="portrait" r:id="rId4"/>
  <drawing r:id="rId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06"/>
  <dimension ref="A1:Y53"/>
  <sheetViews>
    <sheetView topLeftCell="A24" workbookViewId="0">
      <selection activeCell="I31" sqref="I3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44531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9</v>
      </c>
      <c r="Q4" s="208">
        <f>X16</f>
        <v>8</v>
      </c>
      <c r="R4" s="208">
        <f>Y16</f>
        <v>1</v>
      </c>
      <c r="S4" s="209">
        <f>P4-Q4-R4</f>
        <v>0</v>
      </c>
      <c r="T4" s="195">
        <f>Q4/P4</f>
        <v>0.88888888888888884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44531</v>
      </c>
      <c r="D6" s="35" t="s">
        <v>8</v>
      </c>
      <c r="E6" s="35" t="s">
        <v>822</v>
      </c>
      <c r="F6" s="126">
        <v>902</v>
      </c>
      <c r="G6" s="127">
        <v>942</v>
      </c>
      <c r="H6" s="34">
        <v>44533</v>
      </c>
      <c r="I6" s="36">
        <v>1200</v>
      </c>
      <c r="J6" s="129">
        <f>942-902</f>
        <v>40</v>
      </c>
      <c r="K6" s="41">
        <f>J6*I6</f>
        <v>48000</v>
      </c>
      <c r="L6" s="37" t="s">
        <v>647</v>
      </c>
      <c r="M6" s="32"/>
      <c r="O6" s="231" t="s">
        <v>599</v>
      </c>
      <c r="P6" s="199">
        <f>COUNT(C24:C33)</f>
        <v>7</v>
      </c>
      <c r="Q6" s="200">
        <f>X34</f>
        <v>5</v>
      </c>
      <c r="R6" s="200">
        <f>Y34</f>
        <v>2</v>
      </c>
      <c r="S6" s="201">
        <v>0</v>
      </c>
      <c r="T6" s="197">
        <f t="shared" ref="T6" si="0">Q6/P6</f>
        <v>0.7142857142857143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44533</v>
      </c>
      <c r="D7" s="40" t="s">
        <v>8</v>
      </c>
      <c r="E7" s="40" t="s">
        <v>823</v>
      </c>
      <c r="F7" s="126">
        <v>385</v>
      </c>
      <c r="G7" s="126">
        <v>401</v>
      </c>
      <c r="H7" s="39">
        <v>44539</v>
      </c>
      <c r="I7" s="41">
        <v>3600</v>
      </c>
      <c r="J7" s="130">
        <f>401-385</f>
        <v>16</v>
      </c>
      <c r="K7" s="41">
        <f t="shared" ref="K7:K14" si="1">J7*I7</f>
        <v>57600</v>
      </c>
      <c r="L7" s="42" t="s">
        <v>651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44536</v>
      </c>
      <c r="D8" s="40" t="s">
        <v>8</v>
      </c>
      <c r="E8" s="40" t="s">
        <v>786</v>
      </c>
      <c r="F8" s="128">
        <v>275</v>
      </c>
      <c r="G8" s="126">
        <v>282</v>
      </c>
      <c r="H8" s="39">
        <v>44539</v>
      </c>
      <c r="I8" s="41">
        <v>1800</v>
      </c>
      <c r="J8" s="130">
        <f>282-275</f>
        <v>7</v>
      </c>
      <c r="K8" s="41">
        <f t="shared" si="1"/>
        <v>12600</v>
      </c>
      <c r="L8" s="42" t="s">
        <v>646</v>
      </c>
      <c r="M8" s="32"/>
      <c r="O8" s="231" t="s">
        <v>600</v>
      </c>
      <c r="P8" s="199">
        <f>COUNT(C42:C51)</f>
        <v>7</v>
      </c>
      <c r="Q8" s="200">
        <f>X52</f>
        <v>5</v>
      </c>
      <c r="R8" s="200">
        <f>Y52</f>
        <v>2</v>
      </c>
      <c r="S8" s="201">
        <v>0</v>
      </c>
      <c r="T8" s="197">
        <f t="shared" ref="T8:T10" si="5">Q8/P8</f>
        <v>0.7142857142857143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44538</v>
      </c>
      <c r="D9" s="40" t="s">
        <v>8</v>
      </c>
      <c r="E9" s="40" t="s">
        <v>748</v>
      </c>
      <c r="F9" s="126">
        <v>1420</v>
      </c>
      <c r="G9" s="126">
        <v>1390</v>
      </c>
      <c r="H9" s="39">
        <v>44540</v>
      </c>
      <c r="I9" s="41">
        <v>1000</v>
      </c>
      <c r="J9" s="130">
        <v>-30</v>
      </c>
      <c r="K9" s="41">
        <f t="shared" si="1"/>
        <v>-30000</v>
      </c>
      <c r="L9" s="42" t="s">
        <v>197</v>
      </c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1</v>
      </c>
    </row>
    <row r="10" spans="1:25" x14ac:dyDescent="0.3">
      <c r="A10" s="31"/>
      <c r="B10" s="38">
        <f t="shared" si="4"/>
        <v>5</v>
      </c>
      <c r="C10" s="39">
        <v>44543</v>
      </c>
      <c r="D10" s="40" t="s">
        <v>8</v>
      </c>
      <c r="E10" s="40" t="s">
        <v>824</v>
      </c>
      <c r="F10" s="126">
        <v>1005</v>
      </c>
      <c r="G10" s="126">
        <v>1016</v>
      </c>
      <c r="H10" s="39">
        <v>44544</v>
      </c>
      <c r="I10" s="41">
        <v>1700</v>
      </c>
      <c r="J10" s="130">
        <f>1016-1005</f>
        <v>11</v>
      </c>
      <c r="K10" s="41">
        <f t="shared" si="1"/>
        <v>18700</v>
      </c>
      <c r="L10" s="42" t="s">
        <v>646</v>
      </c>
      <c r="M10" s="32"/>
      <c r="O10" s="171" t="s">
        <v>575</v>
      </c>
      <c r="P10" s="173">
        <f>SUM(P4:P9)</f>
        <v>23</v>
      </c>
      <c r="Q10" s="173">
        <f>SUM(Q4:Q9)</f>
        <v>18</v>
      </c>
      <c r="R10" s="173">
        <f>SUM(R4:R9)</f>
        <v>5</v>
      </c>
      <c r="S10" s="193">
        <f>SUM(S4:S9)</f>
        <v>0</v>
      </c>
      <c r="T10" s="195">
        <f t="shared" si="5"/>
        <v>0.78260869565217395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44544</v>
      </c>
      <c r="D11" s="40" t="s">
        <v>8</v>
      </c>
      <c r="E11" s="40" t="s">
        <v>825</v>
      </c>
      <c r="F11" s="126">
        <v>276</v>
      </c>
      <c r="G11" s="126">
        <v>293</v>
      </c>
      <c r="H11" s="39">
        <v>44544</v>
      </c>
      <c r="I11" s="41">
        <v>5200</v>
      </c>
      <c r="J11" s="85">
        <f>293-276</f>
        <v>17</v>
      </c>
      <c r="K11" s="41">
        <f t="shared" si="1"/>
        <v>88400</v>
      </c>
      <c r="L11" s="42" t="s">
        <v>651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44545</v>
      </c>
      <c r="D12" s="40" t="s">
        <v>13</v>
      </c>
      <c r="E12" s="40" t="s">
        <v>784</v>
      </c>
      <c r="F12" s="126">
        <v>346</v>
      </c>
      <c r="G12" s="126">
        <v>326</v>
      </c>
      <c r="H12" s="39">
        <v>44550</v>
      </c>
      <c r="I12" s="41">
        <v>6200</v>
      </c>
      <c r="J12" s="85">
        <f>346-326</f>
        <v>20</v>
      </c>
      <c r="K12" s="41">
        <f t="shared" si="1"/>
        <v>124000</v>
      </c>
      <c r="L12" s="42" t="s">
        <v>647</v>
      </c>
      <c r="M12" s="32"/>
      <c r="O12" s="175" t="s">
        <v>576</v>
      </c>
      <c r="P12" s="176"/>
      <c r="Q12" s="177"/>
      <c r="R12" s="184">
        <f>T10</f>
        <v>0.78260869565217395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>
        <v>44550</v>
      </c>
      <c r="D13" s="40" t="s">
        <v>13</v>
      </c>
      <c r="E13" s="40" t="s">
        <v>330</v>
      </c>
      <c r="F13" s="126">
        <v>1205</v>
      </c>
      <c r="G13" s="126">
        <v>1166</v>
      </c>
      <c r="H13" s="39">
        <v>44550</v>
      </c>
      <c r="I13" s="41">
        <f>1205-1166</f>
        <v>39</v>
      </c>
      <c r="J13" s="85">
        <v>800</v>
      </c>
      <c r="K13" s="41">
        <f t="shared" si="1"/>
        <v>31200</v>
      </c>
      <c r="L13" s="42" t="s">
        <v>651</v>
      </c>
      <c r="M13" s="32"/>
      <c r="O13" s="178"/>
      <c r="P13" s="179"/>
      <c r="Q13" s="180"/>
      <c r="R13" s="187"/>
      <c r="S13" s="188"/>
      <c r="T13" s="189"/>
      <c r="X13" s="29">
        <f t="shared" si="2"/>
        <v>1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>
        <v>44561</v>
      </c>
      <c r="D14" s="40" t="s">
        <v>8</v>
      </c>
      <c r="E14" s="40" t="s">
        <v>826</v>
      </c>
      <c r="F14" s="41">
        <v>2440</v>
      </c>
      <c r="G14" s="41">
        <v>2495</v>
      </c>
      <c r="H14" s="39">
        <v>44564</v>
      </c>
      <c r="I14" s="41">
        <v>600</v>
      </c>
      <c r="J14" s="85">
        <v>55</v>
      </c>
      <c r="K14" s="41">
        <f t="shared" si="1"/>
        <v>33000</v>
      </c>
      <c r="L14" s="42" t="s">
        <v>813</v>
      </c>
      <c r="M14" s="32"/>
      <c r="O14" s="181"/>
      <c r="P14" s="182"/>
      <c r="Q14" s="183"/>
      <c r="R14" s="190"/>
      <c r="S14" s="191"/>
      <c r="T14" s="192"/>
      <c r="X14" s="29">
        <f t="shared" si="2"/>
        <v>1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383500</v>
      </c>
      <c r="L16" s="86"/>
      <c r="M16" s="32"/>
      <c r="X16" s="29">
        <f>SUM(X6:X15)</f>
        <v>8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44531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44531</v>
      </c>
      <c r="D24" s="40" t="s">
        <v>8</v>
      </c>
      <c r="E24" s="35" t="s">
        <v>30</v>
      </c>
      <c r="F24" s="36">
        <v>17150</v>
      </c>
      <c r="G24" s="36">
        <v>17350</v>
      </c>
      <c r="H24" s="39">
        <v>44532</v>
      </c>
      <c r="I24" s="36">
        <v>250</v>
      </c>
      <c r="J24" s="41">
        <f>17350-17150</f>
        <v>200</v>
      </c>
      <c r="K24" s="41">
        <f>J24*I24</f>
        <v>50000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44533</v>
      </c>
      <c r="D25" s="40" t="s">
        <v>8</v>
      </c>
      <c r="E25" s="40" t="s">
        <v>30</v>
      </c>
      <c r="F25" s="41">
        <v>17380</v>
      </c>
      <c r="G25" s="41">
        <v>17440</v>
      </c>
      <c r="H25" s="39">
        <v>44533</v>
      </c>
      <c r="I25" s="41">
        <v>250</v>
      </c>
      <c r="J25" s="41">
        <f>17440-17380</f>
        <v>60</v>
      </c>
      <c r="K25" s="41">
        <f t="shared" ref="K25:K29" si="8">J25*I25</f>
        <v>15000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44536</v>
      </c>
      <c r="D26" s="40" t="s">
        <v>8</v>
      </c>
      <c r="E26" s="40" t="s">
        <v>30</v>
      </c>
      <c r="F26" s="41">
        <v>17100</v>
      </c>
      <c r="G26" s="41">
        <v>17300</v>
      </c>
      <c r="H26" s="39">
        <v>44537</v>
      </c>
      <c r="I26" s="41">
        <v>250</v>
      </c>
      <c r="J26" s="85">
        <v>200</v>
      </c>
      <c r="K26" s="41">
        <f t="shared" si="8"/>
        <v>50000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44543</v>
      </c>
      <c r="D27" s="40" t="s">
        <v>8</v>
      </c>
      <c r="E27" s="40" t="s">
        <v>30</v>
      </c>
      <c r="F27" s="41">
        <v>17480</v>
      </c>
      <c r="G27" s="41">
        <v>17380</v>
      </c>
      <c r="H27" s="39">
        <v>44544</v>
      </c>
      <c r="I27" s="41">
        <v>250</v>
      </c>
      <c r="J27" s="85">
        <v>-100</v>
      </c>
      <c r="K27" s="41">
        <f t="shared" si="8"/>
        <v>-25000</v>
      </c>
      <c r="L27" s="42" t="s">
        <v>197</v>
      </c>
      <c r="M27" s="32"/>
      <c r="X27" s="29">
        <f t="shared" si="6"/>
        <v>0</v>
      </c>
      <c r="Y27" s="29">
        <f t="shared" si="7"/>
        <v>1</v>
      </c>
    </row>
    <row r="28" spans="1:25" x14ac:dyDescent="0.3">
      <c r="A28" s="31"/>
      <c r="B28" s="38">
        <f t="shared" si="9"/>
        <v>5</v>
      </c>
      <c r="C28" s="39">
        <v>44545</v>
      </c>
      <c r="D28" s="40" t="s">
        <v>13</v>
      </c>
      <c r="E28" s="40" t="s">
        <v>30</v>
      </c>
      <c r="F28" s="41">
        <v>17260</v>
      </c>
      <c r="G28" s="41">
        <v>17360</v>
      </c>
      <c r="H28" s="39">
        <v>44546</v>
      </c>
      <c r="I28" s="41">
        <v>250</v>
      </c>
      <c r="J28" s="85">
        <v>-100</v>
      </c>
      <c r="K28" s="41">
        <f t="shared" si="8"/>
        <v>-25000</v>
      </c>
      <c r="L28" s="42" t="s">
        <v>197</v>
      </c>
      <c r="M28" s="32"/>
      <c r="X28" s="29">
        <f t="shared" si="6"/>
        <v>0</v>
      </c>
      <c r="Y28" s="29">
        <f t="shared" si="7"/>
        <v>1</v>
      </c>
    </row>
    <row r="29" spans="1:25" x14ac:dyDescent="0.3">
      <c r="A29" s="31"/>
      <c r="B29" s="38">
        <f t="shared" si="9"/>
        <v>6</v>
      </c>
      <c r="C29" s="39">
        <v>44550</v>
      </c>
      <c r="D29" s="40" t="s">
        <v>13</v>
      </c>
      <c r="E29" s="40" t="s">
        <v>619</v>
      </c>
      <c r="F29" s="41">
        <v>34400</v>
      </c>
      <c r="G29" s="41">
        <v>34123</v>
      </c>
      <c r="H29" s="39">
        <v>44550</v>
      </c>
      <c r="I29" s="41">
        <v>200</v>
      </c>
      <c r="J29" s="85">
        <f>34400-34123</f>
        <v>277</v>
      </c>
      <c r="K29" s="41">
        <f t="shared" si="8"/>
        <v>55400</v>
      </c>
      <c r="L29" s="42" t="s">
        <v>646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44550</v>
      </c>
      <c r="D30" s="40" t="s">
        <v>13</v>
      </c>
      <c r="E30" s="40" t="s">
        <v>30</v>
      </c>
      <c r="F30" s="41">
        <v>16520</v>
      </c>
      <c r="G30" s="41">
        <v>16430</v>
      </c>
      <c r="H30" s="39">
        <v>44551</v>
      </c>
      <c r="I30" s="41">
        <v>250</v>
      </c>
      <c r="J30" s="85">
        <f>16520-16430</f>
        <v>90</v>
      </c>
      <c r="K30" s="41">
        <f>J30*I30</f>
        <v>22500</v>
      </c>
      <c r="L30" s="42" t="s">
        <v>646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142900</v>
      </c>
      <c r="L34" s="86"/>
      <c r="M34" s="32"/>
      <c r="X34" s="29">
        <f>SUM(X24:X33)</f>
        <v>5</v>
      </c>
      <c r="Y34" s="29">
        <f>SUM(Y24:Y33)</f>
        <v>2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44531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131" t="s">
        <v>1</v>
      </c>
      <c r="D41" s="132" t="s">
        <v>601</v>
      </c>
      <c r="E41" s="132" t="s">
        <v>3</v>
      </c>
      <c r="F41" s="116" t="s">
        <v>4</v>
      </c>
      <c r="G41" s="116" t="s">
        <v>5</v>
      </c>
      <c r="H41" s="116" t="s">
        <v>528</v>
      </c>
      <c r="I41" s="116" t="s">
        <v>6</v>
      </c>
      <c r="J41" s="114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9">
        <v>44531</v>
      </c>
      <c r="D42" s="40" t="s">
        <v>8</v>
      </c>
      <c r="E42" s="40" t="s">
        <v>815</v>
      </c>
      <c r="F42" s="126">
        <v>230</v>
      </c>
      <c r="G42" s="126">
        <v>430</v>
      </c>
      <c r="H42" s="39">
        <v>44539</v>
      </c>
      <c r="I42" s="41">
        <v>250</v>
      </c>
      <c r="J42" s="126">
        <f>430-230</f>
        <v>200</v>
      </c>
      <c r="K42" s="41">
        <f>J42*I42</f>
        <v>50000</v>
      </c>
      <c r="L42" s="37" t="s">
        <v>647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39">
        <v>44537</v>
      </c>
      <c r="D43" s="40" t="s">
        <v>8</v>
      </c>
      <c r="E43" s="40" t="s">
        <v>816</v>
      </c>
      <c r="F43" s="126">
        <v>23</v>
      </c>
      <c r="G43" s="126">
        <v>37</v>
      </c>
      <c r="H43" s="39">
        <v>44539</v>
      </c>
      <c r="I43" s="41">
        <v>1000</v>
      </c>
      <c r="J43" s="126">
        <f>37-23</f>
        <v>14</v>
      </c>
      <c r="K43" s="41">
        <f t="shared" ref="K43:K49" si="12">J43*I43</f>
        <v>14000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44538</v>
      </c>
      <c r="D44" s="40" t="s">
        <v>8</v>
      </c>
      <c r="E44" s="40" t="s">
        <v>817</v>
      </c>
      <c r="F44" s="126">
        <v>13</v>
      </c>
      <c r="G44" s="126">
        <v>19</v>
      </c>
      <c r="H44" s="39">
        <v>44538</v>
      </c>
      <c r="I44" s="41">
        <v>5700</v>
      </c>
      <c r="J44" s="126">
        <v>6</v>
      </c>
      <c r="K44" s="41">
        <f t="shared" si="12"/>
        <v>34200</v>
      </c>
      <c r="L44" s="42" t="s">
        <v>642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44543</v>
      </c>
      <c r="D45" s="40" t="s">
        <v>8</v>
      </c>
      <c r="E45" s="40" t="s">
        <v>818</v>
      </c>
      <c r="F45" s="126">
        <v>160</v>
      </c>
      <c r="G45" s="126">
        <v>120</v>
      </c>
      <c r="H45" s="39">
        <v>44543</v>
      </c>
      <c r="I45" s="41">
        <v>400</v>
      </c>
      <c r="J45" s="126">
        <v>-40</v>
      </c>
      <c r="K45" s="41">
        <f t="shared" si="12"/>
        <v>-16000</v>
      </c>
      <c r="L45" s="42" t="s">
        <v>197</v>
      </c>
      <c r="M45" s="32"/>
      <c r="X45" s="29">
        <f t="shared" si="10"/>
        <v>0</v>
      </c>
      <c r="Y45" s="29">
        <f t="shared" si="11"/>
        <v>1</v>
      </c>
    </row>
    <row r="46" spans="1:25" x14ac:dyDescent="0.3">
      <c r="A46" s="31"/>
      <c r="B46" s="38">
        <f t="shared" si="13"/>
        <v>5</v>
      </c>
      <c r="C46" s="39">
        <v>44544</v>
      </c>
      <c r="D46" s="40" t="s">
        <v>8</v>
      </c>
      <c r="E46" s="40" t="s">
        <v>819</v>
      </c>
      <c r="F46" s="126">
        <v>115</v>
      </c>
      <c r="G46" s="126">
        <v>179</v>
      </c>
      <c r="H46" s="39">
        <v>44545</v>
      </c>
      <c r="I46" s="41">
        <v>400</v>
      </c>
      <c r="J46" s="126">
        <f>179-115</f>
        <v>64</v>
      </c>
      <c r="K46" s="41">
        <f t="shared" si="12"/>
        <v>25600</v>
      </c>
      <c r="L46" s="42" t="s">
        <v>651</v>
      </c>
      <c r="M46" s="32"/>
      <c r="X46" s="29">
        <f t="shared" si="10"/>
        <v>1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>
        <v>44545</v>
      </c>
      <c r="D47" s="40" t="s">
        <v>8</v>
      </c>
      <c r="E47" s="40" t="s">
        <v>820</v>
      </c>
      <c r="F47" s="126">
        <v>60</v>
      </c>
      <c r="G47" s="126">
        <v>40</v>
      </c>
      <c r="H47" s="39">
        <v>44545</v>
      </c>
      <c r="I47" s="41">
        <v>700</v>
      </c>
      <c r="J47" s="126">
        <v>-20</v>
      </c>
      <c r="K47" s="41">
        <f t="shared" si="12"/>
        <v>-14000</v>
      </c>
      <c r="L47" s="42" t="s">
        <v>197</v>
      </c>
      <c r="M47" s="32"/>
      <c r="X47" s="29">
        <f t="shared" si="10"/>
        <v>0</v>
      </c>
      <c r="Y47" s="29">
        <f t="shared" si="11"/>
        <v>1</v>
      </c>
    </row>
    <row r="48" spans="1:25" x14ac:dyDescent="0.3">
      <c r="A48" s="31"/>
      <c r="B48" s="38">
        <f t="shared" si="13"/>
        <v>7</v>
      </c>
      <c r="C48" s="39">
        <v>44550</v>
      </c>
      <c r="D48" s="40" t="s">
        <v>8</v>
      </c>
      <c r="E48" s="40" t="s">
        <v>821</v>
      </c>
      <c r="F48" s="126">
        <v>30</v>
      </c>
      <c r="G48" s="126">
        <v>48</v>
      </c>
      <c r="H48" s="39">
        <v>44550</v>
      </c>
      <c r="I48" s="41">
        <v>800</v>
      </c>
      <c r="J48" s="130">
        <v>18</v>
      </c>
      <c r="K48" s="41">
        <f t="shared" si="12"/>
        <v>14400</v>
      </c>
      <c r="L48" s="42" t="s">
        <v>651</v>
      </c>
      <c r="M48" s="32"/>
      <c r="X48" s="29">
        <f t="shared" si="10"/>
        <v>1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108200</v>
      </c>
      <c r="L52" s="86"/>
      <c r="M52" s="32"/>
      <c r="X52" s="29">
        <f>SUM(X42:X51)</f>
        <v>5</v>
      </c>
      <c r="Y52" s="29">
        <f>SUM(Y42:Y51)</f>
        <v>2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6900-000000000000}"/>
    <hyperlink ref="O1" location="'Home Page'!A1" display="Back" xr:uid="{00000000-0004-0000-6900-000001000000}"/>
    <hyperlink ref="B34" r:id="rId2" xr:uid="{00000000-0004-0000-6900-000002000000}"/>
    <hyperlink ref="B52" r:id="rId3" xr:uid="{00000000-0004-0000-6900-000003000000}"/>
    <hyperlink ref="O4:O5" location="'DEC 2021'!A1" display="PREMIUM STOCK FUTURE" xr:uid="{00000000-0004-0000-6900-000004000000}"/>
    <hyperlink ref="O6:O7" location="'DEC 2021'!A1" display="PREMIUM NIFTY FUTURE" xr:uid="{00000000-0004-0000-6900-000005000000}"/>
    <hyperlink ref="O8:O9" location="'DEC 2021'!A1" display="PREMIUM OPTOIN" xr:uid="{00000000-0004-0000-6900-000006000000}"/>
  </hyperlinks>
  <pageMargins left="0" right="0" top="0" bottom="0" header="0" footer="0"/>
  <pageSetup paperSize="9" orientation="portrait" r:id="rId4"/>
  <drawing r:id="rId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07"/>
  <dimension ref="A1:Y53"/>
  <sheetViews>
    <sheetView workbookViewId="0">
      <selection activeCell="O1" sqref="O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44562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7</v>
      </c>
      <c r="Q4" s="208">
        <f>X16</f>
        <v>6</v>
      </c>
      <c r="R4" s="208">
        <f>Y16</f>
        <v>1</v>
      </c>
      <c r="S4" s="209">
        <f>P4-Q4-R4</f>
        <v>0</v>
      </c>
      <c r="T4" s="195">
        <f>Q4/P4</f>
        <v>0.8571428571428571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44564</v>
      </c>
      <c r="D6" s="35" t="s">
        <v>8</v>
      </c>
      <c r="E6" s="35" t="s">
        <v>827</v>
      </c>
      <c r="F6" s="126">
        <v>1985</v>
      </c>
      <c r="G6" s="127">
        <v>1925</v>
      </c>
      <c r="H6" s="34">
        <v>44565</v>
      </c>
      <c r="I6" s="36">
        <v>650</v>
      </c>
      <c r="J6" s="129">
        <f>1985-1925</f>
        <v>60</v>
      </c>
      <c r="K6" s="41">
        <f>J6*I6</f>
        <v>39000</v>
      </c>
      <c r="L6" s="37" t="s">
        <v>646</v>
      </c>
      <c r="M6" s="32"/>
      <c r="O6" s="231" t="s">
        <v>599</v>
      </c>
      <c r="P6" s="199">
        <f>COUNT(C24:C33)</f>
        <v>7</v>
      </c>
      <c r="Q6" s="200">
        <f>X34</f>
        <v>7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44565</v>
      </c>
      <c r="D7" s="40" t="s">
        <v>8</v>
      </c>
      <c r="E7" s="40" t="s">
        <v>828</v>
      </c>
      <c r="F7" s="126">
        <v>2350</v>
      </c>
      <c r="G7" s="126">
        <v>2400</v>
      </c>
      <c r="H7" s="39">
        <v>44568</v>
      </c>
      <c r="I7" s="41">
        <v>400</v>
      </c>
      <c r="J7" s="130">
        <f>2400-2350</f>
        <v>50</v>
      </c>
      <c r="K7" s="41">
        <f t="shared" ref="K7:K14" si="1">J7*I7</f>
        <v>20000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44566</v>
      </c>
      <c r="D8" s="40" t="s">
        <v>8</v>
      </c>
      <c r="E8" s="40" t="s">
        <v>829</v>
      </c>
      <c r="F8" s="128">
        <v>7700</v>
      </c>
      <c r="G8" s="126">
        <v>7723</v>
      </c>
      <c r="H8" s="39">
        <v>44567</v>
      </c>
      <c r="I8" s="41">
        <v>200</v>
      </c>
      <c r="J8" s="130">
        <v>23</v>
      </c>
      <c r="K8" s="41">
        <f t="shared" si="1"/>
        <v>4600</v>
      </c>
      <c r="L8" s="42" t="s">
        <v>646</v>
      </c>
      <c r="M8" s="32"/>
      <c r="O8" s="231" t="s">
        <v>600</v>
      </c>
      <c r="P8" s="199">
        <f>COUNT(C42:C51)</f>
        <v>6</v>
      </c>
      <c r="Q8" s="200">
        <f>X52</f>
        <v>5</v>
      </c>
      <c r="R8" s="200">
        <f>Y52</f>
        <v>1</v>
      </c>
      <c r="S8" s="201">
        <v>0</v>
      </c>
      <c r="T8" s="197">
        <f t="shared" ref="T8:T10" si="5">Q8/P8</f>
        <v>0.83333333333333337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44571</v>
      </c>
      <c r="D9" s="40" t="s">
        <v>8</v>
      </c>
      <c r="E9" s="40" t="s">
        <v>830</v>
      </c>
      <c r="F9" s="126">
        <v>2545</v>
      </c>
      <c r="G9" s="126">
        <v>2650</v>
      </c>
      <c r="H9" s="39">
        <v>44574</v>
      </c>
      <c r="I9" s="41">
        <v>750</v>
      </c>
      <c r="J9" s="130">
        <f>2650-2545</f>
        <v>105</v>
      </c>
      <c r="K9" s="41">
        <f t="shared" si="1"/>
        <v>78750</v>
      </c>
      <c r="L9" s="42" t="s">
        <v>647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44572</v>
      </c>
      <c r="D10" s="40" t="s">
        <v>13</v>
      </c>
      <c r="E10" s="40" t="s">
        <v>410</v>
      </c>
      <c r="F10" s="126">
        <v>2300</v>
      </c>
      <c r="G10" s="126">
        <v>2280</v>
      </c>
      <c r="H10" s="39">
        <v>44573</v>
      </c>
      <c r="I10" s="41">
        <v>500</v>
      </c>
      <c r="J10" s="130">
        <f>2300-2280</f>
        <v>20</v>
      </c>
      <c r="K10" s="41">
        <f t="shared" si="1"/>
        <v>10000</v>
      </c>
      <c r="L10" s="42" t="s">
        <v>646</v>
      </c>
      <c r="M10" s="32"/>
      <c r="O10" s="171" t="s">
        <v>575</v>
      </c>
      <c r="P10" s="173">
        <f>SUM(P4:P9)</f>
        <v>20</v>
      </c>
      <c r="Q10" s="173">
        <f>SUM(Q4:Q9)</f>
        <v>18</v>
      </c>
      <c r="R10" s="173">
        <f>SUM(R4:R9)</f>
        <v>2</v>
      </c>
      <c r="S10" s="193">
        <f>SUM(S4:S9)</f>
        <v>0</v>
      </c>
      <c r="T10" s="195">
        <f t="shared" si="5"/>
        <v>0.9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44578</v>
      </c>
      <c r="D11" s="40" t="s">
        <v>8</v>
      </c>
      <c r="E11" s="40" t="s">
        <v>119</v>
      </c>
      <c r="F11" s="126">
        <v>1870</v>
      </c>
      <c r="G11" s="126">
        <v>1903</v>
      </c>
      <c r="H11" s="39">
        <v>44579</v>
      </c>
      <c r="I11" s="41">
        <v>1000</v>
      </c>
      <c r="J11" s="85">
        <f>1903-1870</f>
        <v>33</v>
      </c>
      <c r="K11" s="41">
        <f t="shared" si="1"/>
        <v>33000</v>
      </c>
      <c r="L11" s="42" t="s">
        <v>646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44579</v>
      </c>
      <c r="D12" s="40" t="s">
        <v>8</v>
      </c>
      <c r="E12" s="40" t="s">
        <v>713</v>
      </c>
      <c r="F12" s="126">
        <v>1875</v>
      </c>
      <c r="G12" s="126">
        <v>1830</v>
      </c>
      <c r="H12" s="39">
        <v>44574</v>
      </c>
      <c r="I12" s="41">
        <v>-45</v>
      </c>
      <c r="J12" s="85">
        <f>1875-1830</f>
        <v>45</v>
      </c>
      <c r="K12" s="41">
        <f t="shared" si="1"/>
        <v>-2025</v>
      </c>
      <c r="L12" s="42" t="s">
        <v>197</v>
      </c>
      <c r="M12" s="32"/>
      <c r="O12" s="175" t="s">
        <v>576</v>
      </c>
      <c r="P12" s="176"/>
      <c r="Q12" s="177"/>
      <c r="R12" s="184">
        <f>T10</f>
        <v>0.9</v>
      </c>
      <c r="S12" s="185"/>
      <c r="T12" s="186"/>
      <c r="X12" s="29">
        <f t="shared" si="2"/>
        <v>0</v>
      </c>
      <c r="Y12" s="29">
        <f t="shared" si="3"/>
        <v>1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183325</v>
      </c>
      <c r="L16" s="86"/>
      <c r="M16" s="32"/>
      <c r="X16" s="29">
        <f>SUM(X6:X15)</f>
        <v>6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44562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44565</v>
      </c>
      <c r="D24" s="40" t="s">
        <v>8</v>
      </c>
      <c r="E24" s="35" t="s">
        <v>30</v>
      </c>
      <c r="F24" s="36">
        <v>17730</v>
      </c>
      <c r="G24" s="36">
        <v>17930</v>
      </c>
      <c r="H24" s="39">
        <v>44566</v>
      </c>
      <c r="I24" s="36">
        <v>250</v>
      </c>
      <c r="J24" s="41">
        <v>200</v>
      </c>
      <c r="K24" s="41">
        <f>J24*I24</f>
        <v>50000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44571</v>
      </c>
      <c r="D25" s="40" t="s">
        <v>8</v>
      </c>
      <c r="E25" s="40" t="s">
        <v>30</v>
      </c>
      <c r="F25" s="41">
        <v>17950</v>
      </c>
      <c r="G25" s="41">
        <v>18150</v>
      </c>
      <c r="H25" s="39">
        <v>44573</v>
      </c>
      <c r="I25" s="41">
        <v>250</v>
      </c>
      <c r="J25" s="41">
        <v>200</v>
      </c>
      <c r="K25" s="41">
        <f t="shared" ref="K25:K29" si="8">J25*I25</f>
        <v>50000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44575</v>
      </c>
      <c r="D26" s="40" t="s">
        <v>8</v>
      </c>
      <c r="E26" s="40" t="s">
        <v>30</v>
      </c>
      <c r="F26" s="41">
        <v>18210</v>
      </c>
      <c r="G26" s="41">
        <v>18348</v>
      </c>
      <c r="H26" s="39">
        <v>44578</v>
      </c>
      <c r="I26" s="41">
        <v>250</v>
      </c>
      <c r="J26" s="85">
        <f>18348-18210</f>
        <v>138</v>
      </c>
      <c r="K26" s="41">
        <f t="shared" si="8"/>
        <v>34500</v>
      </c>
      <c r="L26" s="42" t="s">
        <v>651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44579</v>
      </c>
      <c r="D27" s="40" t="s">
        <v>8</v>
      </c>
      <c r="E27" s="40" t="s">
        <v>619</v>
      </c>
      <c r="F27" s="41">
        <v>38400</v>
      </c>
      <c r="G27" s="41">
        <v>38960</v>
      </c>
      <c r="H27" s="39">
        <v>44580</v>
      </c>
      <c r="I27" s="41">
        <v>125</v>
      </c>
      <c r="J27" s="85">
        <f>38960-38400</f>
        <v>560</v>
      </c>
      <c r="K27" s="41">
        <f t="shared" si="8"/>
        <v>70000</v>
      </c>
      <c r="L27" s="42" t="s">
        <v>651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44580</v>
      </c>
      <c r="D28" s="40" t="s">
        <v>8</v>
      </c>
      <c r="E28" s="40" t="s">
        <v>30</v>
      </c>
      <c r="F28" s="41">
        <v>18000</v>
      </c>
      <c r="G28" s="41">
        <v>18100</v>
      </c>
      <c r="H28" s="39">
        <v>44581</v>
      </c>
      <c r="I28" s="41">
        <v>250</v>
      </c>
      <c r="J28" s="85">
        <v>100</v>
      </c>
      <c r="K28" s="41">
        <f t="shared" si="8"/>
        <v>25000</v>
      </c>
      <c r="L28" s="42" t="s">
        <v>642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44585</v>
      </c>
      <c r="D29" s="40" t="s">
        <v>8</v>
      </c>
      <c r="E29" s="40" t="s">
        <v>30</v>
      </c>
      <c r="F29" s="41">
        <v>17100</v>
      </c>
      <c r="G29" s="41">
        <v>17200</v>
      </c>
      <c r="H29" s="39">
        <v>44585</v>
      </c>
      <c r="I29" s="41">
        <v>250</v>
      </c>
      <c r="J29" s="85">
        <v>100</v>
      </c>
      <c r="K29" s="41">
        <f t="shared" si="8"/>
        <v>25000</v>
      </c>
      <c r="L29" s="42" t="s">
        <v>642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44585</v>
      </c>
      <c r="D30" s="40" t="s">
        <v>8</v>
      </c>
      <c r="E30" s="40" t="s">
        <v>619</v>
      </c>
      <c r="F30" s="41">
        <v>36700</v>
      </c>
      <c r="G30" s="41">
        <v>37300</v>
      </c>
      <c r="H30" s="39">
        <v>44586</v>
      </c>
      <c r="I30" s="41">
        <v>125</v>
      </c>
      <c r="J30" s="85">
        <v>400</v>
      </c>
      <c r="K30" s="41">
        <f>J30*I30</f>
        <v>50000</v>
      </c>
      <c r="L30" s="42" t="s">
        <v>647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304500</v>
      </c>
      <c r="L34" s="86"/>
      <c r="M34" s="32"/>
      <c r="X34" s="29">
        <f>SUM(X24:X33)</f>
        <v>7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44562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131" t="s">
        <v>1</v>
      </c>
      <c r="D41" s="132" t="s">
        <v>601</v>
      </c>
      <c r="E41" s="132" t="s">
        <v>3</v>
      </c>
      <c r="F41" s="116" t="s">
        <v>4</v>
      </c>
      <c r="G41" s="116" t="s">
        <v>5</v>
      </c>
      <c r="H41" s="116" t="s">
        <v>528</v>
      </c>
      <c r="I41" s="116" t="s">
        <v>6</v>
      </c>
      <c r="J41" s="114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9">
        <v>44564</v>
      </c>
      <c r="D42" s="40" t="s">
        <v>8</v>
      </c>
      <c r="E42" s="40" t="s">
        <v>831</v>
      </c>
      <c r="F42" s="126">
        <v>100</v>
      </c>
      <c r="G42" s="126">
        <v>130</v>
      </c>
      <c r="H42" s="39">
        <v>44564</v>
      </c>
      <c r="I42" s="41">
        <v>500</v>
      </c>
      <c r="J42" s="126">
        <v>30</v>
      </c>
      <c r="K42" s="41">
        <f>J42*I42</f>
        <v>15000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39">
        <v>44566</v>
      </c>
      <c r="D43" s="40" t="s">
        <v>8</v>
      </c>
      <c r="E43" s="40" t="s">
        <v>832</v>
      </c>
      <c r="F43" s="126">
        <v>200</v>
      </c>
      <c r="G43" s="126">
        <v>220</v>
      </c>
      <c r="H43" s="39">
        <v>44567</v>
      </c>
      <c r="I43" s="41">
        <v>200</v>
      </c>
      <c r="J43" s="126">
        <v>20</v>
      </c>
      <c r="K43" s="41">
        <f t="shared" ref="K43:K49" si="12">J43*I43</f>
        <v>4000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44571</v>
      </c>
      <c r="D44" s="40" t="s">
        <v>8</v>
      </c>
      <c r="E44" s="40" t="s">
        <v>833</v>
      </c>
      <c r="F44" s="126">
        <v>12</v>
      </c>
      <c r="G44" s="126">
        <v>24</v>
      </c>
      <c r="H44" s="39">
        <v>44578</v>
      </c>
      <c r="I44" s="41">
        <v>5700</v>
      </c>
      <c r="J44" s="126">
        <v>12</v>
      </c>
      <c r="K44" s="41">
        <f t="shared" si="12"/>
        <v>68400</v>
      </c>
      <c r="L44" s="42" t="s">
        <v>647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44572</v>
      </c>
      <c r="D45" s="40" t="s">
        <v>8</v>
      </c>
      <c r="E45" s="40" t="s">
        <v>834</v>
      </c>
      <c r="F45" s="126">
        <v>200</v>
      </c>
      <c r="G45" s="126">
        <v>270</v>
      </c>
      <c r="H45" s="39">
        <v>44574</v>
      </c>
      <c r="I45" s="41">
        <v>400</v>
      </c>
      <c r="J45" s="126">
        <v>70</v>
      </c>
      <c r="K45" s="41">
        <f t="shared" si="12"/>
        <v>28000</v>
      </c>
      <c r="L45" s="42" t="s">
        <v>651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>
        <v>44575</v>
      </c>
      <c r="D46" s="40" t="s">
        <v>8</v>
      </c>
      <c r="E46" s="40" t="s">
        <v>835</v>
      </c>
      <c r="F46" s="126">
        <v>48</v>
      </c>
      <c r="G46" s="126">
        <v>58</v>
      </c>
      <c r="H46" s="39">
        <v>44575</v>
      </c>
      <c r="I46" s="41">
        <v>600</v>
      </c>
      <c r="J46" s="126">
        <v>10</v>
      </c>
      <c r="K46" s="41">
        <f t="shared" si="12"/>
        <v>6000</v>
      </c>
      <c r="L46" s="42" t="s">
        <v>646</v>
      </c>
      <c r="M46" s="32"/>
      <c r="X46" s="29">
        <f t="shared" si="10"/>
        <v>1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>
        <v>44580</v>
      </c>
      <c r="D47" s="40" t="s">
        <v>8</v>
      </c>
      <c r="E47" s="40" t="s">
        <v>778</v>
      </c>
      <c r="F47" s="126">
        <v>17</v>
      </c>
      <c r="G47" s="126">
        <v>7</v>
      </c>
      <c r="H47" s="39">
        <v>44582</v>
      </c>
      <c r="I47" s="41">
        <v>550</v>
      </c>
      <c r="J47" s="126">
        <v>-10</v>
      </c>
      <c r="K47" s="41">
        <f t="shared" si="12"/>
        <v>-5500</v>
      </c>
      <c r="L47" s="42" t="s">
        <v>197</v>
      </c>
      <c r="M47" s="32"/>
      <c r="X47" s="29">
        <f t="shared" si="10"/>
        <v>0</v>
      </c>
      <c r="Y47" s="29">
        <f t="shared" si="11"/>
        <v>1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39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115900</v>
      </c>
      <c r="L52" s="86"/>
      <c r="M52" s="32"/>
      <c r="X52" s="29">
        <f>SUM(X42:X51)</f>
        <v>5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6A00-000000000000}"/>
    <hyperlink ref="O1" location="'Home Page'!A1" display="Back" xr:uid="{00000000-0004-0000-6A00-000001000000}"/>
    <hyperlink ref="B34" r:id="rId2" xr:uid="{00000000-0004-0000-6A00-000002000000}"/>
    <hyperlink ref="B52" r:id="rId3" xr:uid="{00000000-0004-0000-6A00-000003000000}"/>
    <hyperlink ref="O4:O5" location="'JAN 2022'!A1" display="PREMIUM STOCK FUTURE" xr:uid="{00000000-0004-0000-6A00-000004000000}"/>
    <hyperlink ref="O6:O7" location="'JAN 2022'!A1" display="PREMIUM NIFTY FUTURE" xr:uid="{00000000-0004-0000-6A00-000005000000}"/>
    <hyperlink ref="O8:O9" location="'JAN 2022'!A1" display="PREMIUM OPTOIN" xr:uid="{00000000-0004-0000-6A00-000006000000}"/>
  </hyperlinks>
  <pageMargins left="0" right="0" top="0" bottom="0" header="0" footer="0"/>
  <pageSetup paperSize="9" orientation="portrait" r:id="rId4"/>
  <drawing r:id="rId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08"/>
  <dimension ref="A1:Y54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44593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7</v>
      </c>
      <c r="Q4" s="208">
        <f>X16</f>
        <v>7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44593</v>
      </c>
      <c r="D6" s="35" t="s">
        <v>8</v>
      </c>
      <c r="E6" s="35" t="s">
        <v>78</v>
      </c>
      <c r="F6" s="126">
        <v>400</v>
      </c>
      <c r="G6" s="126">
        <v>408</v>
      </c>
      <c r="H6" s="34">
        <v>44594</v>
      </c>
      <c r="I6" s="36">
        <v>4000</v>
      </c>
      <c r="J6" s="129">
        <v>8</v>
      </c>
      <c r="K6" s="41">
        <f>J6*I6</f>
        <v>32000</v>
      </c>
      <c r="L6" s="37" t="s">
        <v>646</v>
      </c>
      <c r="M6" s="32"/>
      <c r="O6" s="231" t="s">
        <v>599</v>
      </c>
      <c r="P6" s="199">
        <f>COUNT(C24:C34)</f>
        <v>11</v>
      </c>
      <c r="Q6" s="200">
        <v>11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44595</v>
      </c>
      <c r="D7" s="40" t="s">
        <v>8</v>
      </c>
      <c r="E7" s="40" t="s">
        <v>28</v>
      </c>
      <c r="F7" s="126">
        <v>814</v>
      </c>
      <c r="G7" s="126">
        <v>818</v>
      </c>
      <c r="H7" s="39">
        <v>44595</v>
      </c>
      <c r="I7" s="41">
        <v>2750</v>
      </c>
      <c r="J7" s="130">
        <v>4</v>
      </c>
      <c r="K7" s="41">
        <f t="shared" ref="K7:K14" si="1">J7*I7</f>
        <v>11000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44599</v>
      </c>
      <c r="D8" s="40" t="s">
        <v>8</v>
      </c>
      <c r="E8" s="40" t="s">
        <v>841</v>
      </c>
      <c r="F8" s="128">
        <v>1455</v>
      </c>
      <c r="G8" s="126">
        <v>1466</v>
      </c>
      <c r="H8" s="39">
        <v>44600</v>
      </c>
      <c r="I8" s="41">
        <v>1200</v>
      </c>
      <c r="J8" s="130">
        <f>1466-1455</f>
        <v>11</v>
      </c>
      <c r="K8" s="41">
        <f t="shared" si="1"/>
        <v>13200</v>
      </c>
      <c r="L8" s="42" t="s">
        <v>646</v>
      </c>
      <c r="M8" s="32"/>
      <c r="O8" s="231" t="s">
        <v>600</v>
      </c>
      <c r="P8" s="199">
        <f>COUNT(C43:C52)</f>
        <v>5</v>
      </c>
      <c r="Q8" s="200">
        <f>X53</f>
        <v>5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44603</v>
      </c>
      <c r="D9" s="40" t="s">
        <v>8</v>
      </c>
      <c r="E9" s="40" t="s">
        <v>547</v>
      </c>
      <c r="F9" s="126">
        <v>880</v>
      </c>
      <c r="G9" s="126">
        <v>889</v>
      </c>
      <c r="H9" s="39">
        <v>44604</v>
      </c>
      <c r="I9" s="41">
        <v>1400</v>
      </c>
      <c r="J9" s="130">
        <v>8</v>
      </c>
      <c r="K9" s="41">
        <f t="shared" si="1"/>
        <v>11200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44607</v>
      </c>
      <c r="D10" s="40" t="s">
        <v>8</v>
      </c>
      <c r="E10" s="40" t="s">
        <v>68</v>
      </c>
      <c r="F10" s="126">
        <v>1415</v>
      </c>
      <c r="G10" s="126">
        <v>1455</v>
      </c>
      <c r="H10" s="39">
        <v>44608</v>
      </c>
      <c r="I10" s="41">
        <v>1200</v>
      </c>
      <c r="J10" s="130">
        <f>1455-1415</f>
        <v>40</v>
      </c>
      <c r="K10" s="41">
        <f t="shared" si="1"/>
        <v>48000</v>
      </c>
      <c r="L10" s="42" t="s">
        <v>647</v>
      </c>
      <c r="M10" s="32"/>
      <c r="O10" s="171" t="s">
        <v>575</v>
      </c>
      <c r="P10" s="173">
        <f>SUM(P4:P9)</f>
        <v>23</v>
      </c>
      <c r="Q10" s="173">
        <f>SUM(Q4:Q9)</f>
        <v>23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44610</v>
      </c>
      <c r="D11" s="40" t="s">
        <v>8</v>
      </c>
      <c r="E11" s="40" t="s">
        <v>247</v>
      </c>
      <c r="F11" s="126">
        <v>2300</v>
      </c>
      <c r="G11" s="126">
        <v>2325</v>
      </c>
      <c r="H11" s="39">
        <v>44610</v>
      </c>
      <c r="I11" s="41">
        <v>600</v>
      </c>
      <c r="J11" s="85">
        <v>25</v>
      </c>
      <c r="K11" s="41">
        <f t="shared" si="1"/>
        <v>15000</v>
      </c>
      <c r="L11" s="42" t="s">
        <v>646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44615</v>
      </c>
      <c r="D12" s="40" t="s">
        <v>8</v>
      </c>
      <c r="E12" s="40" t="s">
        <v>842</v>
      </c>
      <c r="F12" s="126">
        <v>1705</v>
      </c>
      <c r="G12" s="126">
        <v>1718</v>
      </c>
      <c r="H12" s="39">
        <v>44615</v>
      </c>
      <c r="I12" s="41">
        <v>1000</v>
      </c>
      <c r="J12" s="85">
        <f>1718-1705</f>
        <v>13</v>
      </c>
      <c r="K12" s="41">
        <f t="shared" si="1"/>
        <v>13000</v>
      </c>
      <c r="L12" s="42" t="s">
        <v>646</v>
      </c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143400</v>
      </c>
      <c r="L16" s="86"/>
      <c r="M16" s="32"/>
      <c r="X16" s="29">
        <f>SUM(X6:X15)</f>
        <v>7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44593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44593</v>
      </c>
      <c r="D24" s="40" t="s">
        <v>8</v>
      </c>
      <c r="E24" s="35" t="s">
        <v>30</v>
      </c>
      <c r="F24" s="36">
        <v>17520</v>
      </c>
      <c r="G24" s="36">
        <v>17620</v>
      </c>
      <c r="H24" s="39">
        <v>44593</v>
      </c>
      <c r="I24" s="36">
        <v>250</v>
      </c>
      <c r="J24" s="41">
        <v>100</v>
      </c>
      <c r="K24" s="41">
        <f>J24*I24</f>
        <v>25000</v>
      </c>
      <c r="L24" s="37" t="s">
        <v>642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44593</v>
      </c>
      <c r="D25" s="40" t="s">
        <v>8</v>
      </c>
      <c r="E25" s="40" t="s">
        <v>619</v>
      </c>
      <c r="F25" s="41">
        <v>38500</v>
      </c>
      <c r="G25" s="41">
        <v>38825</v>
      </c>
      <c r="H25" s="39">
        <v>44593</v>
      </c>
      <c r="I25" s="41">
        <v>125</v>
      </c>
      <c r="J25" s="41">
        <f>38825-38500</f>
        <v>325</v>
      </c>
      <c r="K25" s="41">
        <f t="shared" ref="K25:K29" si="8">J25*I25</f>
        <v>40625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44594</v>
      </c>
      <c r="D26" s="40" t="s">
        <v>8</v>
      </c>
      <c r="E26" s="40" t="s">
        <v>619</v>
      </c>
      <c r="F26" s="41">
        <v>39400</v>
      </c>
      <c r="G26" s="41">
        <v>39540</v>
      </c>
      <c r="H26" s="39">
        <v>44595</v>
      </c>
      <c r="I26" s="41">
        <v>125</v>
      </c>
      <c r="J26" s="85">
        <v>140</v>
      </c>
      <c r="K26" s="41">
        <f t="shared" si="8"/>
        <v>17500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44600</v>
      </c>
      <c r="D27" s="40" t="s">
        <v>8</v>
      </c>
      <c r="E27" s="40" t="s">
        <v>30</v>
      </c>
      <c r="F27" s="41">
        <v>17240</v>
      </c>
      <c r="G27" s="41">
        <v>17440</v>
      </c>
      <c r="H27" s="39">
        <v>44601</v>
      </c>
      <c r="I27" s="41">
        <v>250</v>
      </c>
      <c r="J27" s="85">
        <v>200</v>
      </c>
      <c r="K27" s="41">
        <f t="shared" si="8"/>
        <v>50000</v>
      </c>
      <c r="L27" s="42" t="s">
        <v>647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44607</v>
      </c>
      <c r="D28" s="40" t="s">
        <v>13</v>
      </c>
      <c r="E28" s="40" t="s">
        <v>30</v>
      </c>
      <c r="F28" s="41">
        <v>17300</v>
      </c>
      <c r="G28" s="41">
        <v>17240</v>
      </c>
      <c r="H28" s="39">
        <v>44608</v>
      </c>
      <c r="I28" s="41">
        <v>250</v>
      </c>
      <c r="J28" s="85">
        <f>17300-17240</f>
        <v>60</v>
      </c>
      <c r="K28" s="41">
        <f t="shared" si="8"/>
        <v>15000</v>
      </c>
      <c r="L28" s="42" t="s">
        <v>646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44608</v>
      </c>
      <c r="D29" s="40" t="s">
        <v>13</v>
      </c>
      <c r="E29" s="40" t="s">
        <v>619</v>
      </c>
      <c r="F29" s="41">
        <v>38100</v>
      </c>
      <c r="G29" s="41">
        <v>37490</v>
      </c>
      <c r="H29" s="39">
        <v>44609</v>
      </c>
      <c r="I29" s="41">
        <v>125</v>
      </c>
      <c r="J29" s="85">
        <f>38100-37490</f>
        <v>610</v>
      </c>
      <c r="K29" s="41">
        <f t="shared" si="8"/>
        <v>76250</v>
      </c>
      <c r="L29" s="42" t="s">
        <v>646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44610</v>
      </c>
      <c r="D30" s="40" t="s">
        <v>8</v>
      </c>
      <c r="E30" s="40" t="s">
        <v>30</v>
      </c>
      <c r="F30" s="41">
        <v>17330</v>
      </c>
      <c r="G30" s="41">
        <v>17380</v>
      </c>
      <c r="H30" s="39">
        <v>44610</v>
      </c>
      <c r="I30" s="41">
        <v>250</v>
      </c>
      <c r="J30" s="85">
        <v>50</v>
      </c>
      <c r="K30" s="41">
        <f>J30*I30</f>
        <v>12500</v>
      </c>
      <c r="L30" s="42" t="s">
        <v>646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>
        <v>44614</v>
      </c>
      <c r="D31" s="40" t="s">
        <v>13</v>
      </c>
      <c r="E31" s="40" t="s">
        <v>619</v>
      </c>
      <c r="F31" s="41">
        <v>37200</v>
      </c>
      <c r="G31" s="41">
        <v>36100</v>
      </c>
      <c r="H31" s="39">
        <v>44616</v>
      </c>
      <c r="I31" s="41">
        <v>125</v>
      </c>
      <c r="J31" s="85">
        <v>1100</v>
      </c>
      <c r="K31" s="41">
        <f>J31*I31</f>
        <v>137500</v>
      </c>
      <c r="L31" s="42" t="s">
        <v>647</v>
      </c>
      <c r="M31" s="32"/>
      <c r="X31" s="29">
        <f t="shared" si="6"/>
        <v>1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>
        <v>44615</v>
      </c>
      <c r="D32" s="40" t="s">
        <v>13</v>
      </c>
      <c r="E32" s="40" t="s">
        <v>619</v>
      </c>
      <c r="F32" s="41">
        <v>37600</v>
      </c>
      <c r="G32" s="41">
        <v>37460</v>
      </c>
      <c r="H32" s="39">
        <v>44616</v>
      </c>
      <c r="I32" s="41">
        <v>125</v>
      </c>
      <c r="J32" s="85">
        <f>37600-37460</f>
        <v>140</v>
      </c>
      <c r="K32" s="41">
        <f t="shared" ref="K32:K34" si="10">J32*I32</f>
        <v>17500</v>
      </c>
      <c r="L32" s="42" t="s">
        <v>646</v>
      </c>
      <c r="M32" s="32"/>
      <c r="X32" s="29">
        <f t="shared" si="6"/>
        <v>1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>
        <v>44615</v>
      </c>
      <c r="D33" s="40" t="s">
        <v>13</v>
      </c>
      <c r="E33" s="40" t="s">
        <v>30</v>
      </c>
      <c r="F33" s="41">
        <v>17170</v>
      </c>
      <c r="G33" s="41">
        <v>16660</v>
      </c>
      <c r="H33" s="39">
        <v>44616</v>
      </c>
      <c r="I33" s="41">
        <v>250</v>
      </c>
      <c r="J33" s="85">
        <f>17170-16660</f>
        <v>510</v>
      </c>
      <c r="K33" s="41">
        <f t="shared" si="10"/>
        <v>127500</v>
      </c>
      <c r="L33" s="42" t="s">
        <v>647</v>
      </c>
      <c r="M33" s="32"/>
    </row>
    <row r="34" spans="1:25" ht="15" thickBot="1" x14ac:dyDescent="0.35">
      <c r="A34" s="31"/>
      <c r="B34" s="38">
        <f t="shared" si="9"/>
        <v>11</v>
      </c>
      <c r="C34" s="39">
        <v>44620</v>
      </c>
      <c r="D34" s="40" t="s">
        <v>8</v>
      </c>
      <c r="E34" s="40" t="s">
        <v>30</v>
      </c>
      <c r="F34" s="41">
        <v>16700</v>
      </c>
      <c r="G34" s="41">
        <v>16800</v>
      </c>
      <c r="H34" s="39">
        <v>44616</v>
      </c>
      <c r="I34" s="41">
        <v>250</v>
      </c>
      <c r="J34" s="85">
        <v>100</v>
      </c>
      <c r="K34" s="41">
        <f t="shared" si="10"/>
        <v>25000</v>
      </c>
      <c r="L34" s="42" t="s">
        <v>642</v>
      </c>
      <c r="M34" s="32"/>
      <c r="X34" s="29">
        <f t="shared" si="6"/>
        <v>1</v>
      </c>
      <c r="Y34" s="29">
        <f t="shared" si="7"/>
        <v>0</v>
      </c>
    </row>
    <row r="35" spans="1:25" ht="24" thickBot="1" x14ac:dyDescent="0.5">
      <c r="A35" s="31"/>
      <c r="B35" s="159" t="s">
        <v>577</v>
      </c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544375</v>
      </c>
      <c r="L35" s="86"/>
      <c r="M35" s="32"/>
      <c r="X35" s="29">
        <f>SUM(X24:X34)</f>
        <v>10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44593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44594</v>
      </c>
      <c r="D43" s="40" t="s">
        <v>8</v>
      </c>
      <c r="E43" s="40" t="s">
        <v>836</v>
      </c>
      <c r="F43" s="126">
        <v>13</v>
      </c>
      <c r="G43" s="126">
        <v>17</v>
      </c>
      <c r="H43" s="39">
        <v>44595</v>
      </c>
      <c r="I43" s="41">
        <v>4000</v>
      </c>
      <c r="J43" s="126">
        <v>4</v>
      </c>
      <c r="K43" s="41">
        <f>J43*I43</f>
        <v>16000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44603</v>
      </c>
      <c r="D44" s="40" t="s">
        <v>8</v>
      </c>
      <c r="E44" s="40" t="s">
        <v>837</v>
      </c>
      <c r="F44" s="126">
        <v>100</v>
      </c>
      <c r="G44" s="126">
        <v>180</v>
      </c>
      <c r="H44" s="39">
        <v>44606</v>
      </c>
      <c r="I44" s="41">
        <v>200</v>
      </c>
      <c r="J44" s="126">
        <v>80</v>
      </c>
      <c r="K44" s="41">
        <f t="shared" ref="K44:K50" si="13">J44*I44</f>
        <v>16000</v>
      </c>
      <c r="L44" s="124" t="s">
        <v>647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44607</v>
      </c>
      <c r="D45" s="40" t="s">
        <v>8</v>
      </c>
      <c r="E45" s="40" t="s">
        <v>838</v>
      </c>
      <c r="F45" s="126">
        <v>45</v>
      </c>
      <c r="G45" s="126">
        <v>30</v>
      </c>
      <c r="H45" s="39">
        <v>44607</v>
      </c>
      <c r="I45" s="41">
        <v>600</v>
      </c>
      <c r="J45" s="126">
        <v>15</v>
      </c>
      <c r="K45" s="41">
        <f t="shared" si="13"/>
        <v>9000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44610</v>
      </c>
      <c r="D46" s="40" t="s">
        <v>8</v>
      </c>
      <c r="E46" s="40" t="s">
        <v>839</v>
      </c>
      <c r="F46" s="126">
        <v>30</v>
      </c>
      <c r="G46" s="126">
        <v>38</v>
      </c>
      <c r="H46" s="39">
        <v>44610</v>
      </c>
      <c r="I46" s="41">
        <v>600</v>
      </c>
      <c r="J46" s="126">
        <v>8</v>
      </c>
      <c r="K46" s="41">
        <f t="shared" si="13"/>
        <v>4800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44614</v>
      </c>
      <c r="D47" s="40" t="s">
        <v>8</v>
      </c>
      <c r="E47" s="40" t="s">
        <v>840</v>
      </c>
      <c r="F47" s="126">
        <v>28</v>
      </c>
      <c r="G47" s="126">
        <v>42</v>
      </c>
      <c r="H47" s="39">
        <v>44615</v>
      </c>
      <c r="I47" s="41">
        <v>500</v>
      </c>
      <c r="J47" s="126">
        <f>42-28</f>
        <v>14</v>
      </c>
      <c r="K47" s="41">
        <f t="shared" si="13"/>
        <v>7000</v>
      </c>
      <c r="L47" s="42" t="s">
        <v>642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/>
      <c r="D48" s="40"/>
      <c r="E48" s="40"/>
      <c r="F48" s="126"/>
      <c r="G48" s="126"/>
      <c r="H48" s="39"/>
      <c r="I48" s="41"/>
      <c r="J48" s="126"/>
      <c r="K48" s="41">
        <f t="shared" si="13"/>
        <v>0</v>
      </c>
      <c r="L48" s="42"/>
      <c r="M48" s="32"/>
      <c r="X48" s="29">
        <f t="shared" si="11"/>
        <v>0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41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41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52800</v>
      </c>
      <c r="L53" s="86"/>
      <c r="M53" s="32"/>
      <c r="X53" s="29">
        <f>SUM(X43:X52)</f>
        <v>5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6B00-000000000000}"/>
    <hyperlink ref="O1" location="'Home Page'!A1" display="Back" xr:uid="{00000000-0004-0000-6B00-000001000000}"/>
    <hyperlink ref="B35" r:id="rId2" xr:uid="{00000000-0004-0000-6B00-000002000000}"/>
    <hyperlink ref="B53" r:id="rId3" xr:uid="{00000000-0004-0000-6B00-000003000000}"/>
    <hyperlink ref="O4:O5" location="'FEB 2022'!A1" display="PREMIUM STOCK FUTURE" xr:uid="{00000000-0004-0000-6B00-000004000000}"/>
    <hyperlink ref="O6:O7" location="'FEB 2022'!A1" display="PREMIUM NIFTY FUTURE" xr:uid="{00000000-0004-0000-6B00-000005000000}"/>
    <hyperlink ref="O8:O9" location="'FEB 2022'!A1" display="PREMIUM OPTOIN" xr:uid="{00000000-0004-0000-6B00-000006000000}"/>
  </hyperlinks>
  <pageMargins left="0" right="0" top="0" bottom="0" header="0" footer="0"/>
  <pageSetup paperSize="9" orientation="portrait" r:id="rId4"/>
  <drawing r:id="rId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10"/>
  <dimension ref="A1:Y54"/>
  <sheetViews>
    <sheetView topLeftCell="A16" workbookViewId="0">
      <selection activeCell="I19" sqref="I19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44621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9</v>
      </c>
      <c r="Q4" s="208">
        <f>X16</f>
        <v>9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44622</v>
      </c>
      <c r="D6" s="35" t="s">
        <v>8</v>
      </c>
      <c r="E6" s="35" t="s">
        <v>843</v>
      </c>
      <c r="F6" s="126">
        <v>1315</v>
      </c>
      <c r="G6" s="126">
        <v>1329.7</v>
      </c>
      <c r="H6" s="34">
        <v>44623</v>
      </c>
      <c r="I6" s="36">
        <v>850</v>
      </c>
      <c r="J6" s="129">
        <f>1329.7-1315</f>
        <v>14.700000000000045</v>
      </c>
      <c r="K6" s="41">
        <f>J6*I6</f>
        <v>12495.000000000038</v>
      </c>
      <c r="L6" s="42" t="s">
        <v>646</v>
      </c>
      <c r="M6" s="32"/>
      <c r="O6" s="231" t="s">
        <v>599</v>
      </c>
      <c r="P6" s="199">
        <f>COUNT(C24:C34)</f>
        <v>9</v>
      </c>
      <c r="Q6" s="200">
        <v>8</v>
      </c>
      <c r="R6" s="200">
        <f>Y35</f>
        <v>1</v>
      </c>
      <c r="S6" s="201">
        <v>0</v>
      </c>
      <c r="T6" s="197">
        <f t="shared" ref="T6" si="0">Q6/P6</f>
        <v>0.88888888888888884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44624</v>
      </c>
      <c r="D7" s="40" t="s">
        <v>8</v>
      </c>
      <c r="E7" s="40" t="s">
        <v>699</v>
      </c>
      <c r="F7" s="126">
        <v>6050</v>
      </c>
      <c r="G7" s="126">
        <v>6172</v>
      </c>
      <c r="H7" s="39">
        <v>44624</v>
      </c>
      <c r="I7" s="41">
        <v>200</v>
      </c>
      <c r="J7" s="130">
        <f>6172-6050</f>
        <v>122</v>
      </c>
      <c r="K7" s="41">
        <f t="shared" ref="K7:K14" si="1">J7*I7</f>
        <v>24400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44627</v>
      </c>
      <c r="D8" s="40" t="s">
        <v>8</v>
      </c>
      <c r="E8" s="40" t="s">
        <v>843</v>
      </c>
      <c r="F8" s="128">
        <v>1292</v>
      </c>
      <c r="G8" s="126">
        <v>1306</v>
      </c>
      <c r="H8" s="39">
        <v>44627</v>
      </c>
      <c r="I8" s="41">
        <v>850</v>
      </c>
      <c r="J8" s="130">
        <f>1306-1292</f>
        <v>14</v>
      </c>
      <c r="K8" s="41">
        <f t="shared" si="1"/>
        <v>11900</v>
      </c>
      <c r="L8" s="42" t="s">
        <v>646</v>
      </c>
      <c r="M8" s="32"/>
      <c r="O8" s="231" t="s">
        <v>600</v>
      </c>
      <c r="P8" s="199">
        <f>COUNT(C43:C52)</f>
        <v>7</v>
      </c>
      <c r="Q8" s="200">
        <f>X53</f>
        <v>7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44631</v>
      </c>
      <c r="D9" s="40" t="s">
        <v>8</v>
      </c>
      <c r="E9" s="40" t="s">
        <v>380</v>
      </c>
      <c r="F9" s="126">
        <v>4330</v>
      </c>
      <c r="G9" s="126">
        <v>4407</v>
      </c>
      <c r="H9" s="39">
        <v>44634</v>
      </c>
      <c r="I9" s="41">
        <v>200</v>
      </c>
      <c r="J9" s="130">
        <f>4407-4330</f>
        <v>77</v>
      </c>
      <c r="K9" s="41">
        <f t="shared" si="1"/>
        <v>15400</v>
      </c>
      <c r="L9" s="42" t="s">
        <v>651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44635</v>
      </c>
      <c r="D10" s="40" t="s">
        <v>8</v>
      </c>
      <c r="E10" s="40" t="s">
        <v>844</v>
      </c>
      <c r="F10" s="126">
        <v>765</v>
      </c>
      <c r="G10" s="126">
        <v>774.5</v>
      </c>
      <c r="H10" s="39">
        <v>44635</v>
      </c>
      <c r="I10" s="41">
        <v>1350</v>
      </c>
      <c r="J10" s="130">
        <f>774.5-765</f>
        <v>9.5</v>
      </c>
      <c r="K10" s="41">
        <f t="shared" si="1"/>
        <v>12825</v>
      </c>
      <c r="L10" s="42" t="s">
        <v>646</v>
      </c>
      <c r="M10" s="32"/>
      <c r="O10" s="171" t="s">
        <v>575</v>
      </c>
      <c r="P10" s="173">
        <f>SUM(P4:P9)</f>
        <v>25</v>
      </c>
      <c r="Q10" s="173">
        <f>SUM(Q4:Q9)</f>
        <v>24</v>
      </c>
      <c r="R10" s="173">
        <f>SUM(R4:R9)</f>
        <v>1</v>
      </c>
      <c r="S10" s="193">
        <f>SUM(S4:S9)</f>
        <v>0</v>
      </c>
      <c r="T10" s="195">
        <f t="shared" si="5"/>
        <v>0.96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44636</v>
      </c>
      <c r="D11" s="40" t="s">
        <v>8</v>
      </c>
      <c r="E11" s="40" t="s">
        <v>843</v>
      </c>
      <c r="F11" s="126">
        <v>1265</v>
      </c>
      <c r="G11" s="126">
        <v>1305</v>
      </c>
      <c r="H11" s="39">
        <v>44637</v>
      </c>
      <c r="I11" s="41">
        <v>850</v>
      </c>
      <c r="J11" s="85">
        <f>1305-1265</f>
        <v>40</v>
      </c>
      <c r="K11" s="41">
        <f t="shared" si="1"/>
        <v>34000</v>
      </c>
      <c r="L11" s="42" t="s">
        <v>647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44641</v>
      </c>
      <c r="D12" s="40" t="s">
        <v>8</v>
      </c>
      <c r="E12" s="40" t="s">
        <v>366</v>
      </c>
      <c r="F12" s="126">
        <v>745</v>
      </c>
      <c r="G12" s="126">
        <v>751</v>
      </c>
      <c r="H12" s="39">
        <v>44641</v>
      </c>
      <c r="I12" s="41">
        <v>2500</v>
      </c>
      <c r="J12" s="85">
        <f>751-745</f>
        <v>6</v>
      </c>
      <c r="K12" s="41">
        <f t="shared" si="1"/>
        <v>15000</v>
      </c>
      <c r="L12" s="42" t="s">
        <v>646</v>
      </c>
      <c r="M12" s="32"/>
      <c r="O12" s="175" t="s">
        <v>576</v>
      </c>
      <c r="P12" s="176"/>
      <c r="Q12" s="177"/>
      <c r="R12" s="184">
        <f>T10</f>
        <v>0.96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>
        <v>44644</v>
      </c>
      <c r="D13" s="40" t="s">
        <v>8</v>
      </c>
      <c r="E13" s="40" t="s">
        <v>845</v>
      </c>
      <c r="F13" s="126">
        <v>1725</v>
      </c>
      <c r="G13" s="126">
        <v>1735</v>
      </c>
      <c r="H13" s="39">
        <v>44642</v>
      </c>
      <c r="I13" s="41">
        <v>800</v>
      </c>
      <c r="J13" s="85">
        <v>10</v>
      </c>
      <c r="K13" s="41">
        <f t="shared" si="1"/>
        <v>8000</v>
      </c>
      <c r="L13" s="42" t="s">
        <v>646</v>
      </c>
      <c r="M13" s="32"/>
      <c r="N13" s="29">
        <v>8</v>
      </c>
      <c r="O13" s="178"/>
      <c r="P13" s="179"/>
      <c r="Q13" s="180"/>
      <c r="R13" s="187"/>
      <c r="S13" s="188"/>
      <c r="T13" s="189"/>
      <c r="X13" s="29">
        <f t="shared" si="2"/>
        <v>1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>
        <v>44645</v>
      </c>
      <c r="D14" s="40" t="s">
        <v>8</v>
      </c>
      <c r="E14" s="40" t="s">
        <v>853</v>
      </c>
      <c r="F14" s="41">
        <v>320</v>
      </c>
      <c r="G14" s="41">
        <v>323</v>
      </c>
      <c r="H14" s="39">
        <v>44645</v>
      </c>
      <c r="I14" s="41">
        <v>4600</v>
      </c>
      <c r="J14" s="85">
        <v>3</v>
      </c>
      <c r="K14" s="41">
        <f t="shared" si="1"/>
        <v>13800</v>
      </c>
      <c r="L14" s="42" t="s">
        <v>646</v>
      </c>
      <c r="M14" s="32"/>
      <c r="O14" s="181"/>
      <c r="P14" s="182"/>
      <c r="Q14" s="183"/>
      <c r="R14" s="190"/>
      <c r="S14" s="191"/>
      <c r="T14" s="192"/>
      <c r="X14" s="29">
        <f t="shared" si="2"/>
        <v>1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147820.00000000003</v>
      </c>
      <c r="L16" s="86"/>
      <c r="M16" s="32"/>
      <c r="X16" s="29">
        <f>SUM(X6:X15)</f>
        <v>9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44621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44624</v>
      </c>
      <c r="D24" s="40" t="s">
        <v>13</v>
      </c>
      <c r="E24" s="35" t="s">
        <v>30</v>
      </c>
      <c r="F24" s="36">
        <v>16400</v>
      </c>
      <c r="G24" s="36">
        <v>15860</v>
      </c>
      <c r="H24" s="39">
        <v>44627</v>
      </c>
      <c r="I24" s="36">
        <v>250</v>
      </c>
      <c r="J24" s="41">
        <f>16400-15860</f>
        <v>540</v>
      </c>
      <c r="K24" s="41">
        <f>J24*I24</f>
        <v>135000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44627</v>
      </c>
      <c r="D25" s="40" t="s">
        <v>8</v>
      </c>
      <c r="E25" s="40" t="s">
        <v>30</v>
      </c>
      <c r="F25" s="41">
        <v>15850</v>
      </c>
      <c r="G25" s="41">
        <v>15894</v>
      </c>
      <c r="H25" s="39">
        <v>44627</v>
      </c>
      <c r="I25" s="41">
        <v>250</v>
      </c>
      <c r="J25" s="41">
        <f>15894-15850</f>
        <v>44</v>
      </c>
      <c r="K25" s="41">
        <f t="shared" ref="K25:K29" si="8">J25*I25</f>
        <v>11000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44629</v>
      </c>
      <c r="D26" s="40" t="s">
        <v>8</v>
      </c>
      <c r="E26" s="40" t="s">
        <v>619</v>
      </c>
      <c r="F26" s="41">
        <v>33500</v>
      </c>
      <c r="G26" s="41">
        <v>35180</v>
      </c>
      <c r="H26" s="39">
        <v>44629</v>
      </c>
      <c r="I26" s="41">
        <v>125</v>
      </c>
      <c r="J26" s="85">
        <f>35180-33500</f>
        <v>1680</v>
      </c>
      <c r="K26" s="41">
        <f t="shared" si="8"/>
        <v>210000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44631</v>
      </c>
      <c r="D27" s="40" t="s">
        <v>13</v>
      </c>
      <c r="E27" s="40" t="s">
        <v>619</v>
      </c>
      <c r="F27" s="41">
        <v>34700</v>
      </c>
      <c r="G27" s="41">
        <v>34440</v>
      </c>
      <c r="H27" s="39">
        <v>44631</v>
      </c>
      <c r="I27" s="41">
        <v>250</v>
      </c>
      <c r="J27" s="85">
        <f>34700-34440</f>
        <v>260</v>
      </c>
      <c r="K27" s="41">
        <f t="shared" si="8"/>
        <v>65000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44635</v>
      </c>
      <c r="D28" s="40" t="s">
        <v>13</v>
      </c>
      <c r="E28" s="40" t="s">
        <v>30</v>
      </c>
      <c r="F28" s="41">
        <v>16720</v>
      </c>
      <c r="G28" s="41">
        <v>16580</v>
      </c>
      <c r="H28" s="39">
        <v>44635</v>
      </c>
      <c r="I28" s="41">
        <v>250</v>
      </c>
      <c r="J28" s="85">
        <f>16720-16580</f>
        <v>140</v>
      </c>
      <c r="K28" s="41">
        <f t="shared" si="8"/>
        <v>35000</v>
      </c>
      <c r="L28" s="42" t="s">
        <v>651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44641</v>
      </c>
      <c r="D29" s="40" t="s">
        <v>8</v>
      </c>
      <c r="E29" s="40" t="s">
        <v>30</v>
      </c>
      <c r="F29" s="41">
        <v>17200</v>
      </c>
      <c r="G29" s="41">
        <v>17100</v>
      </c>
      <c r="H29" s="39">
        <v>44642</v>
      </c>
      <c r="I29" s="41">
        <v>250</v>
      </c>
      <c r="J29" s="85">
        <v>-100</v>
      </c>
      <c r="K29" s="41">
        <f t="shared" si="8"/>
        <v>-25000</v>
      </c>
      <c r="L29" s="42" t="s">
        <v>197</v>
      </c>
      <c r="M29" s="32"/>
      <c r="X29" s="29">
        <f t="shared" si="6"/>
        <v>0</v>
      </c>
      <c r="Y29" s="29">
        <f t="shared" si="7"/>
        <v>1</v>
      </c>
    </row>
    <row r="30" spans="1:25" x14ac:dyDescent="0.3">
      <c r="A30" s="31"/>
      <c r="B30" s="38">
        <f t="shared" si="9"/>
        <v>7</v>
      </c>
      <c r="C30" s="39">
        <v>44643</v>
      </c>
      <c r="D30" s="40" t="s">
        <v>13</v>
      </c>
      <c r="E30" s="40" t="s">
        <v>30</v>
      </c>
      <c r="F30" s="41">
        <v>17330</v>
      </c>
      <c r="G30" s="41">
        <v>17130</v>
      </c>
      <c r="H30" s="39">
        <v>44644</v>
      </c>
      <c r="I30" s="41">
        <v>250</v>
      </c>
      <c r="J30" s="85">
        <f>17330-17130</f>
        <v>200</v>
      </c>
      <c r="K30" s="41">
        <f>J30*I30</f>
        <v>50000</v>
      </c>
      <c r="L30" s="42" t="s">
        <v>651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>
        <v>44648</v>
      </c>
      <c r="D31" s="40" t="s">
        <v>13</v>
      </c>
      <c r="E31" s="40" t="s">
        <v>30</v>
      </c>
      <c r="F31" s="41">
        <v>17060</v>
      </c>
      <c r="G31" s="41">
        <v>17035</v>
      </c>
      <c r="H31" s="39">
        <v>44648</v>
      </c>
      <c r="I31" s="41">
        <v>250</v>
      </c>
      <c r="J31" s="85">
        <v>25</v>
      </c>
      <c r="K31" s="41">
        <f>J31*I31</f>
        <v>6250</v>
      </c>
      <c r="L31" s="42" t="s">
        <v>646</v>
      </c>
      <c r="M31" s="32"/>
      <c r="X31" s="29">
        <f t="shared" si="6"/>
        <v>1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>
        <v>44649</v>
      </c>
      <c r="D32" s="40" t="s">
        <v>8</v>
      </c>
      <c r="E32" s="40" t="s">
        <v>619</v>
      </c>
      <c r="F32" s="41">
        <v>35900</v>
      </c>
      <c r="G32" s="41">
        <v>36410</v>
      </c>
      <c r="H32" s="39">
        <v>44649</v>
      </c>
      <c r="I32" s="41">
        <v>250</v>
      </c>
      <c r="J32" s="85">
        <f>36410-35900</f>
        <v>510</v>
      </c>
      <c r="K32" s="41">
        <f t="shared" ref="K32:K34" si="10">J32*I32</f>
        <v>127500</v>
      </c>
      <c r="L32" s="42" t="s">
        <v>651</v>
      </c>
      <c r="M32" s="32"/>
      <c r="X32" s="29">
        <f t="shared" si="6"/>
        <v>1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 t="s">
        <v>577</v>
      </c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614750</v>
      </c>
      <c r="L35" s="86"/>
      <c r="M35" s="32"/>
      <c r="X35" s="29">
        <f>SUM(X24:X34)</f>
        <v>8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44621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44622</v>
      </c>
      <c r="D43" s="40" t="s">
        <v>8</v>
      </c>
      <c r="E43" s="40" t="s">
        <v>846</v>
      </c>
      <c r="F43" s="126">
        <v>18</v>
      </c>
      <c r="G43" s="126">
        <v>38</v>
      </c>
      <c r="H43" s="39">
        <v>44624</v>
      </c>
      <c r="I43" s="41">
        <v>1400</v>
      </c>
      <c r="J43" s="126">
        <f>38-18</f>
        <v>20</v>
      </c>
      <c r="K43" s="41">
        <f>J43*I43</f>
        <v>28000</v>
      </c>
      <c r="L43" s="37" t="s">
        <v>647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44627</v>
      </c>
      <c r="D44" s="40" t="s">
        <v>8</v>
      </c>
      <c r="E44" s="40" t="s">
        <v>847</v>
      </c>
      <c r="F44" s="126">
        <v>23</v>
      </c>
      <c r="G44" s="126">
        <v>29.5</v>
      </c>
      <c r="H44" s="39">
        <v>44628</v>
      </c>
      <c r="I44" s="41">
        <v>2600</v>
      </c>
      <c r="J44" s="126">
        <f>29.5-23</f>
        <v>6.5</v>
      </c>
      <c r="K44" s="41">
        <f t="shared" ref="K44:K50" si="13">J44*I44</f>
        <v>16900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44631</v>
      </c>
      <c r="D45" s="40" t="s">
        <v>8</v>
      </c>
      <c r="E45" s="40" t="s">
        <v>848</v>
      </c>
      <c r="F45" s="126">
        <v>63</v>
      </c>
      <c r="G45" s="126">
        <v>72.900000000000006</v>
      </c>
      <c r="H45" s="39">
        <v>44634</v>
      </c>
      <c r="I45" s="41">
        <v>500</v>
      </c>
      <c r="J45" s="126">
        <f>72.9-63</f>
        <v>9.9000000000000057</v>
      </c>
      <c r="K45" s="41">
        <f t="shared" si="13"/>
        <v>4950.0000000000027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44635</v>
      </c>
      <c r="D46" s="40" t="s">
        <v>8</v>
      </c>
      <c r="E46" s="40" t="s">
        <v>849</v>
      </c>
      <c r="F46" s="126">
        <v>20</v>
      </c>
      <c r="G46" s="126">
        <v>30</v>
      </c>
      <c r="H46" s="39">
        <v>44637</v>
      </c>
      <c r="I46" s="41">
        <v>1000</v>
      </c>
      <c r="J46" s="126">
        <v>10</v>
      </c>
      <c r="K46" s="41">
        <f t="shared" si="13"/>
        <v>10000</v>
      </c>
      <c r="L46" s="42" t="s">
        <v>642</v>
      </c>
      <c r="M46" s="32"/>
      <c r="P46" s="29" t="s">
        <v>565</v>
      </c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44636</v>
      </c>
      <c r="D47" s="40" t="s">
        <v>8</v>
      </c>
      <c r="E47" s="40" t="s">
        <v>850</v>
      </c>
      <c r="F47" s="126">
        <v>35</v>
      </c>
      <c r="G47" s="126">
        <v>54.7</v>
      </c>
      <c r="H47" s="39">
        <v>44637</v>
      </c>
      <c r="I47" s="41">
        <v>800</v>
      </c>
      <c r="J47" s="126">
        <f>54.7-35</f>
        <v>19.700000000000003</v>
      </c>
      <c r="K47" s="41">
        <f t="shared" si="13"/>
        <v>15760.000000000002</v>
      </c>
      <c r="L47" s="42" t="s">
        <v>651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44641</v>
      </c>
      <c r="D48" s="40" t="s">
        <v>8</v>
      </c>
      <c r="E48" s="40" t="s">
        <v>851</v>
      </c>
      <c r="F48" s="126">
        <v>13</v>
      </c>
      <c r="G48" s="126">
        <v>15.5</v>
      </c>
      <c r="H48" s="39">
        <v>44641</v>
      </c>
      <c r="I48" s="41">
        <v>2500</v>
      </c>
      <c r="J48" s="126">
        <f>15.5-13</f>
        <v>2.5</v>
      </c>
      <c r="K48" s="41">
        <f t="shared" si="13"/>
        <v>6250</v>
      </c>
      <c r="L48" s="42" t="s">
        <v>646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44642</v>
      </c>
      <c r="D49" s="40" t="s">
        <v>8</v>
      </c>
      <c r="E49" s="40" t="s">
        <v>852</v>
      </c>
      <c r="F49" s="126">
        <v>7</v>
      </c>
      <c r="G49" s="126">
        <v>10.8</v>
      </c>
      <c r="H49" s="39">
        <v>44642</v>
      </c>
      <c r="I49" s="41">
        <v>5700</v>
      </c>
      <c r="J49" s="130">
        <f>10.8-7</f>
        <v>3.8000000000000007</v>
      </c>
      <c r="K49" s="41">
        <f t="shared" si="13"/>
        <v>21660.000000000004</v>
      </c>
      <c r="L49" s="42" t="s">
        <v>646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41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41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103520</v>
      </c>
      <c r="L53" s="86"/>
      <c r="M53" s="32"/>
      <c r="X53" s="29">
        <f>SUM(X43:X52)</f>
        <v>7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6C00-000000000000}"/>
    <hyperlink ref="O1" location="'Home Page'!A1" display="Back" xr:uid="{00000000-0004-0000-6C00-000001000000}"/>
    <hyperlink ref="B35" r:id="rId2" xr:uid="{00000000-0004-0000-6C00-000002000000}"/>
    <hyperlink ref="B53" r:id="rId3" xr:uid="{00000000-0004-0000-6C00-000003000000}"/>
    <hyperlink ref="O4:O5" location="'FEB 2022'!A1" display="PREMIUM STOCK FUTURE" xr:uid="{00000000-0004-0000-6C00-000004000000}"/>
    <hyperlink ref="O6:O7" location="'FEB 2022'!A1" display="PREMIUM NIFTY FUTURE" xr:uid="{00000000-0004-0000-6C00-000005000000}"/>
    <hyperlink ref="O8:O9" location="'FEB 2022'!A1" display="PREMIUM OPTOIN" xr:uid="{00000000-0004-0000-6C00-000006000000}"/>
  </hyperlinks>
  <pageMargins left="0" right="0" top="0" bottom="0" header="0" footer="0"/>
  <pageSetup paperSize="9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34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5.10937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110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41641</v>
      </c>
      <c r="C5" s="8" t="s">
        <v>13</v>
      </c>
      <c r="D5" s="8" t="s">
        <v>90</v>
      </c>
      <c r="E5" s="8">
        <v>163</v>
      </c>
      <c r="F5" s="8">
        <v>160</v>
      </c>
      <c r="G5" s="8">
        <v>4000</v>
      </c>
      <c r="H5" s="8">
        <v>12000</v>
      </c>
    </row>
    <row r="6" spans="1:10" ht="25.8" x14ac:dyDescent="0.5">
      <c r="B6" s="7">
        <v>41646</v>
      </c>
      <c r="C6" s="8" t="s">
        <v>13</v>
      </c>
      <c r="D6" s="8" t="s">
        <v>123</v>
      </c>
      <c r="E6" s="8">
        <v>116</v>
      </c>
      <c r="F6" s="8">
        <v>111</v>
      </c>
      <c r="G6" s="8">
        <v>4000</v>
      </c>
      <c r="H6" s="8">
        <v>20000</v>
      </c>
    </row>
    <row r="7" spans="1:10" ht="25.8" x14ac:dyDescent="0.5">
      <c r="B7" s="7">
        <v>41653</v>
      </c>
      <c r="C7" s="8" t="s">
        <v>13</v>
      </c>
      <c r="D7" s="8" t="s">
        <v>27</v>
      </c>
      <c r="E7" s="8">
        <v>330</v>
      </c>
      <c r="F7" s="8">
        <v>320</v>
      </c>
      <c r="G7" s="8">
        <v>2000</v>
      </c>
      <c r="H7" s="8">
        <v>20000</v>
      </c>
    </row>
    <row r="8" spans="1:10" ht="25.8" x14ac:dyDescent="0.5">
      <c r="B8" s="7">
        <v>41659</v>
      </c>
      <c r="C8" s="8" t="s">
        <v>13</v>
      </c>
      <c r="D8" s="8" t="s">
        <v>27</v>
      </c>
      <c r="E8" s="8">
        <v>310</v>
      </c>
      <c r="F8" s="8">
        <v>305</v>
      </c>
      <c r="G8" s="8">
        <v>2000</v>
      </c>
      <c r="H8" s="8">
        <v>10000</v>
      </c>
    </row>
    <row r="9" spans="1:10" ht="25.8" x14ac:dyDescent="0.5">
      <c r="B9" s="7">
        <v>41297</v>
      </c>
      <c r="C9" s="8" t="s">
        <v>20</v>
      </c>
      <c r="D9" s="8" t="s">
        <v>14</v>
      </c>
      <c r="E9" s="8">
        <v>159</v>
      </c>
      <c r="F9" s="8">
        <v>155</v>
      </c>
      <c r="G9" s="8">
        <v>4000</v>
      </c>
      <c r="H9" s="8">
        <v>-20000</v>
      </c>
    </row>
    <row r="10" spans="1:10" ht="25.8" x14ac:dyDescent="0.5">
      <c r="B10" s="7">
        <v>41666</v>
      </c>
      <c r="C10" s="8" t="s">
        <v>13</v>
      </c>
      <c r="D10" s="8" t="s">
        <v>124</v>
      </c>
      <c r="E10" s="8">
        <v>79</v>
      </c>
      <c r="F10" s="8">
        <v>75</v>
      </c>
      <c r="G10" s="8">
        <v>8000</v>
      </c>
      <c r="H10" s="8">
        <v>32000</v>
      </c>
    </row>
    <row r="11" spans="1:10" ht="25.8" x14ac:dyDescent="0.5">
      <c r="B11" s="7"/>
      <c r="C11" s="8"/>
      <c r="D11" s="8"/>
      <c r="E11" s="8"/>
      <c r="F11" s="8"/>
      <c r="G11" s="8"/>
      <c r="H11" s="16">
        <v>74000</v>
      </c>
    </row>
    <row r="13" spans="1:10" ht="15" thickBot="1" x14ac:dyDescent="0.35"/>
    <row r="14" spans="1:10" ht="16.2" thickBot="1" x14ac:dyDescent="0.35">
      <c r="B14" s="158" t="s">
        <v>111</v>
      </c>
      <c r="C14" s="158"/>
      <c r="D14" s="158"/>
      <c r="E14" s="158"/>
      <c r="F14" s="158"/>
      <c r="G14" s="158"/>
      <c r="H14" s="158"/>
    </row>
    <row r="15" spans="1:10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44</v>
      </c>
      <c r="H15" s="3" t="s">
        <v>31</v>
      </c>
    </row>
    <row r="16" spans="1:10" ht="25.8" x14ac:dyDescent="0.5">
      <c r="B16" s="7">
        <v>41640</v>
      </c>
      <c r="C16" s="8" t="s">
        <v>13</v>
      </c>
      <c r="D16" s="8" t="s">
        <v>30</v>
      </c>
      <c r="E16" s="8">
        <v>6250</v>
      </c>
      <c r="F16" s="8">
        <v>6180</v>
      </c>
      <c r="G16" s="8">
        <v>70</v>
      </c>
      <c r="H16" s="8">
        <v>35000</v>
      </c>
    </row>
    <row r="17" spans="2:8" ht="25.8" x14ac:dyDescent="0.5">
      <c r="B17" s="7">
        <v>41649</v>
      </c>
      <c r="C17" s="8" t="s">
        <v>20</v>
      </c>
      <c r="D17" s="8" t="s">
        <v>30</v>
      </c>
      <c r="E17" s="8">
        <v>6250</v>
      </c>
      <c r="F17" s="8">
        <v>6300</v>
      </c>
      <c r="G17" s="8">
        <v>50</v>
      </c>
      <c r="H17" s="8">
        <v>25000</v>
      </c>
    </row>
    <row r="18" spans="2:8" ht="25.8" x14ac:dyDescent="0.5">
      <c r="B18" s="7">
        <v>41656</v>
      </c>
      <c r="C18" s="8" t="s">
        <v>8</v>
      </c>
      <c r="D18" s="8" t="s">
        <v>30</v>
      </c>
      <c r="E18" s="8">
        <v>6300</v>
      </c>
      <c r="F18" s="8">
        <v>6350</v>
      </c>
      <c r="G18" s="8">
        <v>50</v>
      </c>
      <c r="H18" s="8">
        <v>25000</v>
      </c>
    </row>
    <row r="19" spans="2:8" ht="25.8" x14ac:dyDescent="0.5">
      <c r="B19" s="7">
        <v>41298</v>
      </c>
      <c r="C19" s="8" t="s">
        <v>13</v>
      </c>
      <c r="D19" s="8" t="s">
        <v>30</v>
      </c>
      <c r="E19" s="8">
        <v>6280</v>
      </c>
      <c r="F19" s="8">
        <v>6180</v>
      </c>
      <c r="G19" s="8">
        <v>100</v>
      </c>
      <c r="H19" s="8">
        <v>50000</v>
      </c>
    </row>
    <row r="20" spans="2:8" ht="25.8" x14ac:dyDescent="0.5">
      <c r="B20" s="7"/>
      <c r="C20" s="8"/>
      <c r="D20" s="8"/>
      <c r="E20" s="8"/>
      <c r="F20" s="8"/>
      <c r="G20" s="8"/>
      <c r="H20" s="9">
        <v>135000</v>
      </c>
    </row>
    <row r="22" spans="2:8" ht="15" thickBot="1" x14ac:dyDescent="0.35"/>
    <row r="23" spans="2:8" ht="16.2" thickBot="1" x14ac:dyDescent="0.35">
      <c r="B23" s="158" t="s">
        <v>112</v>
      </c>
      <c r="C23" s="158"/>
      <c r="D23" s="158"/>
      <c r="E23" s="158"/>
      <c r="F23" s="158"/>
      <c r="G23" s="158"/>
      <c r="H23" s="158"/>
    </row>
    <row r="24" spans="2:8" x14ac:dyDescent="0.3">
      <c r="B24" s="1" t="s">
        <v>1</v>
      </c>
      <c r="C24" s="2" t="s">
        <v>2</v>
      </c>
      <c r="D24" s="2" t="s">
        <v>3</v>
      </c>
      <c r="E24" s="3" t="s">
        <v>4</v>
      </c>
      <c r="F24" s="3" t="s">
        <v>5</v>
      </c>
      <c r="G24" s="3" t="s">
        <v>6</v>
      </c>
      <c r="H24" s="3" t="s">
        <v>89</v>
      </c>
    </row>
    <row r="25" spans="2:8" ht="25.8" x14ac:dyDescent="0.5">
      <c r="B25" s="7">
        <v>41640</v>
      </c>
      <c r="C25" s="8" t="s">
        <v>20</v>
      </c>
      <c r="D25" s="8" t="s">
        <v>131</v>
      </c>
      <c r="E25" s="8">
        <v>2</v>
      </c>
      <c r="F25" s="8">
        <v>4</v>
      </c>
      <c r="G25" s="8">
        <v>4000</v>
      </c>
      <c r="H25" s="8">
        <v>8000</v>
      </c>
    </row>
    <row r="26" spans="2:8" ht="25.8" x14ac:dyDescent="0.5">
      <c r="B26" s="7">
        <v>41646</v>
      </c>
      <c r="C26" s="8" t="s">
        <v>8</v>
      </c>
      <c r="D26" s="8" t="s">
        <v>133</v>
      </c>
      <c r="E26" s="8">
        <v>3</v>
      </c>
      <c r="F26" s="8">
        <v>6</v>
      </c>
      <c r="G26" s="8">
        <v>4000</v>
      </c>
      <c r="H26" s="8">
        <v>12000</v>
      </c>
    </row>
    <row r="27" spans="2:8" ht="25.8" x14ac:dyDescent="0.5">
      <c r="B27" s="7">
        <v>41652</v>
      </c>
      <c r="C27" s="8" t="s">
        <v>20</v>
      </c>
      <c r="D27" s="8" t="s">
        <v>132</v>
      </c>
      <c r="E27" s="8">
        <v>4</v>
      </c>
      <c r="F27" s="8">
        <v>7</v>
      </c>
      <c r="G27" s="8">
        <v>2000</v>
      </c>
      <c r="H27" s="8">
        <v>6000</v>
      </c>
    </row>
    <row r="28" spans="2:8" ht="25.8" x14ac:dyDescent="0.5">
      <c r="B28" s="7">
        <v>41663</v>
      </c>
      <c r="C28" s="8" t="s">
        <v>20</v>
      </c>
      <c r="D28" s="8" t="s">
        <v>134</v>
      </c>
      <c r="E28" s="8">
        <v>8</v>
      </c>
      <c r="F28" s="8">
        <v>12</v>
      </c>
      <c r="G28" s="8">
        <v>2000</v>
      </c>
      <c r="H28" s="8">
        <v>8000</v>
      </c>
    </row>
    <row r="29" spans="2:8" ht="25.8" x14ac:dyDescent="0.5">
      <c r="B29" s="7"/>
      <c r="C29" s="8"/>
      <c r="D29" s="8"/>
      <c r="E29" s="8"/>
      <c r="F29" s="8"/>
      <c r="G29" s="8"/>
      <c r="H29" s="16">
        <v>34000</v>
      </c>
    </row>
    <row r="30" spans="2:8" ht="25.8" x14ac:dyDescent="0.5">
      <c r="B30" s="13"/>
      <c r="C30" s="8"/>
      <c r="D30" s="8"/>
      <c r="E30" s="8"/>
      <c r="F30" s="8"/>
      <c r="G30" s="8"/>
      <c r="H30" s="8"/>
    </row>
    <row r="31" spans="2:8" ht="25.8" x14ac:dyDescent="0.5">
      <c r="B31" s="13"/>
      <c r="C31" s="8"/>
      <c r="D31" s="8"/>
      <c r="E31" s="8"/>
      <c r="F31" s="8"/>
      <c r="G31" s="8"/>
      <c r="H31" s="8"/>
    </row>
    <row r="32" spans="2:8" ht="25.8" x14ac:dyDescent="0.5">
      <c r="B32" s="13"/>
      <c r="C32" s="8"/>
      <c r="D32" s="8"/>
      <c r="E32" s="8"/>
      <c r="F32" s="8"/>
      <c r="G32" s="8"/>
      <c r="H32" s="8"/>
    </row>
    <row r="33" spans="2:8" ht="25.8" x14ac:dyDescent="0.5">
      <c r="B33" s="13"/>
      <c r="C33" s="8"/>
      <c r="D33" s="8"/>
      <c r="E33" s="8"/>
      <c r="F33" s="8"/>
      <c r="G33" s="8"/>
      <c r="H33" s="8"/>
    </row>
    <row r="34" spans="2:8" ht="25.8" x14ac:dyDescent="0.5">
      <c r="H34" s="9"/>
    </row>
  </sheetData>
  <mergeCells count="5">
    <mergeCell ref="B1:H1"/>
    <mergeCell ref="B2:H2"/>
    <mergeCell ref="B3:H3"/>
    <mergeCell ref="B14:H14"/>
    <mergeCell ref="B23:H23"/>
  </mergeCells>
  <hyperlinks>
    <hyperlink ref="J2" location="'Home Page'!A1" display="Back" xr:uid="{00000000-0004-0000-0A00-000000000000}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Y54"/>
  <sheetViews>
    <sheetView topLeftCell="A16" workbookViewId="0">
      <selection activeCell="N48" sqref="N48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44652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6</v>
      </c>
      <c r="Q4" s="208">
        <f>X16</f>
        <v>6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44655</v>
      </c>
      <c r="D6" s="35" t="s">
        <v>8</v>
      </c>
      <c r="E6" s="35" t="s">
        <v>854</v>
      </c>
      <c r="F6" s="126">
        <v>4320</v>
      </c>
      <c r="G6" s="126">
        <v>4358</v>
      </c>
      <c r="H6" s="34">
        <v>44655</v>
      </c>
      <c r="I6" s="36">
        <v>400</v>
      </c>
      <c r="J6" s="129">
        <f>4358-4320</f>
        <v>38</v>
      </c>
      <c r="K6" s="41">
        <f>J6*I6</f>
        <v>15200</v>
      </c>
      <c r="L6" s="42" t="s">
        <v>262</v>
      </c>
      <c r="M6" s="32"/>
      <c r="O6" s="231" t="s">
        <v>599</v>
      </c>
      <c r="P6" s="199">
        <f>COUNT(C24:C34)</f>
        <v>8</v>
      </c>
      <c r="Q6" s="208">
        <v>8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44656</v>
      </c>
      <c r="D7" s="40" t="s">
        <v>8</v>
      </c>
      <c r="E7" s="40" t="s">
        <v>812</v>
      </c>
      <c r="F7" s="126">
        <v>4550</v>
      </c>
      <c r="G7" s="126">
        <v>4705</v>
      </c>
      <c r="H7" s="39">
        <v>44656</v>
      </c>
      <c r="I7" s="41">
        <v>250</v>
      </c>
      <c r="J7" s="130">
        <f>4705-4550</f>
        <v>155</v>
      </c>
      <c r="K7" s="41">
        <f t="shared" ref="K7:K14" si="1">J7*I7</f>
        <v>38750</v>
      </c>
      <c r="L7" s="42" t="s">
        <v>651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44663</v>
      </c>
      <c r="D8" s="40" t="s">
        <v>8</v>
      </c>
      <c r="E8" s="40" t="s">
        <v>854</v>
      </c>
      <c r="F8" s="128">
        <v>4110</v>
      </c>
      <c r="G8" s="126">
        <v>4132</v>
      </c>
      <c r="H8" s="39">
        <v>44663</v>
      </c>
      <c r="I8" s="41">
        <v>400</v>
      </c>
      <c r="J8" s="130">
        <f>4132-4110</f>
        <v>22</v>
      </c>
      <c r="K8" s="41">
        <f t="shared" si="1"/>
        <v>8800</v>
      </c>
      <c r="L8" s="42" t="s">
        <v>262</v>
      </c>
      <c r="M8" s="32"/>
      <c r="O8" s="231" t="s">
        <v>600</v>
      </c>
      <c r="P8" s="199">
        <f>COUNT(C43:C52)</f>
        <v>6</v>
      </c>
      <c r="Q8" s="200">
        <v>6</v>
      </c>
      <c r="R8" s="200">
        <f>Y53</f>
        <v>1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44669</v>
      </c>
      <c r="D9" s="40" t="s">
        <v>8</v>
      </c>
      <c r="E9" s="40" t="s">
        <v>682</v>
      </c>
      <c r="F9" s="126">
        <v>1872</v>
      </c>
      <c r="G9" s="126">
        <v>1920</v>
      </c>
      <c r="H9" s="39">
        <v>44670</v>
      </c>
      <c r="I9" s="41">
        <v>500</v>
      </c>
      <c r="J9" s="130">
        <f>1920-1872</f>
        <v>48</v>
      </c>
      <c r="K9" s="41">
        <f t="shared" si="1"/>
        <v>24000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44673</v>
      </c>
      <c r="D10" s="40" t="s">
        <v>8</v>
      </c>
      <c r="E10" s="40" t="s">
        <v>366</v>
      </c>
      <c r="F10" s="126">
        <v>880</v>
      </c>
      <c r="G10" s="126">
        <v>887</v>
      </c>
      <c r="H10" s="39">
        <v>44673</v>
      </c>
      <c r="I10" s="41">
        <v>2500</v>
      </c>
      <c r="J10" s="130">
        <v>7</v>
      </c>
      <c r="K10" s="41">
        <f t="shared" si="1"/>
        <v>17500</v>
      </c>
      <c r="L10" s="42" t="s">
        <v>646</v>
      </c>
      <c r="M10" s="32"/>
      <c r="O10" s="171" t="s">
        <v>575</v>
      </c>
      <c r="P10" s="173">
        <f>SUM(P4:P9)</f>
        <v>20</v>
      </c>
      <c r="Q10" s="173">
        <f>SUM(Q4:Q9)</f>
        <v>20</v>
      </c>
      <c r="R10" s="173">
        <f>SUM(R4:R9)</f>
        <v>1</v>
      </c>
      <c r="S10" s="193">
        <f>SUM(S4:S9)</f>
        <v>0</v>
      </c>
      <c r="T10" s="195">
        <f t="shared" si="5"/>
        <v>1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44677</v>
      </c>
      <c r="D11" s="40" t="s">
        <v>8</v>
      </c>
      <c r="E11" s="40" t="s">
        <v>855</v>
      </c>
      <c r="F11" s="126">
        <v>2020</v>
      </c>
      <c r="G11" s="126">
        <v>2098</v>
      </c>
      <c r="H11" s="39">
        <v>44677</v>
      </c>
      <c r="I11" s="41">
        <v>400</v>
      </c>
      <c r="J11" s="85">
        <f>2098-2020</f>
        <v>78</v>
      </c>
      <c r="K11" s="41">
        <f t="shared" si="1"/>
        <v>31200</v>
      </c>
      <c r="L11" s="42" t="s">
        <v>651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135450</v>
      </c>
      <c r="L16" s="86"/>
      <c r="M16" s="32"/>
      <c r="X16" s="29">
        <f>SUM(X6:X15)</f>
        <v>6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44652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44656</v>
      </c>
      <c r="D24" s="40" t="s">
        <v>13</v>
      </c>
      <c r="E24" s="35" t="s">
        <v>30</v>
      </c>
      <c r="F24" s="36">
        <v>18100</v>
      </c>
      <c r="G24" s="36">
        <v>17900</v>
      </c>
      <c r="H24" s="39">
        <v>44657</v>
      </c>
      <c r="I24" s="36">
        <v>250</v>
      </c>
      <c r="J24" s="41">
        <v>200</v>
      </c>
      <c r="K24" s="41">
        <f>J24*I24</f>
        <v>50000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44657</v>
      </c>
      <c r="D25" s="40" t="s">
        <v>13</v>
      </c>
      <c r="E25" s="40" t="s">
        <v>30</v>
      </c>
      <c r="F25" s="41">
        <v>17900</v>
      </c>
      <c r="G25" s="41">
        <v>17755</v>
      </c>
      <c r="H25" s="39">
        <v>44658</v>
      </c>
      <c r="I25" s="41">
        <v>250</v>
      </c>
      <c r="J25" s="41">
        <v>145</v>
      </c>
      <c r="K25" s="41">
        <f t="shared" ref="K25:K29" si="8">J25*I25</f>
        <v>36250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44659</v>
      </c>
      <c r="D26" s="40" t="s">
        <v>8</v>
      </c>
      <c r="E26" s="40" t="s">
        <v>30</v>
      </c>
      <c r="F26" s="41">
        <v>17900</v>
      </c>
      <c r="G26" s="41">
        <v>17944</v>
      </c>
      <c r="H26" s="39">
        <v>44659</v>
      </c>
      <c r="I26" s="41">
        <v>250</v>
      </c>
      <c r="J26" s="85">
        <v>44</v>
      </c>
      <c r="K26" s="41">
        <f t="shared" si="8"/>
        <v>11000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44662</v>
      </c>
      <c r="D27" s="40" t="s">
        <v>13</v>
      </c>
      <c r="E27" s="40" t="s">
        <v>30</v>
      </c>
      <c r="F27" s="41">
        <v>17770</v>
      </c>
      <c r="G27" s="41">
        <v>17695</v>
      </c>
      <c r="H27" s="39">
        <v>44662</v>
      </c>
      <c r="I27" s="41">
        <v>250</v>
      </c>
      <c r="J27" s="85">
        <f>17770-17695</f>
        <v>75</v>
      </c>
      <c r="K27" s="41">
        <f t="shared" si="8"/>
        <v>18750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44669</v>
      </c>
      <c r="D28" s="40" t="s">
        <v>8</v>
      </c>
      <c r="E28" s="40" t="s">
        <v>30</v>
      </c>
      <c r="F28" s="41">
        <v>17150</v>
      </c>
      <c r="G28" s="41">
        <v>17314</v>
      </c>
      <c r="H28" s="39">
        <v>44670</v>
      </c>
      <c r="I28" s="41">
        <v>250</v>
      </c>
      <c r="J28" s="85">
        <f>17314-17150</f>
        <v>164</v>
      </c>
      <c r="K28" s="41">
        <f t="shared" si="8"/>
        <v>41000</v>
      </c>
      <c r="L28" s="42" t="s">
        <v>647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44671</v>
      </c>
      <c r="D29" s="40" t="s">
        <v>13</v>
      </c>
      <c r="E29" s="40" t="s">
        <v>30</v>
      </c>
      <c r="F29" s="41">
        <v>17150</v>
      </c>
      <c r="G29" s="41">
        <v>17080</v>
      </c>
      <c r="H29" s="39">
        <v>44671</v>
      </c>
      <c r="I29" s="41">
        <v>250</v>
      </c>
      <c r="J29" s="85">
        <f>17150-17080</f>
        <v>70</v>
      </c>
      <c r="K29" s="41">
        <f t="shared" si="8"/>
        <v>17500</v>
      </c>
      <c r="L29" s="42" t="s">
        <v>646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44676</v>
      </c>
      <c r="D30" s="40" t="s">
        <v>8</v>
      </c>
      <c r="E30" s="40" t="s">
        <v>619</v>
      </c>
      <c r="F30" s="41">
        <v>36000</v>
      </c>
      <c r="G30" s="41">
        <v>36590</v>
      </c>
      <c r="H30" s="39">
        <v>44677</v>
      </c>
      <c r="I30" s="41">
        <v>125</v>
      </c>
      <c r="J30" s="85">
        <f>36590-36000</f>
        <v>590</v>
      </c>
      <c r="K30" s="41">
        <f>J30*I30</f>
        <v>73750</v>
      </c>
      <c r="L30" s="42" t="s">
        <v>651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>
        <v>44680</v>
      </c>
      <c r="D31" s="40" t="s">
        <v>13</v>
      </c>
      <c r="E31" s="40" t="s">
        <v>30</v>
      </c>
      <c r="F31" s="41">
        <v>17350</v>
      </c>
      <c r="G31" s="41">
        <v>17150</v>
      </c>
      <c r="H31" s="39">
        <v>44680</v>
      </c>
      <c r="I31" s="41">
        <v>250</v>
      </c>
      <c r="J31" s="85">
        <f>17350-17150</f>
        <v>200</v>
      </c>
      <c r="K31" s="41">
        <f>J31*I31</f>
        <v>50000</v>
      </c>
      <c r="L31" s="42" t="s">
        <v>651</v>
      </c>
      <c r="M31" s="32"/>
      <c r="X31" s="29">
        <f t="shared" si="6"/>
        <v>1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 t="s">
        <v>577</v>
      </c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298250</v>
      </c>
      <c r="L35" s="86"/>
      <c r="M35" s="32"/>
      <c r="X35" s="29">
        <f>SUM(X24:X34)</f>
        <v>8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44652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44656</v>
      </c>
      <c r="D43" s="40" t="s">
        <v>8</v>
      </c>
      <c r="E43" s="40" t="s">
        <v>856</v>
      </c>
      <c r="F43" s="126">
        <v>35</v>
      </c>
      <c r="G43" s="126">
        <v>46</v>
      </c>
      <c r="H43" s="39">
        <v>44657</v>
      </c>
      <c r="I43" s="41">
        <v>950</v>
      </c>
      <c r="J43" s="126">
        <f>46-35</f>
        <v>11</v>
      </c>
      <c r="K43" s="41">
        <f>J43*I43</f>
        <v>10450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44656</v>
      </c>
      <c r="D44" s="40" t="s">
        <v>8</v>
      </c>
      <c r="E44" s="40" t="s">
        <v>857</v>
      </c>
      <c r="F44" s="126">
        <v>170</v>
      </c>
      <c r="G44" s="126">
        <v>270</v>
      </c>
      <c r="H44" s="39">
        <v>44656</v>
      </c>
      <c r="I44" s="41">
        <v>250</v>
      </c>
      <c r="J44" s="126">
        <v>100</v>
      </c>
      <c r="K44" s="41">
        <f t="shared" ref="K44:K50" si="13">J44*I44</f>
        <v>25000</v>
      </c>
      <c r="L44" s="124" t="s">
        <v>647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44657</v>
      </c>
      <c r="D45" s="40" t="s">
        <v>8</v>
      </c>
      <c r="E45" s="40" t="s">
        <v>858</v>
      </c>
      <c r="F45" s="126">
        <v>57</v>
      </c>
      <c r="G45" s="126">
        <v>61</v>
      </c>
      <c r="H45" s="39">
        <v>44657</v>
      </c>
      <c r="I45" s="41">
        <v>1000</v>
      </c>
      <c r="J45" s="126">
        <f>61-57</f>
        <v>4</v>
      </c>
      <c r="K45" s="41">
        <f t="shared" si="13"/>
        <v>4000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44663</v>
      </c>
      <c r="D46" s="40" t="s">
        <v>8</v>
      </c>
      <c r="E46" s="40" t="s">
        <v>859</v>
      </c>
      <c r="F46" s="126">
        <v>95</v>
      </c>
      <c r="G46" s="126">
        <v>115</v>
      </c>
      <c r="H46" s="39">
        <v>44663</v>
      </c>
      <c r="I46" s="41">
        <v>500</v>
      </c>
      <c r="J46" s="126">
        <f>115-95</f>
        <v>20</v>
      </c>
      <c r="K46" s="41">
        <f t="shared" si="13"/>
        <v>10000</v>
      </c>
      <c r="L46" s="42" t="s">
        <v>646</v>
      </c>
      <c r="M46" s="32"/>
      <c r="P46" s="29" t="s">
        <v>565</v>
      </c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44670</v>
      </c>
      <c r="D47" s="40" t="s">
        <v>8</v>
      </c>
      <c r="E47" s="40" t="s">
        <v>860</v>
      </c>
      <c r="F47" s="126">
        <v>8</v>
      </c>
      <c r="G47" s="126">
        <v>11.9</v>
      </c>
      <c r="H47" s="39">
        <v>44671</v>
      </c>
      <c r="I47" s="41">
        <v>3600</v>
      </c>
      <c r="J47" s="126">
        <v>3.9</v>
      </c>
      <c r="K47" s="41">
        <f t="shared" si="13"/>
        <v>14040</v>
      </c>
      <c r="L47" s="42" t="s">
        <v>646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44673</v>
      </c>
      <c r="D48" s="40" t="s">
        <v>8</v>
      </c>
      <c r="E48" s="40" t="s">
        <v>861</v>
      </c>
      <c r="F48" s="126">
        <v>33</v>
      </c>
      <c r="G48" s="126">
        <v>13</v>
      </c>
      <c r="H48" s="39">
        <v>44673</v>
      </c>
      <c r="I48" s="41">
        <v>950</v>
      </c>
      <c r="J48" s="126">
        <v>-20</v>
      </c>
      <c r="K48" s="41">
        <f t="shared" si="13"/>
        <v>-19000</v>
      </c>
      <c r="L48" s="42" t="s">
        <v>197</v>
      </c>
      <c r="M48" s="32"/>
      <c r="X48" s="29">
        <f t="shared" si="11"/>
        <v>0</v>
      </c>
      <c r="Y48" s="29">
        <f t="shared" si="12"/>
        <v>1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41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41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44490</v>
      </c>
      <c r="L53" s="86"/>
      <c r="M53" s="32"/>
      <c r="X53" s="29">
        <f>SUM(X43:X52)</f>
        <v>5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6D00-000000000000}"/>
    <hyperlink ref="O1" location="'Home Page'!A1" display="Back" xr:uid="{00000000-0004-0000-6D00-000001000000}"/>
    <hyperlink ref="B35" r:id="rId2" xr:uid="{00000000-0004-0000-6D00-000002000000}"/>
    <hyperlink ref="B53" r:id="rId3" xr:uid="{00000000-0004-0000-6D00-000003000000}"/>
    <hyperlink ref="O4:O5" location="'FEB 2022'!A1" display="PREMIUM STOCK FUTURE" xr:uid="{00000000-0004-0000-6D00-000004000000}"/>
    <hyperlink ref="O6:O7" location="'FEB 2022'!A1" display="PREMIUM NIFTY FUTURE" xr:uid="{00000000-0004-0000-6D00-000005000000}"/>
    <hyperlink ref="O8:O9" location="'FEB 2022'!A1" display="PREMIUM OPTOIN" xr:uid="{00000000-0004-0000-6D00-000006000000}"/>
  </hyperlinks>
  <pageMargins left="0" right="0" top="0" bottom="0" header="0" footer="0"/>
  <pageSetup paperSize="9" orientation="portrait" r:id="rId4"/>
  <drawing r:id="rId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Y54"/>
  <sheetViews>
    <sheetView topLeftCell="A22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44682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6</v>
      </c>
      <c r="Q4" s="208">
        <f>X16</f>
        <v>6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44694</v>
      </c>
      <c r="D6" s="35" t="s">
        <v>8</v>
      </c>
      <c r="E6" s="35" t="s">
        <v>247</v>
      </c>
      <c r="F6" s="126">
        <v>2210</v>
      </c>
      <c r="G6" s="126">
        <v>2250</v>
      </c>
      <c r="H6" s="34">
        <v>44698</v>
      </c>
      <c r="I6" s="36">
        <v>600</v>
      </c>
      <c r="J6" s="129">
        <v>40</v>
      </c>
      <c r="K6" s="41">
        <f>J6*I6</f>
        <v>24000</v>
      </c>
      <c r="L6" s="42" t="s">
        <v>642</v>
      </c>
      <c r="M6" s="32"/>
      <c r="O6" s="231" t="s">
        <v>599</v>
      </c>
      <c r="P6" s="199">
        <f>COUNT(C24:C34)</f>
        <v>6</v>
      </c>
      <c r="Q6" s="208">
        <v>4</v>
      </c>
      <c r="R6" s="200">
        <f>Y35</f>
        <v>2</v>
      </c>
      <c r="S6" s="201">
        <v>0</v>
      </c>
      <c r="T6" s="197">
        <f t="shared" ref="T6" si="0">Q6/P6</f>
        <v>0.66666666666666663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44698</v>
      </c>
      <c r="D7" s="40" t="s">
        <v>8</v>
      </c>
      <c r="E7" s="40" t="s">
        <v>862</v>
      </c>
      <c r="F7" s="126">
        <v>1310</v>
      </c>
      <c r="G7" s="126">
        <v>1324</v>
      </c>
      <c r="H7" s="39">
        <v>44699</v>
      </c>
      <c r="I7" s="41">
        <v>850</v>
      </c>
      <c r="J7" s="130">
        <v>14</v>
      </c>
      <c r="K7" s="41">
        <f t="shared" ref="K7:K14" si="1">J7*I7</f>
        <v>11900</v>
      </c>
      <c r="L7" s="42" t="s">
        <v>863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44698</v>
      </c>
      <c r="D8" s="40" t="s">
        <v>8</v>
      </c>
      <c r="E8" s="40" t="s">
        <v>61</v>
      </c>
      <c r="F8" s="128">
        <v>7500</v>
      </c>
      <c r="G8" s="126">
        <v>7900</v>
      </c>
      <c r="H8" s="39">
        <v>44704</v>
      </c>
      <c r="I8" s="41">
        <v>200</v>
      </c>
      <c r="J8" s="130">
        <f>7900-7500</f>
        <v>400</v>
      </c>
      <c r="K8" s="41">
        <f t="shared" si="1"/>
        <v>80000</v>
      </c>
      <c r="L8" s="42" t="s">
        <v>647</v>
      </c>
      <c r="M8" s="32"/>
      <c r="O8" s="231" t="s">
        <v>600</v>
      </c>
      <c r="P8" s="199">
        <f>COUNT(C43:C52)</f>
        <v>8</v>
      </c>
      <c r="Q8" s="200">
        <v>8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44704</v>
      </c>
      <c r="D9" s="40" t="s">
        <v>8</v>
      </c>
      <c r="E9" s="40" t="s">
        <v>449</v>
      </c>
      <c r="F9" s="126">
        <v>677</v>
      </c>
      <c r="G9" s="126">
        <v>682</v>
      </c>
      <c r="H9" s="39">
        <v>44704</v>
      </c>
      <c r="I9" s="41">
        <v>2400</v>
      </c>
      <c r="J9" s="130">
        <f>682-677</f>
        <v>5</v>
      </c>
      <c r="K9" s="41">
        <f t="shared" si="1"/>
        <v>12000</v>
      </c>
      <c r="L9" s="42" t="s">
        <v>863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44711</v>
      </c>
      <c r="D10" s="40" t="s">
        <v>8</v>
      </c>
      <c r="E10" s="40" t="s">
        <v>330</v>
      </c>
      <c r="F10" s="126">
        <v>1160</v>
      </c>
      <c r="G10" s="126">
        <v>1190</v>
      </c>
      <c r="H10" s="39">
        <v>44713</v>
      </c>
      <c r="I10" s="41">
        <v>800</v>
      </c>
      <c r="J10" s="130">
        <v>30</v>
      </c>
      <c r="K10" s="41">
        <f t="shared" si="1"/>
        <v>24000</v>
      </c>
      <c r="L10" s="42" t="s">
        <v>863</v>
      </c>
      <c r="M10" s="32"/>
      <c r="O10" s="171" t="s">
        <v>575</v>
      </c>
      <c r="P10" s="173">
        <f>SUM(P4:P9)</f>
        <v>20</v>
      </c>
      <c r="Q10" s="173">
        <f>SUM(Q4:Q9)</f>
        <v>18</v>
      </c>
      <c r="R10" s="173">
        <f>SUM(R4:R9)</f>
        <v>2</v>
      </c>
      <c r="S10" s="193">
        <f>SUM(S4:S9)</f>
        <v>0</v>
      </c>
      <c r="T10" s="195">
        <f t="shared" si="5"/>
        <v>0.9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44712</v>
      </c>
      <c r="D11" s="40" t="s">
        <v>8</v>
      </c>
      <c r="E11" s="40" t="s">
        <v>27</v>
      </c>
      <c r="F11" s="126">
        <v>700</v>
      </c>
      <c r="G11" s="126">
        <v>708</v>
      </c>
      <c r="H11" s="39">
        <v>44712</v>
      </c>
      <c r="I11" s="41">
        <v>1900</v>
      </c>
      <c r="J11" s="85">
        <v>8</v>
      </c>
      <c r="K11" s="41">
        <f t="shared" si="1"/>
        <v>15200</v>
      </c>
      <c r="L11" s="42" t="s">
        <v>863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 t="s">
        <v>421</v>
      </c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0.9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167100</v>
      </c>
      <c r="L16" s="86"/>
      <c r="M16" s="32"/>
      <c r="X16" s="29">
        <f>SUM(X6:X15)</f>
        <v>6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44682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44690</v>
      </c>
      <c r="D24" s="40" t="s">
        <v>13</v>
      </c>
      <c r="E24" s="35" t="s">
        <v>30</v>
      </c>
      <c r="F24" s="36">
        <v>16250</v>
      </c>
      <c r="G24" s="36">
        <v>16350</v>
      </c>
      <c r="H24" s="39">
        <v>44690</v>
      </c>
      <c r="I24" s="36">
        <v>250</v>
      </c>
      <c r="J24" s="41">
        <v>-100</v>
      </c>
      <c r="K24" s="41">
        <f>J24*I24</f>
        <v>-25000</v>
      </c>
      <c r="L24" s="37" t="s">
        <v>197</v>
      </c>
      <c r="M24" s="32"/>
      <c r="X24" s="29">
        <f t="shared" ref="X24:X34" si="6">IF($K24&gt;0,1,0)</f>
        <v>0</v>
      </c>
      <c r="Y24" s="29">
        <f t="shared" ref="Y24:Y34" si="7">IF($K24&lt;0,1,0)</f>
        <v>1</v>
      </c>
    </row>
    <row r="25" spans="1:25" x14ac:dyDescent="0.3">
      <c r="A25" s="31"/>
      <c r="B25" s="38">
        <f>B24+1</f>
        <v>2</v>
      </c>
      <c r="C25" s="39">
        <v>44693</v>
      </c>
      <c r="D25" s="40" t="s">
        <v>13</v>
      </c>
      <c r="E25" s="40" t="s">
        <v>30</v>
      </c>
      <c r="F25" s="41">
        <v>15840</v>
      </c>
      <c r="G25" s="41">
        <v>15740</v>
      </c>
      <c r="H25" s="39">
        <v>44693</v>
      </c>
      <c r="I25" s="41">
        <v>250</v>
      </c>
      <c r="J25" s="41">
        <v>100</v>
      </c>
      <c r="K25" s="41">
        <f t="shared" ref="K25:K29" si="8">J25*I25</f>
        <v>25000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44694</v>
      </c>
      <c r="D26" s="40" t="s">
        <v>13</v>
      </c>
      <c r="E26" s="40" t="s">
        <v>30</v>
      </c>
      <c r="F26" s="41">
        <v>16040</v>
      </c>
      <c r="G26" s="41">
        <v>15840</v>
      </c>
      <c r="H26" s="39">
        <v>44694</v>
      </c>
      <c r="I26" s="41">
        <v>250</v>
      </c>
      <c r="J26" s="85">
        <v>100</v>
      </c>
      <c r="K26" s="41">
        <f t="shared" si="8"/>
        <v>25000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44697</v>
      </c>
      <c r="D27" s="40" t="s">
        <v>13</v>
      </c>
      <c r="E27" s="40" t="s">
        <v>30</v>
      </c>
      <c r="F27" s="41">
        <v>15800</v>
      </c>
      <c r="G27" s="41">
        <v>15900</v>
      </c>
      <c r="H27" s="39">
        <v>44697</v>
      </c>
      <c r="I27" s="41">
        <v>250</v>
      </c>
      <c r="J27" s="85">
        <v>-100</v>
      </c>
      <c r="K27" s="41">
        <f t="shared" si="8"/>
        <v>-25000</v>
      </c>
      <c r="L27" s="42" t="s">
        <v>197</v>
      </c>
      <c r="M27" s="32"/>
      <c r="X27" s="29">
        <f t="shared" si="6"/>
        <v>0</v>
      </c>
      <c r="Y27" s="29">
        <f t="shared" si="7"/>
        <v>1</v>
      </c>
    </row>
    <row r="28" spans="1:25" x14ac:dyDescent="0.3">
      <c r="A28" s="31"/>
      <c r="B28" s="38">
        <f t="shared" si="9"/>
        <v>5</v>
      </c>
      <c r="C28" s="39">
        <v>44700</v>
      </c>
      <c r="D28" s="40" t="s">
        <v>13</v>
      </c>
      <c r="E28" s="40" t="s">
        <v>30</v>
      </c>
      <c r="F28" s="41">
        <v>15800</v>
      </c>
      <c r="G28" s="41">
        <v>15740</v>
      </c>
      <c r="H28" s="39">
        <v>44700</v>
      </c>
      <c r="I28" s="41">
        <v>250</v>
      </c>
      <c r="J28" s="85">
        <f>15800-15740</f>
        <v>60</v>
      </c>
      <c r="K28" s="41">
        <f>15800-15740</f>
        <v>60</v>
      </c>
      <c r="L28" s="42" t="s">
        <v>646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44711</v>
      </c>
      <c r="D29" s="40" t="s">
        <v>13</v>
      </c>
      <c r="E29" s="40" t="s">
        <v>30</v>
      </c>
      <c r="F29" s="41">
        <v>16620</v>
      </c>
      <c r="G29" s="41">
        <v>16540</v>
      </c>
      <c r="H29" s="39">
        <v>44712</v>
      </c>
      <c r="I29" s="41">
        <v>250</v>
      </c>
      <c r="J29" s="85">
        <f>16620-16540</f>
        <v>80</v>
      </c>
      <c r="K29" s="41">
        <f t="shared" si="8"/>
        <v>20000</v>
      </c>
      <c r="L29" s="42" t="s">
        <v>642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 t="s">
        <v>577</v>
      </c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20060</v>
      </c>
      <c r="L35" s="86"/>
      <c r="M35" s="32"/>
      <c r="X35" s="29">
        <f>SUM(X24:X34)</f>
        <v>4</v>
      </c>
      <c r="Y35" s="29">
        <f>SUM(Y24:Y34)</f>
        <v>2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44682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44687</v>
      </c>
      <c r="D43" s="40" t="s">
        <v>8</v>
      </c>
      <c r="E43" s="40" t="s">
        <v>864</v>
      </c>
      <c r="F43" s="126">
        <v>140</v>
      </c>
      <c r="G43" s="126">
        <v>169</v>
      </c>
      <c r="H43" s="39">
        <v>44687</v>
      </c>
      <c r="I43" s="41">
        <v>250</v>
      </c>
      <c r="J43" s="126">
        <v>29</v>
      </c>
      <c r="K43" s="41">
        <f>J43*I43</f>
        <v>7250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44687</v>
      </c>
      <c r="D44" s="40" t="s">
        <v>8</v>
      </c>
      <c r="E44" s="40" t="s">
        <v>865</v>
      </c>
      <c r="F44" s="126">
        <v>150</v>
      </c>
      <c r="G44" s="126">
        <v>228</v>
      </c>
      <c r="H44" s="39">
        <v>44687</v>
      </c>
      <c r="I44" s="41">
        <v>400</v>
      </c>
      <c r="J44" s="126">
        <f>228-150</f>
        <v>78</v>
      </c>
      <c r="K44" s="41">
        <f t="shared" ref="K44:K50" si="13">J44*I44</f>
        <v>31200</v>
      </c>
      <c r="L44" s="124" t="s">
        <v>651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44691</v>
      </c>
      <c r="D45" s="40" t="s">
        <v>8</v>
      </c>
      <c r="E45" s="40" t="s">
        <v>866</v>
      </c>
      <c r="F45" s="126">
        <v>110</v>
      </c>
      <c r="G45" s="126">
        <v>210</v>
      </c>
      <c r="H45" s="39">
        <v>44692</v>
      </c>
      <c r="I45" s="41">
        <v>250</v>
      </c>
      <c r="J45" s="126">
        <f>210-110</f>
        <v>100</v>
      </c>
      <c r="K45" s="41">
        <f t="shared" si="13"/>
        <v>25000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44693</v>
      </c>
      <c r="D46" s="40" t="s">
        <v>8</v>
      </c>
      <c r="E46" s="40" t="s">
        <v>867</v>
      </c>
      <c r="F46" s="126">
        <v>170</v>
      </c>
      <c r="G46" s="126">
        <v>190</v>
      </c>
      <c r="H46" s="39">
        <v>44693</v>
      </c>
      <c r="I46" s="41">
        <v>250</v>
      </c>
      <c r="J46" s="126">
        <v>20</v>
      </c>
      <c r="K46" s="41">
        <f t="shared" si="13"/>
        <v>5000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44697</v>
      </c>
      <c r="D47" s="40" t="s">
        <v>8</v>
      </c>
      <c r="E47" s="40" t="s">
        <v>868</v>
      </c>
      <c r="F47" s="126">
        <v>130</v>
      </c>
      <c r="G47" s="126">
        <v>170</v>
      </c>
      <c r="H47" s="39">
        <v>44697</v>
      </c>
      <c r="I47" s="41">
        <v>200</v>
      </c>
      <c r="J47" s="126">
        <v>40</v>
      </c>
      <c r="K47" s="41">
        <f t="shared" si="13"/>
        <v>8000</v>
      </c>
      <c r="L47" s="42" t="s">
        <v>646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44698</v>
      </c>
      <c r="D48" s="40" t="s">
        <v>8</v>
      </c>
      <c r="E48" s="40" t="s">
        <v>869</v>
      </c>
      <c r="F48" s="126">
        <v>80</v>
      </c>
      <c r="G48" s="126">
        <v>150</v>
      </c>
      <c r="H48" s="39">
        <v>44699</v>
      </c>
      <c r="I48" s="41">
        <v>200</v>
      </c>
      <c r="J48" s="126">
        <f>150-80</f>
        <v>70</v>
      </c>
      <c r="K48" s="41">
        <f t="shared" si="13"/>
        <v>14000</v>
      </c>
      <c r="L48" s="42" t="s">
        <v>651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44704</v>
      </c>
      <c r="D49" s="40" t="s">
        <v>8</v>
      </c>
      <c r="E49" s="40" t="s">
        <v>870</v>
      </c>
      <c r="F49" s="126">
        <v>10</v>
      </c>
      <c r="G49" s="126">
        <v>16</v>
      </c>
      <c r="H49" s="39">
        <v>44704</v>
      </c>
      <c r="I49" s="41">
        <v>2600</v>
      </c>
      <c r="J49" s="130">
        <v>6</v>
      </c>
      <c r="K49" s="41">
        <f t="shared" si="13"/>
        <v>15600</v>
      </c>
      <c r="L49" s="42" t="s">
        <v>642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44711</v>
      </c>
      <c r="D50" s="40" t="s">
        <v>8</v>
      </c>
      <c r="E50" s="40" t="s">
        <v>871</v>
      </c>
      <c r="F50" s="126">
        <v>45</v>
      </c>
      <c r="G50" s="126">
        <v>85</v>
      </c>
      <c r="H50" s="39">
        <v>44713</v>
      </c>
      <c r="I50" s="41">
        <v>750</v>
      </c>
      <c r="J50" s="130">
        <f>85-45</f>
        <v>40</v>
      </c>
      <c r="K50" s="41">
        <f t="shared" si="13"/>
        <v>30000</v>
      </c>
      <c r="L50" s="42" t="s">
        <v>651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41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136050</v>
      </c>
      <c r="L53" s="86"/>
      <c r="M53" s="32"/>
      <c r="X53" s="29">
        <f>SUM(X43:X52)</f>
        <v>8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6E00-000000000000}"/>
    <hyperlink ref="O1" location="'Home Page'!A1" display="Back" xr:uid="{00000000-0004-0000-6E00-000001000000}"/>
    <hyperlink ref="B35" r:id="rId2" xr:uid="{00000000-0004-0000-6E00-000002000000}"/>
    <hyperlink ref="B53" r:id="rId3" xr:uid="{00000000-0004-0000-6E00-000003000000}"/>
    <hyperlink ref="O4:O5" location="'FEB 2022'!A1" display="PREMIUM STOCK FUTURE" xr:uid="{00000000-0004-0000-6E00-000004000000}"/>
    <hyperlink ref="O6:O7" location="'FEB 2022'!A1" display="PREMIUM NIFTY FUTURE" xr:uid="{00000000-0004-0000-6E00-000005000000}"/>
    <hyperlink ref="O8:O9" location="'FEB 2022'!A1" display="PREMIUM OPTOIN" xr:uid="{00000000-0004-0000-6E00-000006000000}"/>
  </hyperlinks>
  <pageMargins left="0" right="0" top="0" bottom="0" header="0" footer="0"/>
  <pageSetup paperSize="9" orientation="portrait" r:id="rId4"/>
  <ignoredErrors>
    <ignoredError sqref="K28" formula="1"/>
  </ignoredErrors>
  <drawing r:id="rId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Y54"/>
  <sheetViews>
    <sheetView topLeftCell="A40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44713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8</v>
      </c>
      <c r="Q4" s="221">
        <f>X16</f>
        <v>8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44714</v>
      </c>
      <c r="D6" s="35" t="s">
        <v>8</v>
      </c>
      <c r="E6" s="35" t="s">
        <v>745</v>
      </c>
      <c r="F6" s="126">
        <v>935</v>
      </c>
      <c r="G6" s="126">
        <v>948</v>
      </c>
      <c r="H6" s="34">
        <v>44715</v>
      </c>
      <c r="I6" s="36">
        <v>2000</v>
      </c>
      <c r="J6" s="129">
        <f>948-935</f>
        <v>13</v>
      </c>
      <c r="K6" s="41">
        <f>J6*I6</f>
        <v>26000</v>
      </c>
      <c r="L6" s="42" t="s">
        <v>646</v>
      </c>
      <c r="M6" s="32"/>
      <c r="O6" s="231" t="s">
        <v>599</v>
      </c>
      <c r="P6" s="199">
        <f>COUNT(C24:C34)</f>
        <v>6</v>
      </c>
      <c r="Q6" s="221">
        <v>4</v>
      </c>
      <c r="R6" s="200">
        <f>Y35</f>
        <v>0</v>
      </c>
      <c r="S6" s="201">
        <v>0</v>
      </c>
      <c r="T6" s="197">
        <f t="shared" ref="T6" si="0">Q6/P6</f>
        <v>0.66666666666666663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44715</v>
      </c>
      <c r="D7" s="40" t="s">
        <v>13</v>
      </c>
      <c r="E7" s="40" t="s">
        <v>736</v>
      </c>
      <c r="F7" s="126">
        <v>1355</v>
      </c>
      <c r="G7" s="126">
        <v>1308</v>
      </c>
      <c r="H7" s="39">
        <v>44719</v>
      </c>
      <c r="I7" s="41">
        <v>950</v>
      </c>
      <c r="J7" s="130">
        <f>1355-1308</f>
        <v>47</v>
      </c>
      <c r="K7" s="41">
        <f t="shared" ref="K7:K14" si="1">J7*I7</f>
        <v>44650</v>
      </c>
      <c r="L7" s="42" t="s">
        <v>651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44719</v>
      </c>
      <c r="D8" s="40" t="s">
        <v>8</v>
      </c>
      <c r="E8" s="40" t="s">
        <v>795</v>
      </c>
      <c r="F8" s="128">
        <v>804</v>
      </c>
      <c r="G8" s="126">
        <v>830</v>
      </c>
      <c r="H8" s="39">
        <v>44720</v>
      </c>
      <c r="I8" s="41">
        <v>1300</v>
      </c>
      <c r="J8" s="130">
        <f>830-804</f>
        <v>26</v>
      </c>
      <c r="K8" s="41">
        <f t="shared" si="1"/>
        <v>33800</v>
      </c>
      <c r="L8" s="42" t="s">
        <v>647</v>
      </c>
      <c r="M8" s="32"/>
      <c r="O8" s="231" t="s">
        <v>600</v>
      </c>
      <c r="P8" s="199">
        <f>COUNT(C43:C52)</f>
        <v>9</v>
      </c>
      <c r="Q8" s="200">
        <v>8</v>
      </c>
      <c r="R8" s="200">
        <f>Y53</f>
        <v>1</v>
      </c>
      <c r="S8" s="201">
        <v>0</v>
      </c>
      <c r="T8" s="197">
        <f t="shared" ref="T8:T10" si="5">Q8/P8</f>
        <v>0.88888888888888884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44725</v>
      </c>
      <c r="D9" s="40" t="s">
        <v>8</v>
      </c>
      <c r="E9" s="40" t="s">
        <v>67</v>
      </c>
      <c r="F9" s="126">
        <v>2660</v>
      </c>
      <c r="G9" s="126">
        <v>2674</v>
      </c>
      <c r="H9" s="39">
        <v>44726</v>
      </c>
      <c r="I9" s="41">
        <v>500</v>
      </c>
      <c r="J9" s="130">
        <f>2674-2660</f>
        <v>14</v>
      </c>
      <c r="K9" s="41">
        <f t="shared" si="1"/>
        <v>7000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44726</v>
      </c>
      <c r="D10" s="40" t="s">
        <v>8</v>
      </c>
      <c r="E10" s="40" t="s">
        <v>170</v>
      </c>
      <c r="F10" s="126">
        <v>4300</v>
      </c>
      <c r="G10" s="126">
        <v>4363</v>
      </c>
      <c r="H10" s="39">
        <v>44728</v>
      </c>
      <c r="I10" s="41">
        <v>250</v>
      </c>
      <c r="J10" s="130">
        <v>63</v>
      </c>
      <c r="K10" s="41">
        <f t="shared" si="1"/>
        <v>15750</v>
      </c>
      <c r="L10" s="42" t="s">
        <v>651</v>
      </c>
      <c r="M10" s="32"/>
      <c r="O10" s="171" t="s">
        <v>575</v>
      </c>
      <c r="P10" s="173">
        <f>SUM(P4:P9)</f>
        <v>23</v>
      </c>
      <c r="Q10" s="173">
        <f>SUM(Q4:Q9)</f>
        <v>20</v>
      </c>
      <c r="R10" s="173">
        <f>SUM(R4:R9)</f>
        <v>1</v>
      </c>
      <c r="S10" s="193">
        <f>SUM(S4:S9)</f>
        <v>0</v>
      </c>
      <c r="T10" s="195">
        <f t="shared" si="5"/>
        <v>0.86956521739130432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44732</v>
      </c>
      <c r="D11" s="40" t="s">
        <v>8</v>
      </c>
      <c r="E11" s="40" t="s">
        <v>28</v>
      </c>
      <c r="F11" s="126">
        <v>680</v>
      </c>
      <c r="G11" s="126">
        <v>705</v>
      </c>
      <c r="H11" s="39">
        <v>44733</v>
      </c>
      <c r="I11" s="41">
        <v>2750</v>
      </c>
      <c r="J11" s="85">
        <f>705-680</f>
        <v>25</v>
      </c>
      <c r="K11" s="41">
        <f t="shared" si="1"/>
        <v>68750</v>
      </c>
      <c r="L11" s="42" t="s">
        <v>651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44733</v>
      </c>
      <c r="D12" s="40" t="s">
        <v>8</v>
      </c>
      <c r="E12" s="40" t="s">
        <v>877</v>
      </c>
      <c r="F12" s="126">
        <v>1760</v>
      </c>
      <c r="G12" s="126">
        <v>1779</v>
      </c>
      <c r="H12" s="39">
        <v>44733</v>
      </c>
      <c r="I12" s="41">
        <v>950</v>
      </c>
      <c r="J12" s="85">
        <f>1779-1760</f>
        <v>19</v>
      </c>
      <c r="K12" s="41">
        <f t="shared" si="1"/>
        <v>18050</v>
      </c>
      <c r="L12" s="42" t="s">
        <v>646</v>
      </c>
      <c r="M12" s="32"/>
      <c r="O12" s="175" t="s">
        <v>576</v>
      </c>
      <c r="P12" s="176"/>
      <c r="Q12" s="177"/>
      <c r="R12" s="184">
        <f>T10</f>
        <v>0.86956521739130432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>
        <v>44739</v>
      </c>
      <c r="D13" s="40" t="s">
        <v>8</v>
      </c>
      <c r="E13" s="40" t="s">
        <v>723</v>
      </c>
      <c r="F13" s="126">
        <v>187</v>
      </c>
      <c r="G13" s="126">
        <v>190</v>
      </c>
      <c r="H13" s="39">
        <v>44740</v>
      </c>
      <c r="I13" s="41">
        <v>7000</v>
      </c>
      <c r="J13" s="85">
        <f>190-187</f>
        <v>3</v>
      </c>
      <c r="K13" s="41">
        <f t="shared" si="1"/>
        <v>21000</v>
      </c>
      <c r="L13" s="42" t="s">
        <v>646</v>
      </c>
      <c r="M13" s="32"/>
      <c r="O13" s="178"/>
      <c r="P13" s="179"/>
      <c r="Q13" s="180"/>
      <c r="R13" s="187"/>
      <c r="S13" s="188"/>
      <c r="T13" s="189"/>
      <c r="X13" s="29">
        <f t="shared" si="2"/>
        <v>1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235000</v>
      </c>
      <c r="L16" s="86"/>
      <c r="M16" s="32"/>
      <c r="X16" s="29">
        <f>SUM(X6:X15)</f>
        <v>8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44713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44715</v>
      </c>
      <c r="D24" s="40" t="s">
        <v>13</v>
      </c>
      <c r="E24" s="35" t="s">
        <v>30</v>
      </c>
      <c r="F24" s="36">
        <v>16690</v>
      </c>
      <c r="G24" s="36">
        <v>16490</v>
      </c>
      <c r="H24" s="39">
        <v>44718</v>
      </c>
      <c r="I24" s="41">
        <v>250</v>
      </c>
      <c r="J24" s="41">
        <v>200</v>
      </c>
      <c r="K24" s="41">
        <f>J24*I24</f>
        <v>50000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44719</v>
      </c>
      <c r="D25" s="40" t="s">
        <v>13</v>
      </c>
      <c r="E25" s="40" t="s">
        <v>619</v>
      </c>
      <c r="F25" s="41">
        <v>35050</v>
      </c>
      <c r="G25" s="41">
        <v>34920</v>
      </c>
      <c r="H25" s="39">
        <v>44720</v>
      </c>
      <c r="I25" s="41">
        <v>125</v>
      </c>
      <c r="J25" s="41">
        <f>35050-34920</f>
        <v>130</v>
      </c>
      <c r="K25" s="41">
        <f t="shared" ref="K25:K29" si="8">J25*I25</f>
        <v>16250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44722</v>
      </c>
      <c r="D26" s="40" t="s">
        <v>13</v>
      </c>
      <c r="E26" s="40" t="s">
        <v>30</v>
      </c>
      <c r="F26" s="41">
        <v>16250</v>
      </c>
      <c r="G26" s="41">
        <v>15860</v>
      </c>
      <c r="H26" s="39">
        <v>44725</v>
      </c>
      <c r="I26" s="41">
        <v>250</v>
      </c>
      <c r="J26" s="85">
        <v>390</v>
      </c>
      <c r="K26" s="41">
        <f t="shared" si="8"/>
        <v>97500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44727</v>
      </c>
      <c r="D27" s="40" t="s">
        <v>13</v>
      </c>
      <c r="E27" s="40" t="s">
        <v>30</v>
      </c>
      <c r="F27" s="41">
        <v>15740</v>
      </c>
      <c r="G27" s="41">
        <v>15700</v>
      </c>
      <c r="H27" s="39">
        <v>44727</v>
      </c>
      <c r="I27" s="41">
        <v>250</v>
      </c>
      <c r="J27" s="85">
        <v>40</v>
      </c>
      <c r="K27" s="41">
        <f t="shared" si="8"/>
        <v>10000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44732</v>
      </c>
      <c r="D28" s="40" t="s">
        <v>8</v>
      </c>
      <c r="E28" s="40" t="s">
        <v>619</v>
      </c>
      <c r="F28" s="41">
        <v>32500</v>
      </c>
      <c r="G28" s="41">
        <v>33300</v>
      </c>
      <c r="H28" s="39">
        <v>44733</v>
      </c>
      <c r="I28" s="41">
        <v>125</v>
      </c>
      <c r="J28" s="85">
        <f>33300-32500</f>
        <v>800</v>
      </c>
      <c r="K28" s="41">
        <f t="shared" si="8"/>
        <v>100000</v>
      </c>
      <c r="L28" s="42" t="s">
        <v>647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44734</v>
      </c>
      <c r="D29" s="40" t="s">
        <v>13</v>
      </c>
      <c r="E29" s="40" t="s">
        <v>30</v>
      </c>
      <c r="F29" s="41">
        <v>15440</v>
      </c>
      <c r="G29" s="41">
        <v>15383</v>
      </c>
      <c r="H29" s="39">
        <v>44734</v>
      </c>
      <c r="I29" s="41">
        <v>250</v>
      </c>
      <c r="J29" s="85">
        <f>15440-15383</f>
        <v>57</v>
      </c>
      <c r="K29" s="41">
        <f t="shared" si="8"/>
        <v>14250</v>
      </c>
      <c r="L29" s="42" t="s">
        <v>646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288000</v>
      </c>
      <c r="L35" s="86"/>
      <c r="M35" s="32"/>
      <c r="X35" s="29">
        <f>SUM(X24:X34)</f>
        <v>6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44713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44714</v>
      </c>
      <c r="D43" s="40" t="s">
        <v>8</v>
      </c>
      <c r="E43" s="40" t="s">
        <v>872</v>
      </c>
      <c r="F43" s="126">
        <v>140</v>
      </c>
      <c r="G43" s="126">
        <v>225</v>
      </c>
      <c r="H43" s="39">
        <v>44595</v>
      </c>
      <c r="I43" s="41">
        <v>100</v>
      </c>
      <c r="J43" s="126">
        <f>225-140</f>
        <v>85</v>
      </c>
      <c r="K43" s="41">
        <f>J43*I43</f>
        <v>8500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44715</v>
      </c>
      <c r="D44" s="40" t="s">
        <v>8</v>
      </c>
      <c r="E44" s="40" t="s">
        <v>873</v>
      </c>
      <c r="F44" s="126">
        <v>13</v>
      </c>
      <c r="G44" s="126">
        <v>17</v>
      </c>
      <c r="H44" s="39">
        <v>44715</v>
      </c>
      <c r="I44" s="41">
        <v>3600</v>
      </c>
      <c r="J44" s="126">
        <v>4</v>
      </c>
      <c r="K44" s="41">
        <f t="shared" ref="K44:K50" si="13">J44*I44</f>
        <v>14400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44718</v>
      </c>
      <c r="D45" s="40" t="s">
        <v>8</v>
      </c>
      <c r="E45" s="40" t="s">
        <v>875</v>
      </c>
      <c r="F45" s="126">
        <v>20</v>
      </c>
      <c r="G45" s="126">
        <v>10</v>
      </c>
      <c r="H45" s="39">
        <v>44718</v>
      </c>
      <c r="I45" s="41">
        <v>1400</v>
      </c>
      <c r="J45" s="126">
        <v>-10</v>
      </c>
      <c r="K45" s="41">
        <f t="shared" si="13"/>
        <v>-14000</v>
      </c>
      <c r="L45" s="42" t="s">
        <v>197</v>
      </c>
      <c r="M45" s="32"/>
      <c r="X45" s="29">
        <f t="shared" si="11"/>
        <v>0</v>
      </c>
      <c r="Y45" s="29">
        <f t="shared" si="12"/>
        <v>1</v>
      </c>
    </row>
    <row r="46" spans="1:25" x14ac:dyDescent="0.3">
      <c r="A46" s="31"/>
      <c r="B46" s="38">
        <f t="shared" ref="B46:B52" si="14">B45+1</f>
        <v>4</v>
      </c>
      <c r="C46" s="39">
        <v>44720</v>
      </c>
      <c r="D46" s="40" t="s">
        <v>8</v>
      </c>
      <c r="E46" s="40" t="s">
        <v>874</v>
      </c>
      <c r="F46" s="126">
        <v>100</v>
      </c>
      <c r="G46" s="126">
        <v>143</v>
      </c>
      <c r="H46" s="39">
        <v>44720</v>
      </c>
      <c r="I46" s="41">
        <v>250</v>
      </c>
      <c r="J46" s="126">
        <v>43</v>
      </c>
      <c r="K46" s="41">
        <f t="shared" si="13"/>
        <v>10750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44725</v>
      </c>
      <c r="D47" s="40" t="s">
        <v>8</v>
      </c>
      <c r="E47" s="40" t="s">
        <v>876</v>
      </c>
      <c r="F47" s="126">
        <v>230</v>
      </c>
      <c r="G47" s="126">
        <v>343</v>
      </c>
      <c r="H47" s="39">
        <v>44726</v>
      </c>
      <c r="I47" s="41">
        <v>125</v>
      </c>
      <c r="J47" s="126">
        <f>343-230</f>
        <v>113</v>
      </c>
      <c r="K47" s="41">
        <f t="shared" si="13"/>
        <v>14125</v>
      </c>
      <c r="L47" s="42" t="s">
        <v>646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44732</v>
      </c>
      <c r="D48" s="40" t="s">
        <v>8</v>
      </c>
      <c r="E48" s="40" t="s">
        <v>878</v>
      </c>
      <c r="F48" s="126">
        <v>15</v>
      </c>
      <c r="G48" s="126">
        <v>20</v>
      </c>
      <c r="H48" s="39">
        <v>44733</v>
      </c>
      <c r="I48" s="41">
        <v>1800</v>
      </c>
      <c r="J48" s="126">
        <v>5</v>
      </c>
      <c r="K48" s="41">
        <f t="shared" si="13"/>
        <v>9000</v>
      </c>
      <c r="L48" s="42" t="s">
        <v>646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44733</v>
      </c>
      <c r="D49" s="40" t="s">
        <v>8</v>
      </c>
      <c r="E49" s="40" t="s">
        <v>879</v>
      </c>
      <c r="F49" s="126">
        <v>35</v>
      </c>
      <c r="G49" s="126">
        <v>49.55</v>
      </c>
      <c r="H49" s="39">
        <v>44734</v>
      </c>
      <c r="I49" s="41">
        <v>950</v>
      </c>
      <c r="J49" s="130">
        <f>49.55-35</f>
        <v>14.549999999999997</v>
      </c>
      <c r="K49" s="41">
        <f t="shared" si="13"/>
        <v>13822.499999999998</v>
      </c>
      <c r="L49" s="42" t="s">
        <v>651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44734</v>
      </c>
      <c r="D50" s="40" t="s">
        <v>8</v>
      </c>
      <c r="E50" s="40" t="s">
        <v>880</v>
      </c>
      <c r="F50" s="126">
        <v>150</v>
      </c>
      <c r="G50" s="126">
        <v>175</v>
      </c>
      <c r="H50" s="39">
        <v>44734</v>
      </c>
      <c r="I50" s="41">
        <v>250</v>
      </c>
      <c r="J50" s="130">
        <v>25</v>
      </c>
      <c r="K50" s="41">
        <f t="shared" si="13"/>
        <v>6250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>
        <v>44739</v>
      </c>
      <c r="D51" s="40" t="s">
        <v>8</v>
      </c>
      <c r="E51" s="40" t="s">
        <v>881</v>
      </c>
      <c r="F51" s="126">
        <v>380</v>
      </c>
      <c r="G51" s="126">
        <v>230</v>
      </c>
      <c r="H51" s="39">
        <v>44739</v>
      </c>
      <c r="I51" s="41">
        <v>125</v>
      </c>
      <c r="J51" s="130">
        <v>150</v>
      </c>
      <c r="K51" s="85">
        <f t="shared" ref="K51:K52" si="15">I51*J51</f>
        <v>18750</v>
      </c>
      <c r="L51" s="42" t="s">
        <v>197</v>
      </c>
      <c r="M51" s="32"/>
      <c r="X51" s="29">
        <f t="shared" si="11"/>
        <v>1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81597.5</v>
      </c>
      <c r="L53" s="86"/>
      <c r="M53" s="32"/>
      <c r="X53" s="29">
        <f>SUM(X43:X52)</f>
        <v>8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6F00-000000000000}"/>
    <hyperlink ref="O1" location="'Home Page'!A1" display="Back" xr:uid="{00000000-0004-0000-6F00-000001000000}"/>
    <hyperlink ref="B53" r:id="rId2" xr:uid="{00000000-0004-0000-6F00-000002000000}"/>
    <hyperlink ref="O4:O5" location="'FEB 2022'!A1" display="PREMIUM STOCK FUTURE" xr:uid="{00000000-0004-0000-6F00-000003000000}"/>
    <hyperlink ref="O6:O7" location="'FEB 2022'!A1" display="PREMIUM NIFTY FUTURE" xr:uid="{00000000-0004-0000-6F00-000004000000}"/>
    <hyperlink ref="O8:O9" location="'FEB 2022'!A1" display="PREMIUM OPTOIN" xr:uid="{00000000-0004-0000-6F00-000005000000}"/>
  </hyperlinks>
  <pageMargins left="0" right="0" top="0" bottom="0" header="0" footer="0"/>
  <pageSetup paperSize="9" orientation="portrait" r:id="rId3"/>
  <drawing r:id="rId4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Y54"/>
  <sheetViews>
    <sheetView topLeftCell="A19" workbookViewId="0">
      <selection activeCell="J57" sqref="J57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44743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9</v>
      </c>
      <c r="Q4" s="221">
        <f>X16</f>
        <v>8</v>
      </c>
      <c r="R4" s="208">
        <f>Y16</f>
        <v>1</v>
      </c>
      <c r="S4" s="209">
        <f>P4-Q4-R4</f>
        <v>0</v>
      </c>
      <c r="T4" s="195">
        <f>Q4/P4</f>
        <v>0.88888888888888884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44743</v>
      </c>
      <c r="D6" s="35" t="s">
        <v>8</v>
      </c>
      <c r="E6" s="35" t="s">
        <v>799</v>
      </c>
      <c r="F6" s="126">
        <v>1305</v>
      </c>
      <c r="G6" s="126">
        <v>1340</v>
      </c>
      <c r="H6" s="34">
        <v>44743</v>
      </c>
      <c r="I6" s="36">
        <v>800</v>
      </c>
      <c r="J6" s="129">
        <v>35</v>
      </c>
      <c r="K6" s="41">
        <f>J6*I6</f>
        <v>28000</v>
      </c>
      <c r="L6" s="42" t="s">
        <v>642</v>
      </c>
      <c r="M6" s="32"/>
      <c r="O6" s="231" t="s">
        <v>599</v>
      </c>
      <c r="P6" s="199">
        <f>COUNT(C24:C34)</f>
        <v>5</v>
      </c>
      <c r="Q6" s="221">
        <v>4</v>
      </c>
      <c r="R6" s="200">
        <f>Y35</f>
        <v>1</v>
      </c>
      <c r="S6" s="201">
        <v>0</v>
      </c>
      <c r="T6" s="197">
        <f t="shared" ref="T6" si="0">Q6/P6</f>
        <v>0.8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44750</v>
      </c>
      <c r="D7" s="40" t="s">
        <v>8</v>
      </c>
      <c r="E7" s="40" t="s">
        <v>170</v>
      </c>
      <c r="F7" s="126">
        <v>4350</v>
      </c>
      <c r="G7" s="126">
        <v>4550</v>
      </c>
      <c r="H7" s="39">
        <v>44753</v>
      </c>
      <c r="I7" s="41">
        <v>250</v>
      </c>
      <c r="J7" s="130">
        <f>4550-4350</f>
        <v>200</v>
      </c>
      <c r="K7" s="41">
        <f t="shared" ref="K7:K14" si="1">J7*I7</f>
        <v>50000</v>
      </c>
      <c r="L7" s="42" t="s">
        <v>647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44753</v>
      </c>
      <c r="D8" s="40" t="s">
        <v>8</v>
      </c>
      <c r="E8" s="40" t="s">
        <v>883</v>
      </c>
      <c r="F8" s="128">
        <v>3930</v>
      </c>
      <c r="G8" s="126">
        <v>4105</v>
      </c>
      <c r="H8" s="39">
        <v>44754</v>
      </c>
      <c r="I8" s="41">
        <v>250</v>
      </c>
      <c r="J8" s="130">
        <f>4105-3930</f>
        <v>175</v>
      </c>
      <c r="K8" s="41">
        <f t="shared" si="1"/>
        <v>43750</v>
      </c>
      <c r="L8" s="42" t="s">
        <v>651</v>
      </c>
      <c r="M8" s="32"/>
      <c r="O8" s="231" t="s">
        <v>600</v>
      </c>
      <c r="P8" s="199">
        <f>COUNT(C43:C52)</f>
        <v>9</v>
      </c>
      <c r="Q8" s="200">
        <v>8</v>
      </c>
      <c r="R8" s="200">
        <f>Y53</f>
        <v>1</v>
      </c>
      <c r="S8" s="201">
        <v>0</v>
      </c>
      <c r="T8" s="197">
        <f t="shared" ref="T8:T10" si="5">Q8/P8</f>
        <v>0.88888888888888884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44754</v>
      </c>
      <c r="D9" s="40" t="s">
        <v>8</v>
      </c>
      <c r="E9" s="40" t="s">
        <v>882</v>
      </c>
      <c r="F9" s="126">
        <v>1645</v>
      </c>
      <c r="G9" s="126">
        <v>1714</v>
      </c>
      <c r="H9" s="39">
        <v>44760</v>
      </c>
      <c r="I9" s="41">
        <v>600</v>
      </c>
      <c r="J9" s="130">
        <v>69</v>
      </c>
      <c r="K9" s="41">
        <f t="shared" si="1"/>
        <v>41400</v>
      </c>
      <c r="L9" s="42" t="s">
        <v>651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44757</v>
      </c>
      <c r="D10" s="40" t="s">
        <v>8</v>
      </c>
      <c r="E10" s="40" t="s">
        <v>884</v>
      </c>
      <c r="F10" s="126">
        <v>970</v>
      </c>
      <c r="G10" s="126">
        <v>1010</v>
      </c>
      <c r="H10" s="39">
        <v>44760</v>
      </c>
      <c r="I10" s="41">
        <v>1400</v>
      </c>
      <c r="J10" s="130">
        <f>1010-970</f>
        <v>40</v>
      </c>
      <c r="K10" s="41">
        <f t="shared" si="1"/>
        <v>56000</v>
      </c>
      <c r="L10" s="42" t="s">
        <v>647</v>
      </c>
      <c r="M10" s="32"/>
      <c r="O10" s="171" t="s">
        <v>575</v>
      </c>
      <c r="P10" s="173">
        <f>SUM(P4:P9)</f>
        <v>23</v>
      </c>
      <c r="Q10" s="173">
        <f>SUM(Q4:Q9)</f>
        <v>20</v>
      </c>
      <c r="R10" s="173">
        <f>SUM(R4:R9)</f>
        <v>3</v>
      </c>
      <c r="S10" s="193">
        <f>SUM(S4:S9)</f>
        <v>0</v>
      </c>
      <c r="T10" s="195">
        <f t="shared" si="5"/>
        <v>0.86956521739130432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44760</v>
      </c>
      <c r="D11" s="40" t="s">
        <v>8</v>
      </c>
      <c r="E11" s="40" t="s">
        <v>682</v>
      </c>
      <c r="F11" s="126">
        <v>1805</v>
      </c>
      <c r="G11" s="126">
        <v>1836</v>
      </c>
      <c r="H11" s="39">
        <v>44763</v>
      </c>
      <c r="I11" s="41">
        <v>600</v>
      </c>
      <c r="J11" s="85">
        <f>1836-1805</f>
        <v>31</v>
      </c>
      <c r="K11" s="41">
        <f t="shared" si="1"/>
        <v>18600</v>
      </c>
      <c r="L11" s="42" t="s">
        <v>646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44761</v>
      </c>
      <c r="D12" s="40" t="s">
        <v>8</v>
      </c>
      <c r="E12" s="40" t="s">
        <v>826</v>
      </c>
      <c r="F12" s="126">
        <v>2190</v>
      </c>
      <c r="G12" s="126">
        <v>2265</v>
      </c>
      <c r="H12" s="39">
        <v>44762</v>
      </c>
      <c r="I12" s="41">
        <v>600</v>
      </c>
      <c r="J12" s="85">
        <f>2265-2190</f>
        <v>75</v>
      </c>
      <c r="K12" s="41">
        <f t="shared" si="1"/>
        <v>45000</v>
      </c>
      <c r="L12" s="42" t="s">
        <v>651</v>
      </c>
      <c r="M12" s="32"/>
      <c r="O12" s="175" t="s">
        <v>576</v>
      </c>
      <c r="P12" s="176"/>
      <c r="Q12" s="177"/>
      <c r="R12" s="184">
        <f>T10</f>
        <v>0.86956521739130432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>
        <v>44764</v>
      </c>
      <c r="D13" s="40" t="s">
        <v>8</v>
      </c>
      <c r="E13" s="40" t="s">
        <v>736</v>
      </c>
      <c r="F13" s="126">
        <v>1500</v>
      </c>
      <c r="G13" s="126">
        <v>1530</v>
      </c>
      <c r="H13" s="39">
        <v>44764</v>
      </c>
      <c r="I13" s="41">
        <v>950</v>
      </c>
      <c r="J13" s="85">
        <v>30</v>
      </c>
      <c r="K13" s="41">
        <f t="shared" si="1"/>
        <v>28500</v>
      </c>
      <c r="L13" s="42" t="s">
        <v>642</v>
      </c>
      <c r="M13" s="32"/>
      <c r="O13" s="178"/>
      <c r="P13" s="179"/>
      <c r="Q13" s="180"/>
      <c r="R13" s="187"/>
      <c r="S13" s="188"/>
      <c r="T13" s="189"/>
      <c r="X13" s="29">
        <f t="shared" si="2"/>
        <v>1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>
        <v>44767</v>
      </c>
      <c r="D14" s="40" t="s">
        <v>8</v>
      </c>
      <c r="E14" s="40" t="s">
        <v>893</v>
      </c>
      <c r="F14" s="41">
        <v>3650</v>
      </c>
      <c r="G14" s="41">
        <v>3500</v>
      </c>
      <c r="H14" s="39">
        <v>44768</v>
      </c>
      <c r="I14" s="41">
        <v>300</v>
      </c>
      <c r="J14" s="85">
        <v>-150</v>
      </c>
      <c r="K14" s="41">
        <f t="shared" si="1"/>
        <v>-45000</v>
      </c>
      <c r="L14" s="42" t="s">
        <v>197</v>
      </c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1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266250</v>
      </c>
      <c r="L16" s="86"/>
      <c r="M16" s="32"/>
      <c r="X16" s="29">
        <f>SUM(X6:X15)</f>
        <v>8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44743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44747</v>
      </c>
      <c r="D24" s="40" t="s">
        <v>13</v>
      </c>
      <c r="E24" s="35" t="s">
        <v>30</v>
      </c>
      <c r="F24" s="36">
        <v>15980</v>
      </c>
      <c r="G24" s="36">
        <v>15780</v>
      </c>
      <c r="H24" s="39">
        <v>44747</v>
      </c>
      <c r="I24" s="41">
        <v>250</v>
      </c>
      <c r="J24" s="41">
        <v>200</v>
      </c>
      <c r="K24" s="41">
        <f>J24*I24</f>
        <v>50000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44754</v>
      </c>
      <c r="D25" s="40" t="s">
        <v>8</v>
      </c>
      <c r="E25" s="40" t="s">
        <v>619</v>
      </c>
      <c r="F25" s="41">
        <v>35300</v>
      </c>
      <c r="G25" s="41">
        <v>35470</v>
      </c>
      <c r="H25" s="39">
        <v>44744</v>
      </c>
      <c r="I25" s="41">
        <v>125</v>
      </c>
      <c r="J25" s="41">
        <v>170</v>
      </c>
      <c r="K25" s="41">
        <f t="shared" ref="K25:K29" si="8">J25*I25</f>
        <v>21250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44696</v>
      </c>
      <c r="D26" s="40" t="s">
        <v>13</v>
      </c>
      <c r="E26" s="40" t="s">
        <v>30</v>
      </c>
      <c r="F26" s="41">
        <v>15980</v>
      </c>
      <c r="G26" s="41">
        <v>16080</v>
      </c>
      <c r="H26" s="39">
        <v>44757</v>
      </c>
      <c r="I26" s="41">
        <v>250</v>
      </c>
      <c r="J26" s="85">
        <v>-100</v>
      </c>
      <c r="K26" s="41">
        <f t="shared" si="8"/>
        <v>-25000</v>
      </c>
      <c r="L26" s="42" t="s">
        <v>197</v>
      </c>
      <c r="M26" s="32"/>
      <c r="X26" s="29">
        <f t="shared" si="6"/>
        <v>0</v>
      </c>
      <c r="Y26" s="29">
        <f t="shared" si="7"/>
        <v>1</v>
      </c>
    </row>
    <row r="27" spans="1:25" x14ac:dyDescent="0.3">
      <c r="A27" s="31"/>
      <c r="B27" s="38">
        <f t="shared" si="9"/>
        <v>4</v>
      </c>
      <c r="C27" s="39">
        <v>44700</v>
      </c>
      <c r="D27" s="40" t="s">
        <v>8</v>
      </c>
      <c r="E27" s="40" t="s">
        <v>30</v>
      </c>
      <c r="F27" s="41">
        <v>16280</v>
      </c>
      <c r="G27" s="41">
        <v>16550</v>
      </c>
      <c r="H27" s="39">
        <v>44762</v>
      </c>
      <c r="I27" s="41">
        <v>250</v>
      </c>
      <c r="J27" s="85">
        <v>270</v>
      </c>
      <c r="K27" s="41">
        <f t="shared" si="8"/>
        <v>67500</v>
      </c>
      <c r="L27" s="42" t="s">
        <v>647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44701</v>
      </c>
      <c r="D28" s="40" t="s">
        <v>13</v>
      </c>
      <c r="E28" s="40" t="s">
        <v>619</v>
      </c>
      <c r="F28" s="41">
        <v>36100</v>
      </c>
      <c r="G28" s="41">
        <v>35900</v>
      </c>
      <c r="H28" s="39">
        <v>44762</v>
      </c>
      <c r="I28" s="41">
        <v>125</v>
      </c>
      <c r="J28" s="85">
        <f>36100-35900</f>
        <v>200</v>
      </c>
      <c r="K28" s="41">
        <f t="shared" si="8"/>
        <v>25000</v>
      </c>
      <c r="L28" s="42" t="s">
        <v>646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138750</v>
      </c>
      <c r="L35" s="86"/>
      <c r="M35" s="32"/>
      <c r="X35" s="29">
        <f>SUM(X24:X34)</f>
        <v>4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44743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44743</v>
      </c>
      <c r="D43" s="40" t="s">
        <v>8</v>
      </c>
      <c r="E43" s="40" t="s">
        <v>885</v>
      </c>
      <c r="F43" s="126">
        <v>80</v>
      </c>
      <c r="G43" s="126">
        <v>86</v>
      </c>
      <c r="H43" s="39">
        <v>44743</v>
      </c>
      <c r="I43" s="41">
        <v>500</v>
      </c>
      <c r="J43" s="126">
        <v>6</v>
      </c>
      <c r="K43" s="41">
        <f>J43*I43</f>
        <v>3000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44748</v>
      </c>
      <c r="D44" s="40" t="s">
        <v>8</v>
      </c>
      <c r="E44" s="40" t="s">
        <v>886</v>
      </c>
      <c r="F44" s="126">
        <v>450</v>
      </c>
      <c r="G44" s="126">
        <v>544</v>
      </c>
      <c r="H44" s="39">
        <v>44748</v>
      </c>
      <c r="I44" s="41">
        <v>125</v>
      </c>
      <c r="J44" s="126">
        <f>544-450</f>
        <v>94</v>
      </c>
      <c r="K44" s="41">
        <f t="shared" ref="K44:K50" si="13">J44*I44</f>
        <v>11750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44750</v>
      </c>
      <c r="D45" s="40" t="s">
        <v>8</v>
      </c>
      <c r="E45" s="40" t="s">
        <v>364</v>
      </c>
      <c r="F45" s="126">
        <v>90</v>
      </c>
      <c r="G45" s="126">
        <v>170</v>
      </c>
      <c r="H45" s="39">
        <v>44753</v>
      </c>
      <c r="I45" s="41">
        <v>250</v>
      </c>
      <c r="J45" s="126">
        <f>170-90</f>
        <v>80</v>
      </c>
      <c r="K45" s="41">
        <f t="shared" si="13"/>
        <v>20000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44753</v>
      </c>
      <c r="D46" s="40" t="s">
        <v>8</v>
      </c>
      <c r="E46" s="40" t="s">
        <v>887</v>
      </c>
      <c r="F46" s="126">
        <v>70</v>
      </c>
      <c r="G46" s="126">
        <v>130</v>
      </c>
      <c r="H46" s="39">
        <v>44762</v>
      </c>
      <c r="I46" s="41">
        <v>500</v>
      </c>
      <c r="J46" s="126">
        <f>130-70</f>
        <v>60</v>
      </c>
      <c r="K46" s="41">
        <f t="shared" si="13"/>
        <v>30000</v>
      </c>
      <c r="L46" s="42" t="s">
        <v>647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44757</v>
      </c>
      <c r="D47" s="40" t="s">
        <v>8</v>
      </c>
      <c r="E47" s="40" t="s">
        <v>888</v>
      </c>
      <c r="F47" s="126">
        <v>250</v>
      </c>
      <c r="G47" s="126">
        <v>100</v>
      </c>
      <c r="H47" s="39">
        <v>44758</v>
      </c>
      <c r="I47" s="41">
        <v>125</v>
      </c>
      <c r="J47" s="126">
        <v>-150</v>
      </c>
      <c r="K47" s="41">
        <f t="shared" si="13"/>
        <v>-18750</v>
      </c>
      <c r="L47" s="42" t="s">
        <v>197</v>
      </c>
      <c r="M47" s="32"/>
      <c r="X47" s="29">
        <f t="shared" si="11"/>
        <v>0</v>
      </c>
      <c r="Y47" s="29">
        <f t="shared" si="12"/>
        <v>1</v>
      </c>
    </row>
    <row r="48" spans="1:25" x14ac:dyDescent="0.3">
      <c r="A48" s="31"/>
      <c r="B48" s="38">
        <f t="shared" si="14"/>
        <v>6</v>
      </c>
      <c r="C48" s="39">
        <v>44761</v>
      </c>
      <c r="D48" s="40" t="s">
        <v>8</v>
      </c>
      <c r="E48" s="40" t="s">
        <v>889</v>
      </c>
      <c r="F48" s="126">
        <v>33</v>
      </c>
      <c r="G48" s="126">
        <v>56</v>
      </c>
      <c r="H48" s="39">
        <v>44753</v>
      </c>
      <c r="I48" s="41">
        <v>600</v>
      </c>
      <c r="J48" s="126">
        <f>56-33</f>
        <v>23</v>
      </c>
      <c r="K48" s="41">
        <f t="shared" si="13"/>
        <v>13800</v>
      </c>
      <c r="L48" s="42" t="s">
        <v>651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44761</v>
      </c>
      <c r="D49" s="40" t="s">
        <v>8</v>
      </c>
      <c r="E49" s="40" t="s">
        <v>890</v>
      </c>
      <c r="F49" s="126">
        <v>10</v>
      </c>
      <c r="G49" s="126">
        <v>20</v>
      </c>
      <c r="H49" s="39">
        <v>44762</v>
      </c>
      <c r="I49" s="41">
        <v>2400</v>
      </c>
      <c r="J49" s="130">
        <v>10</v>
      </c>
      <c r="K49" s="41">
        <f t="shared" si="13"/>
        <v>24000</v>
      </c>
      <c r="L49" s="42" t="s">
        <v>647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44767</v>
      </c>
      <c r="D50" s="40" t="s">
        <v>8</v>
      </c>
      <c r="E50" s="40" t="s">
        <v>891</v>
      </c>
      <c r="F50" s="126">
        <v>22</v>
      </c>
      <c r="G50" s="126">
        <v>28.5</v>
      </c>
      <c r="H50" s="39">
        <v>44767</v>
      </c>
      <c r="I50" s="41">
        <v>600</v>
      </c>
      <c r="J50" s="130">
        <f>28.5-22</f>
        <v>6.5</v>
      </c>
      <c r="K50" s="41">
        <f t="shared" si="13"/>
        <v>3900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>
        <v>44771</v>
      </c>
      <c r="D51" s="40" t="s">
        <v>8</v>
      </c>
      <c r="E51" s="40" t="s">
        <v>892</v>
      </c>
      <c r="F51" s="126">
        <v>240</v>
      </c>
      <c r="G51" s="126">
        <v>320</v>
      </c>
      <c r="H51" s="39">
        <v>44771</v>
      </c>
      <c r="I51" s="41">
        <v>125</v>
      </c>
      <c r="J51" s="130">
        <f>320-240</f>
        <v>80</v>
      </c>
      <c r="K51" s="85">
        <f t="shared" ref="K51:K52" si="15">I51*J51</f>
        <v>10000</v>
      </c>
      <c r="L51" s="42" t="s">
        <v>646</v>
      </c>
      <c r="M51" s="32"/>
      <c r="X51" s="29">
        <f t="shared" si="11"/>
        <v>1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97700</v>
      </c>
      <c r="L53" s="86"/>
      <c r="M53" s="32"/>
      <c r="X53" s="29">
        <f>SUM(X43:X52)</f>
        <v>8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7000-000000000000}"/>
    <hyperlink ref="O1" location="'Home Page'!A1" display="Back" xr:uid="{00000000-0004-0000-7000-000001000000}"/>
    <hyperlink ref="B53" r:id="rId2" xr:uid="{00000000-0004-0000-7000-000002000000}"/>
    <hyperlink ref="O4:O5" location="'FEB 2022'!A1" display="PREMIUM STOCK FUTURE" xr:uid="{00000000-0004-0000-7000-000003000000}"/>
    <hyperlink ref="O6:O7" location="'FEB 2022'!A1" display="PREMIUM NIFTY FUTURE" xr:uid="{00000000-0004-0000-7000-000004000000}"/>
    <hyperlink ref="O8:O9" location="'FEB 2022'!A1" display="PREMIUM OPTOIN" xr:uid="{00000000-0004-0000-7000-000005000000}"/>
  </hyperlinks>
  <pageMargins left="0" right="0" top="0" bottom="0" header="0" footer="0"/>
  <pageSetup paperSize="9" orientation="portrait" r:id="rId3"/>
  <drawing r:id="rId4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Y54"/>
  <sheetViews>
    <sheetView topLeftCell="D1" workbookViewId="0">
      <selection activeCell="N16" sqref="N16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44774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6</v>
      </c>
      <c r="Q4" s="221">
        <f>X16</f>
        <v>5</v>
      </c>
      <c r="R4" s="208">
        <f>Y16</f>
        <v>1</v>
      </c>
      <c r="S4" s="209">
        <f>P4-Q4-R4</f>
        <v>0</v>
      </c>
      <c r="T4" s="195">
        <f>Q4/P4</f>
        <v>0.83333333333333337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44774</v>
      </c>
      <c r="D6" s="35" t="s">
        <v>8</v>
      </c>
      <c r="E6" s="35" t="s">
        <v>330</v>
      </c>
      <c r="F6" s="126">
        <v>1380</v>
      </c>
      <c r="G6" s="126">
        <v>1400</v>
      </c>
      <c r="H6" s="34">
        <v>44775</v>
      </c>
      <c r="I6" s="36">
        <v>1200</v>
      </c>
      <c r="J6" s="129">
        <v>20</v>
      </c>
      <c r="K6" s="41">
        <f>J6*I6</f>
        <v>24000</v>
      </c>
      <c r="L6" s="42" t="s">
        <v>646</v>
      </c>
      <c r="M6" s="32"/>
      <c r="O6" s="231" t="s">
        <v>599</v>
      </c>
      <c r="P6" s="199">
        <f>COUNT(C24:C34)</f>
        <v>6</v>
      </c>
      <c r="Q6" s="221">
        <v>5</v>
      </c>
      <c r="R6" s="200">
        <f>Y35</f>
        <v>1</v>
      </c>
      <c r="S6" s="201">
        <v>0</v>
      </c>
      <c r="T6" s="197">
        <f t="shared" ref="T6" si="0">Q6/P6</f>
        <v>0.83333333333333337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44778</v>
      </c>
      <c r="D7" s="40" t="s">
        <v>8</v>
      </c>
      <c r="E7" s="40" t="s">
        <v>894</v>
      </c>
      <c r="F7" s="126">
        <v>2020</v>
      </c>
      <c r="G7" s="126">
        <v>2100</v>
      </c>
      <c r="H7" s="39">
        <v>44789</v>
      </c>
      <c r="I7" s="41">
        <v>500</v>
      </c>
      <c r="J7" s="130">
        <f>2100-2020</f>
        <v>80</v>
      </c>
      <c r="K7" s="41">
        <f t="shared" ref="K7:K14" si="1">J7*I7</f>
        <v>40000</v>
      </c>
      <c r="L7" s="42" t="s">
        <v>647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44781</v>
      </c>
      <c r="D8" s="40" t="s">
        <v>8</v>
      </c>
      <c r="E8" s="40" t="s">
        <v>877</v>
      </c>
      <c r="F8" s="128">
        <v>2120</v>
      </c>
      <c r="G8" s="126">
        <v>2220</v>
      </c>
      <c r="H8" s="39" t="s">
        <v>903</v>
      </c>
      <c r="I8" s="41">
        <v>950</v>
      </c>
      <c r="J8" s="130">
        <f>2220-2120</f>
        <v>100</v>
      </c>
      <c r="K8" s="41">
        <f t="shared" si="1"/>
        <v>95000</v>
      </c>
      <c r="L8" s="42">
        <f>2220-2120</f>
        <v>100</v>
      </c>
      <c r="M8" s="32"/>
      <c r="O8" s="231" t="s">
        <v>600</v>
      </c>
      <c r="P8" s="199">
        <f>COUNT(C43:C52)</f>
        <v>6</v>
      </c>
      <c r="Q8" s="200">
        <v>5</v>
      </c>
      <c r="R8" s="200">
        <f>Y53</f>
        <v>1</v>
      </c>
      <c r="S8" s="201">
        <v>0</v>
      </c>
      <c r="T8" s="197">
        <f t="shared" ref="T8:T10" si="5">Q8/P8</f>
        <v>0.83333333333333337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44790</v>
      </c>
      <c r="D9" s="40" t="s">
        <v>8</v>
      </c>
      <c r="E9" s="40" t="s">
        <v>27</v>
      </c>
      <c r="F9" s="126">
        <v>720</v>
      </c>
      <c r="G9" s="126">
        <v>732.4</v>
      </c>
      <c r="H9" s="39">
        <v>44791</v>
      </c>
      <c r="I9" s="41">
        <v>1900</v>
      </c>
      <c r="J9" s="130">
        <f>732.4-720</f>
        <v>12.399999999999977</v>
      </c>
      <c r="K9" s="41">
        <f t="shared" si="1"/>
        <v>23559.999999999956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44795</v>
      </c>
      <c r="D10" s="40" t="s">
        <v>8</v>
      </c>
      <c r="E10" s="40" t="s">
        <v>895</v>
      </c>
      <c r="F10" s="126">
        <v>2885</v>
      </c>
      <c r="G10" s="126">
        <v>2919.8</v>
      </c>
      <c r="H10" s="39">
        <v>44795</v>
      </c>
      <c r="I10" s="41">
        <v>550</v>
      </c>
      <c r="J10" s="130">
        <f>2919.8-2885</f>
        <v>34.800000000000182</v>
      </c>
      <c r="K10" s="41">
        <f t="shared" si="1"/>
        <v>19140.000000000102</v>
      </c>
      <c r="L10" s="42" t="s">
        <v>646</v>
      </c>
      <c r="M10" s="32"/>
      <c r="O10" s="171" t="s">
        <v>575</v>
      </c>
      <c r="P10" s="173">
        <f>SUM(P4:P9)</f>
        <v>18</v>
      </c>
      <c r="Q10" s="173">
        <f>SUM(Q4:Q9)</f>
        <v>15</v>
      </c>
      <c r="R10" s="173">
        <f>SUM(R4:R9)</f>
        <v>3</v>
      </c>
      <c r="S10" s="193">
        <f>SUM(S4:S9)</f>
        <v>0</v>
      </c>
      <c r="T10" s="195">
        <f t="shared" si="5"/>
        <v>0.83333333333333337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44799</v>
      </c>
      <c r="D11" s="40" t="s">
        <v>8</v>
      </c>
      <c r="E11" s="40" t="s">
        <v>896</v>
      </c>
      <c r="F11" s="126">
        <v>1475</v>
      </c>
      <c r="G11" s="126">
        <v>1445</v>
      </c>
      <c r="H11" s="39">
        <v>44802</v>
      </c>
      <c r="I11" s="41">
        <v>1100</v>
      </c>
      <c r="J11" s="85">
        <v>-30</v>
      </c>
      <c r="K11" s="41">
        <f t="shared" si="1"/>
        <v>-33000</v>
      </c>
      <c r="L11" s="42" t="s">
        <v>197</v>
      </c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1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0.83333333333333337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168700.00000000006</v>
      </c>
      <c r="L16" s="86"/>
      <c r="M16" s="32"/>
      <c r="X16" s="29">
        <f>SUM(X6:X15)</f>
        <v>5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44774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44775</v>
      </c>
      <c r="D24" s="40" t="s">
        <v>8</v>
      </c>
      <c r="E24" s="35" t="s">
        <v>30</v>
      </c>
      <c r="F24" s="36">
        <v>17340</v>
      </c>
      <c r="G24" s="36">
        <v>17440</v>
      </c>
      <c r="H24" s="39">
        <v>44776</v>
      </c>
      <c r="I24" s="41">
        <v>250</v>
      </c>
      <c r="J24" s="41">
        <v>100</v>
      </c>
      <c r="K24" s="41">
        <f>J24*I24</f>
        <v>25000</v>
      </c>
      <c r="L24" s="37" t="s">
        <v>642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44777</v>
      </c>
      <c r="D25" s="40" t="s">
        <v>8</v>
      </c>
      <c r="E25" s="40" t="s">
        <v>30</v>
      </c>
      <c r="F25" s="41">
        <v>17320</v>
      </c>
      <c r="G25" s="41">
        <v>17514</v>
      </c>
      <c r="H25" s="39">
        <v>44777</v>
      </c>
      <c r="I25" s="41">
        <v>250</v>
      </c>
      <c r="J25" s="41">
        <f>17514-17320</f>
        <v>194</v>
      </c>
      <c r="K25" s="41">
        <f t="shared" ref="K25:K29" si="8">J25*I25</f>
        <v>48500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44781</v>
      </c>
      <c r="D26" s="40" t="s">
        <v>8</v>
      </c>
      <c r="E26" s="40" t="s">
        <v>30</v>
      </c>
      <c r="F26" s="41">
        <v>17530</v>
      </c>
      <c r="G26" s="41">
        <v>17730</v>
      </c>
      <c r="H26" s="39">
        <v>44784</v>
      </c>
      <c r="I26" s="41">
        <v>250</v>
      </c>
      <c r="J26" s="85">
        <f>17730-17530</f>
        <v>200</v>
      </c>
      <c r="K26" s="41">
        <f t="shared" si="8"/>
        <v>50000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44789</v>
      </c>
      <c r="D27" s="40" t="s">
        <v>13</v>
      </c>
      <c r="E27" s="40" t="s">
        <v>619</v>
      </c>
      <c r="F27" s="41">
        <v>39350</v>
      </c>
      <c r="G27" s="41">
        <v>39155</v>
      </c>
      <c r="H27" s="39">
        <v>44789</v>
      </c>
      <c r="I27" s="41">
        <v>125</v>
      </c>
      <c r="J27" s="85">
        <f>39350-39155</f>
        <v>195</v>
      </c>
      <c r="K27" s="41">
        <f t="shared" si="8"/>
        <v>24375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44795</v>
      </c>
      <c r="D28" s="40" t="s">
        <v>13</v>
      </c>
      <c r="E28" s="40" t="s">
        <v>619</v>
      </c>
      <c r="F28" s="41">
        <v>38400</v>
      </c>
      <c r="G28" s="41">
        <v>38000</v>
      </c>
      <c r="H28" s="39">
        <v>44795</v>
      </c>
      <c r="I28" s="41">
        <v>125</v>
      </c>
      <c r="J28" s="85">
        <v>400</v>
      </c>
      <c r="K28" s="41">
        <f t="shared" si="8"/>
        <v>50000</v>
      </c>
      <c r="L28" s="42" t="s">
        <v>651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44802</v>
      </c>
      <c r="D29" s="40" t="s">
        <v>8</v>
      </c>
      <c r="E29" s="40" t="s">
        <v>30</v>
      </c>
      <c r="F29" s="126">
        <v>17380</v>
      </c>
      <c r="G29" s="41">
        <v>17480</v>
      </c>
      <c r="H29" s="39">
        <v>44803</v>
      </c>
      <c r="I29" s="41">
        <v>250</v>
      </c>
      <c r="J29" s="85">
        <v>-100</v>
      </c>
      <c r="K29" s="41">
        <f t="shared" si="8"/>
        <v>-25000</v>
      </c>
      <c r="L29" s="42" t="s">
        <v>197</v>
      </c>
      <c r="M29" s="32"/>
      <c r="X29" s="29">
        <f t="shared" si="6"/>
        <v>0</v>
      </c>
      <c r="Y29" s="29">
        <f t="shared" si="7"/>
        <v>1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172875</v>
      </c>
      <c r="L35" s="86"/>
      <c r="M35" s="32"/>
      <c r="X35" s="29">
        <f>SUM(X24:X34)</f>
        <v>5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44774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44776</v>
      </c>
      <c r="D43" s="40" t="s">
        <v>8</v>
      </c>
      <c r="E43" s="40" t="s">
        <v>897</v>
      </c>
      <c r="F43" s="126">
        <v>150</v>
      </c>
      <c r="G43" s="126">
        <v>50</v>
      </c>
      <c r="H43" s="39">
        <v>44776</v>
      </c>
      <c r="I43" s="41">
        <v>125</v>
      </c>
      <c r="J43" s="126">
        <v>-100</v>
      </c>
      <c r="K43" s="41">
        <f>J43*I43</f>
        <v>-12500</v>
      </c>
      <c r="L43" s="37" t="s">
        <v>197</v>
      </c>
      <c r="M43" s="32"/>
      <c r="X43" s="29">
        <f t="shared" ref="X43:X52" si="11">IF($K43&gt;0,1,0)</f>
        <v>0</v>
      </c>
      <c r="Y43" s="29">
        <f t="shared" ref="Y43:Y52" si="12">IF($K43&lt;0,1,0)</f>
        <v>1</v>
      </c>
    </row>
    <row r="44" spans="1:25" x14ac:dyDescent="0.3">
      <c r="A44" s="31"/>
      <c r="B44" s="119">
        <v>2</v>
      </c>
      <c r="C44" s="39">
        <v>44781</v>
      </c>
      <c r="D44" s="40" t="s">
        <v>8</v>
      </c>
      <c r="E44" s="40" t="s">
        <v>898</v>
      </c>
      <c r="F44" s="126">
        <v>80</v>
      </c>
      <c r="G44" s="126">
        <v>140</v>
      </c>
      <c r="H44" s="39">
        <v>44784</v>
      </c>
      <c r="I44" s="41">
        <v>950</v>
      </c>
      <c r="J44" s="126">
        <f>140-80</f>
        <v>60</v>
      </c>
      <c r="K44" s="41">
        <f t="shared" ref="K44:K50" si="13">J44*I44</f>
        <v>57000</v>
      </c>
      <c r="L44" s="124" t="s">
        <v>647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44783</v>
      </c>
      <c r="D45" s="40" t="s">
        <v>8</v>
      </c>
      <c r="E45" s="40" t="s">
        <v>899</v>
      </c>
      <c r="F45" s="126">
        <v>110</v>
      </c>
      <c r="G45" s="126">
        <v>190</v>
      </c>
      <c r="H45" s="39">
        <v>44784</v>
      </c>
      <c r="I45" s="41">
        <v>250</v>
      </c>
      <c r="J45" s="126">
        <v>80</v>
      </c>
      <c r="K45" s="41">
        <f t="shared" si="13"/>
        <v>20000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44789</v>
      </c>
      <c r="D46" s="40" t="s">
        <v>8</v>
      </c>
      <c r="E46" s="40" t="s">
        <v>900</v>
      </c>
      <c r="F46" s="126">
        <v>38</v>
      </c>
      <c r="G46" s="126">
        <v>63</v>
      </c>
      <c r="H46" s="39">
        <v>44790</v>
      </c>
      <c r="I46" s="41">
        <v>1200</v>
      </c>
      <c r="J46" s="126">
        <f>63-38</f>
        <v>25</v>
      </c>
      <c r="K46" s="41">
        <f t="shared" si="13"/>
        <v>30000</v>
      </c>
      <c r="L46" s="42" t="s">
        <v>647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44792</v>
      </c>
      <c r="D47" s="40" t="s">
        <v>8</v>
      </c>
      <c r="E47" s="40" t="s">
        <v>901</v>
      </c>
      <c r="F47" s="126">
        <v>300</v>
      </c>
      <c r="G47" s="126">
        <v>599.6</v>
      </c>
      <c r="H47" s="39">
        <v>44795</v>
      </c>
      <c r="I47" s="41">
        <v>125</v>
      </c>
      <c r="J47" s="126">
        <f>599.6-300</f>
        <v>299.60000000000002</v>
      </c>
      <c r="K47" s="41">
        <f t="shared" si="13"/>
        <v>37450</v>
      </c>
      <c r="L47" s="42" t="s">
        <v>651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44795</v>
      </c>
      <c r="D48" s="40" t="s">
        <v>8</v>
      </c>
      <c r="E48" s="40" t="s">
        <v>902</v>
      </c>
      <c r="F48" s="126">
        <v>240</v>
      </c>
      <c r="G48" s="126">
        <v>425</v>
      </c>
      <c r="H48" s="39">
        <v>44796</v>
      </c>
      <c r="I48" s="41">
        <v>125</v>
      </c>
      <c r="J48" s="126">
        <f>425-240</f>
        <v>185</v>
      </c>
      <c r="K48" s="41">
        <f t="shared" si="13"/>
        <v>23125</v>
      </c>
      <c r="L48" s="42" t="s">
        <v>651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39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155075</v>
      </c>
      <c r="L53" s="86"/>
      <c r="M53" s="32"/>
      <c r="X53" s="29">
        <f>SUM(X43:X52)</f>
        <v>5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7100-000000000000}"/>
    <hyperlink ref="O1" location="'Home Page'!A1" display="Back" xr:uid="{00000000-0004-0000-7100-000001000000}"/>
    <hyperlink ref="B53" r:id="rId2" xr:uid="{00000000-0004-0000-7100-000002000000}"/>
    <hyperlink ref="O4:O5" location="'AUGUST 2023'!A1" display="PREMIUM STOCK FUTURE" xr:uid="{00000000-0004-0000-7100-000003000000}"/>
    <hyperlink ref="O6:O7" location="'AUGUST 2023'!A1" display="PREMIUM NIFTY FUTURE" xr:uid="{00000000-0004-0000-7100-000004000000}"/>
    <hyperlink ref="O8:O9" location="'AUGUST 2023'!A1" display="PREMIUM OPTOIN" xr:uid="{00000000-0004-0000-7100-000005000000}"/>
  </hyperlinks>
  <pageMargins left="0" right="0" top="0" bottom="0" header="0" footer="0"/>
  <pageSetup paperSize="9" orientation="portrait" r:id="rId3"/>
  <drawing r:id="rId4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Y54"/>
  <sheetViews>
    <sheetView topLeftCell="A34" workbookViewId="0">
      <selection activeCell="E47" sqref="E47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44805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7</v>
      </c>
      <c r="Q4" s="221">
        <f>X16</f>
        <v>7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44809</v>
      </c>
      <c r="D6" s="35" t="s">
        <v>8</v>
      </c>
      <c r="E6" s="35" t="s">
        <v>812</v>
      </c>
      <c r="F6" s="126">
        <v>4170</v>
      </c>
      <c r="G6" s="126">
        <v>4350</v>
      </c>
      <c r="H6" s="34">
        <v>44811</v>
      </c>
      <c r="I6" s="36">
        <v>250</v>
      </c>
      <c r="J6" s="129">
        <f>4350-4170</f>
        <v>180</v>
      </c>
      <c r="K6" s="41">
        <f>J6*I6</f>
        <v>45000</v>
      </c>
      <c r="L6" s="42" t="s">
        <v>651</v>
      </c>
      <c r="M6" s="32"/>
      <c r="O6" s="231" t="s">
        <v>599</v>
      </c>
      <c r="P6" s="199">
        <f>COUNT(C24:C34)</f>
        <v>7</v>
      </c>
      <c r="Q6" s="221">
        <v>7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44809</v>
      </c>
      <c r="D7" s="40" t="s">
        <v>8</v>
      </c>
      <c r="E7" s="40" t="s">
        <v>747</v>
      </c>
      <c r="F7" s="126">
        <v>682</v>
      </c>
      <c r="G7" s="126">
        <v>700</v>
      </c>
      <c r="H7" s="39">
        <v>44813</v>
      </c>
      <c r="I7" s="41">
        <v>2700</v>
      </c>
      <c r="J7" s="130">
        <f>700-682</f>
        <v>18</v>
      </c>
      <c r="K7" s="41">
        <f t="shared" ref="K7:K14" si="1">J7*I7</f>
        <v>48600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44813</v>
      </c>
      <c r="D8" s="40" t="s">
        <v>8</v>
      </c>
      <c r="E8" s="40" t="s">
        <v>904</v>
      </c>
      <c r="F8" s="128">
        <v>4800</v>
      </c>
      <c r="G8" s="126">
        <v>4854</v>
      </c>
      <c r="H8" s="39">
        <v>44817</v>
      </c>
      <c r="I8" s="41">
        <v>300</v>
      </c>
      <c r="J8" s="130">
        <f>4854-4800</f>
        <v>54</v>
      </c>
      <c r="K8" s="41">
        <f t="shared" si="1"/>
        <v>16200</v>
      </c>
      <c r="L8" s="42" t="s">
        <v>646</v>
      </c>
      <c r="M8" s="32"/>
      <c r="O8" s="231" t="s">
        <v>600</v>
      </c>
      <c r="P8" s="199">
        <f>COUNT(C43:C52)</f>
        <v>6</v>
      </c>
      <c r="Q8" s="200">
        <v>6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44817</v>
      </c>
      <c r="D9" s="40" t="s">
        <v>8</v>
      </c>
      <c r="E9" s="40" t="s">
        <v>394</v>
      </c>
      <c r="F9" s="126">
        <v>420</v>
      </c>
      <c r="G9" s="126">
        <v>440</v>
      </c>
      <c r="H9" s="39">
        <v>44819</v>
      </c>
      <c r="I9" s="41">
        <v>2750</v>
      </c>
      <c r="J9" s="130">
        <v>20</v>
      </c>
      <c r="K9" s="41">
        <f t="shared" si="1"/>
        <v>55000</v>
      </c>
      <c r="L9" s="42" t="s">
        <v>651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44824</v>
      </c>
      <c r="D10" s="40" t="s">
        <v>13</v>
      </c>
      <c r="E10" s="40" t="s">
        <v>907</v>
      </c>
      <c r="F10" s="126">
        <v>185</v>
      </c>
      <c r="G10" s="126">
        <v>180</v>
      </c>
      <c r="H10" s="39">
        <v>44824</v>
      </c>
      <c r="I10" s="41">
        <v>10000</v>
      </c>
      <c r="J10" s="130">
        <v>5</v>
      </c>
      <c r="K10" s="41">
        <f t="shared" si="1"/>
        <v>50000</v>
      </c>
      <c r="L10" s="42" t="s">
        <v>642</v>
      </c>
      <c r="M10" s="32"/>
      <c r="O10" s="171" t="s">
        <v>575</v>
      </c>
      <c r="P10" s="173">
        <f>SUM(P4:P9)</f>
        <v>20</v>
      </c>
      <c r="Q10" s="173">
        <f>SUM(Q4:Q9)</f>
        <v>20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44826</v>
      </c>
      <c r="D11" s="40" t="s">
        <v>8</v>
      </c>
      <c r="E11" s="40" t="s">
        <v>170</v>
      </c>
      <c r="F11" s="126">
        <v>4200</v>
      </c>
      <c r="G11" s="126">
        <v>4225</v>
      </c>
      <c r="H11" s="39">
        <v>44826</v>
      </c>
      <c r="I11" s="41">
        <v>250</v>
      </c>
      <c r="J11" s="85">
        <v>25</v>
      </c>
      <c r="K11" s="41">
        <f t="shared" si="1"/>
        <v>6250</v>
      </c>
      <c r="L11" s="42" t="s">
        <v>646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44826</v>
      </c>
      <c r="D12" s="40" t="s">
        <v>8</v>
      </c>
      <c r="E12" s="40" t="s">
        <v>123</v>
      </c>
      <c r="F12" s="126">
        <v>405</v>
      </c>
      <c r="G12" s="126">
        <v>413</v>
      </c>
      <c r="H12" s="39">
        <v>44826</v>
      </c>
      <c r="I12" s="41">
        <v>2150</v>
      </c>
      <c r="J12" s="85">
        <v>8</v>
      </c>
      <c r="K12" s="41">
        <f t="shared" si="1"/>
        <v>17200</v>
      </c>
      <c r="L12" s="42" t="s">
        <v>646</v>
      </c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238250</v>
      </c>
      <c r="L16" s="86"/>
      <c r="M16" s="32"/>
      <c r="X16" s="29">
        <f>SUM(X6:X15)</f>
        <v>7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44805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44809</v>
      </c>
      <c r="D24" s="40" t="s">
        <v>8</v>
      </c>
      <c r="E24" s="35" t="s">
        <v>619</v>
      </c>
      <c r="F24" s="36">
        <v>39900</v>
      </c>
      <c r="G24" s="36">
        <v>40174</v>
      </c>
      <c r="H24" s="39">
        <v>44810</v>
      </c>
      <c r="I24" s="41">
        <v>125</v>
      </c>
      <c r="J24" s="41">
        <f>40174-39900</f>
        <v>274</v>
      </c>
      <c r="K24" s="41">
        <f>J24*I24</f>
        <v>34250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44813</v>
      </c>
      <c r="D25" s="40" t="s">
        <v>8</v>
      </c>
      <c r="E25" s="40" t="s">
        <v>619</v>
      </c>
      <c r="F25" s="41">
        <v>40400</v>
      </c>
      <c r="G25" s="41">
        <v>41000</v>
      </c>
      <c r="H25" s="39">
        <v>44817</v>
      </c>
      <c r="I25" s="41">
        <v>125</v>
      </c>
      <c r="J25" s="41">
        <f>41000-40400</f>
        <v>600</v>
      </c>
      <c r="K25" s="41">
        <f t="shared" ref="K25:K29" si="8">J25*I25</f>
        <v>75000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44818</v>
      </c>
      <c r="D26" s="40" t="s">
        <v>13</v>
      </c>
      <c r="E26" s="40" t="s">
        <v>30</v>
      </c>
      <c r="F26" s="41">
        <v>18030</v>
      </c>
      <c r="G26" s="41">
        <v>17850</v>
      </c>
      <c r="H26" s="39">
        <v>44819</v>
      </c>
      <c r="I26" s="41">
        <v>250</v>
      </c>
      <c r="J26" s="85">
        <f>18030-17850</f>
        <v>180</v>
      </c>
      <c r="K26" s="41">
        <f t="shared" si="8"/>
        <v>45000</v>
      </c>
      <c r="L26" s="42" t="s">
        <v>651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44823</v>
      </c>
      <c r="D27" s="40" t="s">
        <v>13</v>
      </c>
      <c r="E27" s="40" t="s">
        <v>619</v>
      </c>
      <c r="F27" s="41">
        <v>40950</v>
      </c>
      <c r="G27" s="41">
        <v>40770</v>
      </c>
      <c r="H27" s="39">
        <v>44823</v>
      </c>
      <c r="I27" s="41">
        <v>125</v>
      </c>
      <c r="J27" s="85">
        <v>180</v>
      </c>
      <c r="K27" s="41">
        <f t="shared" si="8"/>
        <v>22500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44824</v>
      </c>
      <c r="D28" s="40" t="s">
        <v>13</v>
      </c>
      <c r="E28" s="40" t="s">
        <v>619</v>
      </c>
      <c r="F28" s="41">
        <v>41650</v>
      </c>
      <c r="G28" s="41">
        <v>41280</v>
      </c>
      <c r="H28" s="39">
        <v>44825</v>
      </c>
      <c r="I28" s="41">
        <v>125</v>
      </c>
      <c r="J28" s="85">
        <v>370</v>
      </c>
      <c r="K28" s="41">
        <f t="shared" si="8"/>
        <v>46250</v>
      </c>
      <c r="L28" s="42" t="s">
        <v>651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44827</v>
      </c>
      <c r="D29" s="40" t="s">
        <v>13</v>
      </c>
      <c r="E29" s="40" t="s">
        <v>30</v>
      </c>
      <c r="F29" s="126">
        <v>17400</v>
      </c>
      <c r="G29" s="41">
        <v>17200</v>
      </c>
      <c r="H29" s="39">
        <v>44830</v>
      </c>
      <c r="I29" s="41">
        <v>250</v>
      </c>
      <c r="J29" s="85">
        <v>200</v>
      </c>
      <c r="K29" s="41">
        <f t="shared" si="8"/>
        <v>50000</v>
      </c>
      <c r="L29" s="42" t="s">
        <v>647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44830</v>
      </c>
      <c r="D30" s="40" t="s">
        <v>13</v>
      </c>
      <c r="E30" s="40" t="s">
        <v>30</v>
      </c>
      <c r="F30" s="41">
        <v>17100</v>
      </c>
      <c r="G30" s="41">
        <v>16920</v>
      </c>
      <c r="H30" s="39">
        <v>44832</v>
      </c>
      <c r="I30" s="41">
        <v>250</v>
      </c>
      <c r="J30" s="85">
        <f>17100-16920</f>
        <v>180</v>
      </c>
      <c r="K30" s="41">
        <f>J30*I30</f>
        <v>45000</v>
      </c>
      <c r="L30" s="42" t="s">
        <v>647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318000</v>
      </c>
      <c r="L35" s="86"/>
      <c r="M35" s="32"/>
      <c r="X35" s="29">
        <f>SUM(X24:X34)</f>
        <v>7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44805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44805</v>
      </c>
      <c r="D43" s="40" t="s">
        <v>8</v>
      </c>
      <c r="E43" s="40" t="s">
        <v>905</v>
      </c>
      <c r="F43" s="126">
        <v>200</v>
      </c>
      <c r="G43" s="126">
        <v>320</v>
      </c>
      <c r="H43" s="39">
        <v>44813</v>
      </c>
      <c r="I43" s="41">
        <v>250</v>
      </c>
      <c r="J43" s="126">
        <v>120</v>
      </c>
      <c r="K43" s="41">
        <f>J43*I43</f>
        <v>30000</v>
      </c>
      <c r="L43" s="37" t="s">
        <v>647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44813</v>
      </c>
      <c r="D44" s="40" t="s">
        <v>8</v>
      </c>
      <c r="E44" s="40" t="s">
        <v>906</v>
      </c>
      <c r="F44" s="126">
        <v>38</v>
      </c>
      <c r="G44" s="126">
        <v>78</v>
      </c>
      <c r="H44" s="39">
        <v>44817</v>
      </c>
      <c r="I44" s="41">
        <v>2000</v>
      </c>
      <c r="J44" s="126">
        <f>78-38</f>
        <v>40</v>
      </c>
      <c r="K44" s="41">
        <f t="shared" ref="K44:K50" si="13">J44*I44</f>
        <v>80000</v>
      </c>
      <c r="L44" s="124" t="s">
        <v>647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44823</v>
      </c>
      <c r="D45" s="40" t="s">
        <v>8</v>
      </c>
      <c r="E45" s="40" t="s">
        <v>908</v>
      </c>
      <c r="F45" s="126">
        <v>400</v>
      </c>
      <c r="G45" s="126">
        <v>460</v>
      </c>
      <c r="H45" s="39">
        <v>44823</v>
      </c>
      <c r="I45" s="41">
        <v>125</v>
      </c>
      <c r="J45" s="126">
        <v>60</v>
      </c>
      <c r="K45" s="41">
        <f t="shared" si="13"/>
        <v>7500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44824</v>
      </c>
      <c r="D46" s="40" t="s">
        <v>8</v>
      </c>
      <c r="E46" s="40" t="s">
        <v>909</v>
      </c>
      <c r="F46" s="126">
        <v>65</v>
      </c>
      <c r="G46" s="126">
        <v>89</v>
      </c>
      <c r="H46" s="39">
        <v>44824</v>
      </c>
      <c r="I46" s="41">
        <v>400</v>
      </c>
      <c r="J46" s="126">
        <f>89-65</f>
        <v>24</v>
      </c>
      <c r="K46" s="41">
        <f t="shared" si="13"/>
        <v>9600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44830</v>
      </c>
      <c r="D47" s="40" t="s">
        <v>8</v>
      </c>
      <c r="E47" s="40" t="s">
        <v>910</v>
      </c>
      <c r="F47" s="126">
        <v>18</v>
      </c>
      <c r="G47" s="126">
        <v>22.75</v>
      </c>
      <c r="H47" s="39">
        <v>44830</v>
      </c>
      <c r="I47" s="41">
        <v>600</v>
      </c>
      <c r="J47" s="126">
        <f>22.75-18</f>
        <v>4.75</v>
      </c>
      <c r="K47" s="41">
        <f t="shared" si="13"/>
        <v>2850</v>
      </c>
      <c r="L47" s="42" t="s">
        <v>646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44831</v>
      </c>
      <c r="D48" s="40" t="s">
        <v>8</v>
      </c>
      <c r="E48" s="40" t="s">
        <v>911</v>
      </c>
      <c r="F48" s="126">
        <v>170</v>
      </c>
      <c r="G48" s="126">
        <v>395</v>
      </c>
      <c r="H48" s="39">
        <v>44832</v>
      </c>
      <c r="I48" s="41">
        <v>125</v>
      </c>
      <c r="J48" s="126">
        <f>395-170</f>
        <v>225</v>
      </c>
      <c r="K48" s="41">
        <f t="shared" si="13"/>
        <v>28125</v>
      </c>
      <c r="L48" s="42" t="s">
        <v>651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39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158075</v>
      </c>
      <c r="L53" s="86"/>
      <c r="M53" s="32"/>
      <c r="X53" s="29">
        <f>SUM(X43:X52)</f>
        <v>6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7200-000000000000}"/>
    <hyperlink ref="O1" location="'Home Page'!A1" display="Back" xr:uid="{00000000-0004-0000-7200-000001000000}"/>
    <hyperlink ref="B53" r:id="rId2" xr:uid="{00000000-0004-0000-7200-000002000000}"/>
    <hyperlink ref="O4:O5" location="'FEB 2022'!A1" display="PREMIUM STOCK FUTURE" xr:uid="{00000000-0004-0000-7200-000003000000}"/>
    <hyperlink ref="O6:O7" location="'FEB 2022'!A1" display="PREMIUM NIFTY FUTURE" xr:uid="{00000000-0004-0000-7200-000004000000}"/>
    <hyperlink ref="O8:O9" location="'FEB 2022'!A1" display="PREMIUM OPTOIN" xr:uid="{00000000-0004-0000-7200-000005000000}"/>
  </hyperlinks>
  <pageMargins left="0" right="0" top="0" bottom="0" header="0" footer="0"/>
  <pageSetup paperSize="9" orientation="portrait" r:id="rId3"/>
  <drawing r:id="rId4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Y54"/>
  <sheetViews>
    <sheetView topLeftCell="A19" workbookViewId="0">
      <selection activeCell="E19" sqref="E19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44835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44837</v>
      </c>
      <c r="D6" s="35" t="s">
        <v>13</v>
      </c>
      <c r="E6" s="35" t="s">
        <v>119</v>
      </c>
      <c r="F6" s="126">
        <v>3300</v>
      </c>
      <c r="G6" s="126">
        <v>3160</v>
      </c>
      <c r="H6" s="34">
        <v>44837</v>
      </c>
      <c r="I6" s="36">
        <v>500</v>
      </c>
      <c r="J6" s="129">
        <f>3300-3160</f>
        <v>140</v>
      </c>
      <c r="K6" s="41">
        <f>J6*I6</f>
        <v>70000</v>
      </c>
      <c r="L6" s="42" t="s">
        <v>647</v>
      </c>
      <c r="M6" s="32"/>
      <c r="O6" s="231" t="s">
        <v>599</v>
      </c>
      <c r="P6" s="199">
        <f>COUNT(C24:C34)</f>
        <v>9</v>
      </c>
      <c r="Q6" s="221">
        <v>7</v>
      </c>
      <c r="R6" s="200">
        <f>Y35</f>
        <v>2</v>
      </c>
      <c r="S6" s="201">
        <v>0</v>
      </c>
      <c r="T6" s="197">
        <f t="shared" ref="T6" si="0">Q6/P6</f>
        <v>0.77777777777777779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44841</v>
      </c>
      <c r="D7" s="40" t="s">
        <v>13</v>
      </c>
      <c r="E7" s="40" t="s">
        <v>912</v>
      </c>
      <c r="F7" s="126">
        <v>2590</v>
      </c>
      <c r="G7" s="126">
        <v>2550</v>
      </c>
      <c r="H7" s="39">
        <v>44844</v>
      </c>
      <c r="I7" s="41">
        <v>600</v>
      </c>
      <c r="J7" s="130">
        <v>40</v>
      </c>
      <c r="K7" s="41">
        <f t="shared" ref="K7:K14" si="1">J7*I7</f>
        <v>24000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44848</v>
      </c>
      <c r="D8" s="40" t="s">
        <v>8</v>
      </c>
      <c r="E8" s="40" t="s">
        <v>845</v>
      </c>
      <c r="F8" s="128">
        <v>1850</v>
      </c>
      <c r="G8" s="126">
        <v>1890</v>
      </c>
      <c r="H8" s="39">
        <v>44855</v>
      </c>
      <c r="I8" s="41">
        <v>800</v>
      </c>
      <c r="J8" s="130">
        <v>40</v>
      </c>
      <c r="K8" s="41">
        <f t="shared" si="1"/>
        <v>32000</v>
      </c>
      <c r="L8" s="42" t="s">
        <v>642</v>
      </c>
      <c r="M8" s="32"/>
      <c r="O8" s="231" t="s">
        <v>600</v>
      </c>
      <c r="P8" s="199">
        <f>COUNT(C43:C52)</f>
        <v>9</v>
      </c>
      <c r="Q8" s="200">
        <v>7</v>
      </c>
      <c r="R8" s="200">
        <f>Y53</f>
        <v>2</v>
      </c>
      <c r="S8" s="201">
        <v>0</v>
      </c>
      <c r="T8" s="197">
        <f t="shared" ref="T8:T10" si="5">Q8/P8</f>
        <v>0.77777777777777779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44856</v>
      </c>
      <c r="D9" s="40" t="s">
        <v>8</v>
      </c>
      <c r="E9" s="40" t="s">
        <v>682</v>
      </c>
      <c r="F9" s="126">
        <v>1765</v>
      </c>
      <c r="G9" s="126">
        <v>1835</v>
      </c>
      <c r="H9" s="39">
        <v>36831</v>
      </c>
      <c r="I9" s="41">
        <v>600</v>
      </c>
      <c r="J9" s="130">
        <f>1835-1765</f>
        <v>70</v>
      </c>
      <c r="K9" s="41">
        <f t="shared" si="1"/>
        <v>42000</v>
      </c>
      <c r="L9" s="42" t="s">
        <v>651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22</v>
      </c>
      <c r="Q10" s="173">
        <f>SUM(Q4:Q9)</f>
        <v>18</v>
      </c>
      <c r="R10" s="173">
        <f>SUM(R4:R9)</f>
        <v>4</v>
      </c>
      <c r="S10" s="193">
        <f>SUM(S4:S9)</f>
        <v>0</v>
      </c>
      <c r="T10" s="195">
        <f t="shared" si="5"/>
        <v>0.81818181818181823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85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0.81818181818181823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168000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44835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44837</v>
      </c>
      <c r="D24" s="40" t="s">
        <v>13</v>
      </c>
      <c r="E24" s="35" t="s">
        <v>30</v>
      </c>
      <c r="F24" s="36">
        <v>17020</v>
      </c>
      <c r="G24" s="36">
        <v>16920</v>
      </c>
      <c r="H24" s="39">
        <v>44837</v>
      </c>
      <c r="I24" s="41">
        <v>250</v>
      </c>
      <c r="J24" s="41">
        <v>100</v>
      </c>
      <c r="K24" s="41">
        <f>J24*I24</f>
        <v>25000</v>
      </c>
      <c r="L24" s="37" t="s">
        <v>642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44841</v>
      </c>
      <c r="D25" s="40" t="s">
        <v>13</v>
      </c>
      <c r="E25" s="40" t="s">
        <v>619</v>
      </c>
      <c r="F25" s="41">
        <v>39050</v>
      </c>
      <c r="G25" s="41">
        <v>38610</v>
      </c>
      <c r="H25" s="39">
        <v>44844</v>
      </c>
      <c r="I25" s="41">
        <v>125</v>
      </c>
      <c r="J25" s="41">
        <f>39050-38610</f>
        <v>440</v>
      </c>
      <c r="K25" s="41">
        <f t="shared" ref="K25:K29" si="8">J25*I25</f>
        <v>55000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44844</v>
      </c>
      <c r="D26" s="40" t="s">
        <v>13</v>
      </c>
      <c r="E26" s="40" t="s">
        <v>30</v>
      </c>
      <c r="F26" s="41">
        <v>17250</v>
      </c>
      <c r="G26" s="41">
        <v>17100</v>
      </c>
      <c r="H26" s="39">
        <v>44845</v>
      </c>
      <c r="I26" s="41">
        <f>17250-17100</f>
        <v>150</v>
      </c>
      <c r="J26" s="85">
        <f>17250-17100</f>
        <v>150</v>
      </c>
      <c r="K26" s="41">
        <f t="shared" si="8"/>
        <v>22500</v>
      </c>
      <c r="L26" s="42" t="s">
        <v>651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44845</v>
      </c>
      <c r="D27" s="40" t="s">
        <v>13</v>
      </c>
      <c r="E27" s="40" t="s">
        <v>30</v>
      </c>
      <c r="F27" s="41">
        <v>17130</v>
      </c>
      <c r="G27" s="41">
        <v>16985</v>
      </c>
      <c r="H27" s="39">
        <v>44845</v>
      </c>
      <c r="I27" s="41">
        <v>250</v>
      </c>
      <c r="J27" s="85">
        <v>145</v>
      </c>
      <c r="K27" s="41">
        <f t="shared" si="8"/>
        <v>36250</v>
      </c>
      <c r="L27" s="42" t="s">
        <v>651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44845</v>
      </c>
      <c r="D28" s="40" t="s">
        <v>13</v>
      </c>
      <c r="E28" s="40" t="s">
        <v>619</v>
      </c>
      <c r="F28" s="41">
        <v>39100</v>
      </c>
      <c r="G28" s="41">
        <v>38825</v>
      </c>
      <c r="H28" s="39">
        <v>44845</v>
      </c>
      <c r="I28" s="41">
        <v>125</v>
      </c>
      <c r="J28" s="85">
        <f>39100-38825</f>
        <v>275</v>
      </c>
      <c r="K28" s="41">
        <f t="shared" si="8"/>
        <v>34375</v>
      </c>
      <c r="L28" s="42" t="s">
        <v>646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44848</v>
      </c>
      <c r="D29" s="40" t="s">
        <v>13</v>
      </c>
      <c r="E29" s="40" t="s">
        <v>30</v>
      </c>
      <c r="F29" s="126">
        <v>17320</v>
      </c>
      <c r="G29" s="41">
        <v>17120</v>
      </c>
      <c r="H29" s="39">
        <v>44851</v>
      </c>
      <c r="I29" s="41">
        <v>250</v>
      </c>
      <c r="J29" s="85">
        <f>17320-17120</f>
        <v>200</v>
      </c>
      <c r="K29" s="41">
        <f t="shared" si="8"/>
        <v>50000</v>
      </c>
      <c r="L29" s="42" t="s">
        <v>647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44851</v>
      </c>
      <c r="D30" s="40" t="s">
        <v>13</v>
      </c>
      <c r="E30" s="40" t="s">
        <v>30</v>
      </c>
      <c r="F30" s="41">
        <v>17300</v>
      </c>
      <c r="G30" s="41">
        <v>17400</v>
      </c>
      <c r="H30" s="39">
        <v>44852</v>
      </c>
      <c r="I30" s="41">
        <v>250</v>
      </c>
      <c r="J30" s="85">
        <v>-100</v>
      </c>
      <c r="K30" s="41">
        <f>J30*I30</f>
        <v>-25000</v>
      </c>
      <c r="L30" s="42" t="s">
        <v>197</v>
      </c>
      <c r="M30" s="32"/>
      <c r="X30" s="29">
        <f t="shared" si="6"/>
        <v>0</v>
      </c>
      <c r="Y30" s="29">
        <f t="shared" si="7"/>
        <v>1</v>
      </c>
    </row>
    <row r="31" spans="1:25" x14ac:dyDescent="0.3">
      <c r="A31" s="31"/>
      <c r="B31" s="38">
        <f t="shared" si="9"/>
        <v>8</v>
      </c>
      <c r="C31" s="39">
        <v>44853</v>
      </c>
      <c r="D31" s="40" t="s">
        <v>8</v>
      </c>
      <c r="E31" s="40" t="s">
        <v>619</v>
      </c>
      <c r="F31" s="41">
        <v>40450</v>
      </c>
      <c r="G31" s="41">
        <v>40150</v>
      </c>
      <c r="H31" s="39">
        <v>44854</v>
      </c>
      <c r="I31" s="41">
        <v>125</v>
      </c>
      <c r="J31" s="85">
        <v>-300</v>
      </c>
      <c r="K31" s="41">
        <f>J31*I31</f>
        <v>-37500</v>
      </c>
      <c r="L31" s="42" t="s">
        <v>197</v>
      </c>
      <c r="M31" s="32"/>
      <c r="X31" s="29">
        <f t="shared" si="6"/>
        <v>0</v>
      </c>
      <c r="Y31" s="29">
        <f t="shared" si="7"/>
        <v>1</v>
      </c>
    </row>
    <row r="32" spans="1:25" x14ac:dyDescent="0.3">
      <c r="A32" s="31"/>
      <c r="B32" s="38">
        <f t="shared" si="9"/>
        <v>9</v>
      </c>
      <c r="C32" s="39">
        <v>44865</v>
      </c>
      <c r="D32" s="40" t="s">
        <v>8</v>
      </c>
      <c r="E32" s="40" t="s">
        <v>30</v>
      </c>
      <c r="F32" s="41">
        <v>18030</v>
      </c>
      <c r="G32" s="41">
        <v>18220</v>
      </c>
      <c r="H32" s="39">
        <v>44866</v>
      </c>
      <c r="I32" s="41">
        <v>250</v>
      </c>
      <c r="J32" s="85">
        <v>190</v>
      </c>
      <c r="K32" s="41">
        <f t="shared" ref="K32:K34" si="10">J32*I32</f>
        <v>47500</v>
      </c>
      <c r="L32" s="42" t="s">
        <v>651</v>
      </c>
      <c r="M32" s="32"/>
      <c r="X32" s="29">
        <f t="shared" si="6"/>
        <v>1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208125</v>
      </c>
      <c r="L35" s="86"/>
      <c r="M35" s="32"/>
      <c r="X35" s="29">
        <f>SUM(X24:X34)</f>
        <v>7</v>
      </c>
      <c r="Y35" s="29">
        <f>SUM(Y24:Y34)</f>
        <v>2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44835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44837</v>
      </c>
      <c r="D43" s="40" t="s">
        <v>8</v>
      </c>
      <c r="E43" s="40" t="s">
        <v>913</v>
      </c>
      <c r="F43" s="126">
        <v>160</v>
      </c>
      <c r="G43" s="126">
        <v>240</v>
      </c>
      <c r="H43" s="39">
        <v>44837</v>
      </c>
      <c r="I43" s="41">
        <v>500</v>
      </c>
      <c r="J43" s="126">
        <f>240-160</f>
        <v>80</v>
      </c>
      <c r="K43" s="41">
        <f>J43*I43</f>
        <v>40000</v>
      </c>
      <c r="L43" s="37" t="s">
        <v>647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44841</v>
      </c>
      <c r="D44" s="40" t="s">
        <v>8</v>
      </c>
      <c r="E44" s="40" t="s">
        <v>914</v>
      </c>
      <c r="F44" s="126">
        <v>65</v>
      </c>
      <c r="G44" s="126">
        <v>85</v>
      </c>
      <c r="H44" s="39">
        <v>44844</v>
      </c>
      <c r="I44" s="41">
        <v>600</v>
      </c>
      <c r="J44" s="126">
        <v>20</v>
      </c>
      <c r="K44" s="41">
        <f t="shared" ref="K44:K50" si="13">J44*I44</f>
        <v>12000</v>
      </c>
      <c r="L44" s="124" t="s">
        <v>642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44845</v>
      </c>
      <c r="D45" s="40" t="s">
        <v>8</v>
      </c>
      <c r="E45" s="40" t="s">
        <v>915</v>
      </c>
      <c r="F45" s="126">
        <v>100</v>
      </c>
      <c r="G45" s="126">
        <v>200</v>
      </c>
      <c r="H45" s="39">
        <v>44845</v>
      </c>
      <c r="I45" s="41">
        <v>250</v>
      </c>
      <c r="J45" s="126">
        <v>100</v>
      </c>
      <c r="K45" s="41">
        <f t="shared" si="13"/>
        <v>25000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44846</v>
      </c>
      <c r="D46" s="40" t="s">
        <v>8</v>
      </c>
      <c r="E46" s="40" t="s">
        <v>916</v>
      </c>
      <c r="F46" s="126">
        <v>20</v>
      </c>
      <c r="G46" s="126">
        <v>40</v>
      </c>
      <c r="H46" s="39">
        <v>44853</v>
      </c>
      <c r="I46" s="41">
        <v>2400</v>
      </c>
      <c r="J46" s="126">
        <v>20</v>
      </c>
      <c r="K46" s="41">
        <f t="shared" si="13"/>
        <v>48000</v>
      </c>
      <c r="L46" s="42" t="s">
        <v>647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44848</v>
      </c>
      <c r="D47" s="40" t="s">
        <v>8</v>
      </c>
      <c r="E47" s="40" t="s">
        <v>917</v>
      </c>
      <c r="F47" s="126">
        <v>90</v>
      </c>
      <c r="G47" s="126">
        <v>60</v>
      </c>
      <c r="H47" s="39">
        <v>44851</v>
      </c>
      <c r="I47" s="41">
        <v>500</v>
      </c>
      <c r="J47" s="126">
        <v>-30</v>
      </c>
      <c r="K47" s="41">
        <f t="shared" si="13"/>
        <v>-15000</v>
      </c>
      <c r="L47" s="42" t="s">
        <v>197</v>
      </c>
      <c r="M47" s="32"/>
      <c r="X47" s="29">
        <f t="shared" si="11"/>
        <v>0</v>
      </c>
      <c r="Y47" s="29">
        <f t="shared" si="12"/>
        <v>1</v>
      </c>
    </row>
    <row r="48" spans="1:25" x14ac:dyDescent="0.3">
      <c r="A48" s="31"/>
      <c r="B48" s="38">
        <f t="shared" si="14"/>
        <v>6</v>
      </c>
      <c r="C48" s="39">
        <v>44851</v>
      </c>
      <c r="D48" s="40" t="s">
        <v>8</v>
      </c>
      <c r="E48" s="40" t="s">
        <v>918</v>
      </c>
      <c r="F48" s="126">
        <v>300</v>
      </c>
      <c r="G48" s="126">
        <v>150</v>
      </c>
      <c r="H48" s="39">
        <v>44852</v>
      </c>
      <c r="I48" s="41">
        <v>125</v>
      </c>
      <c r="J48" s="126">
        <v>-150</v>
      </c>
      <c r="K48" s="41">
        <f t="shared" si="13"/>
        <v>-18750</v>
      </c>
      <c r="L48" s="42" t="s">
        <v>197</v>
      </c>
      <c r="M48" s="32"/>
      <c r="X48" s="29">
        <f t="shared" si="11"/>
        <v>0</v>
      </c>
      <c r="Y48" s="29">
        <f t="shared" si="12"/>
        <v>1</v>
      </c>
    </row>
    <row r="49" spans="1:25" x14ac:dyDescent="0.3">
      <c r="A49" s="31"/>
      <c r="B49" s="38">
        <f t="shared" si="14"/>
        <v>7</v>
      </c>
      <c r="C49" s="39">
        <v>44852</v>
      </c>
      <c r="D49" s="40" t="s">
        <v>8</v>
      </c>
      <c r="E49" s="40" t="s">
        <v>919</v>
      </c>
      <c r="F49" s="126">
        <v>14</v>
      </c>
      <c r="G49" s="126">
        <v>16.899999999999999</v>
      </c>
      <c r="H49" s="39">
        <v>44852</v>
      </c>
      <c r="I49" s="41">
        <v>2750</v>
      </c>
      <c r="J49" s="130">
        <v>2.9</v>
      </c>
      <c r="K49" s="41">
        <f t="shared" si="13"/>
        <v>7975</v>
      </c>
      <c r="L49" s="42" t="s">
        <v>646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44865</v>
      </c>
      <c r="D50" s="40" t="s">
        <v>8</v>
      </c>
      <c r="E50" s="40" t="s">
        <v>920</v>
      </c>
      <c r="F50" s="126">
        <v>26</v>
      </c>
      <c r="G50" s="126">
        <v>31.6</v>
      </c>
      <c r="H50" s="39">
        <v>44866</v>
      </c>
      <c r="I50" s="41">
        <v>625</v>
      </c>
      <c r="J50" s="130">
        <f>31.6-26</f>
        <v>5.6000000000000014</v>
      </c>
      <c r="K50" s="41">
        <f t="shared" si="13"/>
        <v>3500.0000000000009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>
        <v>44865</v>
      </c>
      <c r="D51" s="40" t="s">
        <v>8</v>
      </c>
      <c r="E51" s="40" t="s">
        <v>921</v>
      </c>
      <c r="F51" s="126">
        <v>50</v>
      </c>
      <c r="G51" s="126">
        <v>130</v>
      </c>
      <c r="H51" s="39">
        <v>44866</v>
      </c>
      <c r="I51" s="41">
        <v>250</v>
      </c>
      <c r="J51" s="130">
        <v>80</v>
      </c>
      <c r="K51" s="85">
        <f t="shared" ref="K51:K52" si="15">I51*J51</f>
        <v>20000</v>
      </c>
      <c r="L51" s="42" t="s">
        <v>647</v>
      </c>
      <c r="M51" s="32"/>
      <c r="X51" s="29">
        <f t="shared" si="11"/>
        <v>1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122725</v>
      </c>
      <c r="L53" s="86"/>
      <c r="M53" s="32"/>
      <c r="X53" s="29">
        <f>SUM(X43:X52)</f>
        <v>7</v>
      </c>
      <c r="Y53" s="29">
        <f>SUM(Y43:Y52)</f>
        <v>2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7300-000000000000}"/>
    <hyperlink ref="O1" location="'Home Page'!A1" display="Back" xr:uid="{00000000-0004-0000-7300-000001000000}"/>
    <hyperlink ref="B53" r:id="rId2" xr:uid="{00000000-0004-0000-7300-000002000000}"/>
    <hyperlink ref="O4:O5" location="'FEB 2022'!A1" display="PREMIUM STOCK FUTURE" xr:uid="{00000000-0004-0000-7300-000003000000}"/>
    <hyperlink ref="O6:O7" location="'FEB 2022'!A1" display="PREMIUM NIFTY FUTURE" xr:uid="{00000000-0004-0000-7300-000004000000}"/>
    <hyperlink ref="O8:O9" location="'FEB 2022'!A1" display="PREMIUM OPTOIN" xr:uid="{00000000-0004-0000-7300-000005000000}"/>
  </hyperlinks>
  <pageMargins left="0" right="0" top="0" bottom="0" header="0" footer="0"/>
  <pageSetup paperSize="9" orientation="portrait" r:id="rId3"/>
  <drawing r:id="rId4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Y54"/>
  <sheetViews>
    <sheetView topLeftCell="A40" workbookViewId="0">
      <selection activeCell="I14" sqref="I14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44866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7</v>
      </c>
      <c r="Q4" s="221">
        <f>X16</f>
        <v>6</v>
      </c>
      <c r="R4" s="208">
        <f>Y16</f>
        <v>1</v>
      </c>
      <c r="S4" s="209">
        <f>P4-Q4-R4</f>
        <v>0</v>
      </c>
      <c r="T4" s="195">
        <f>Q4/P4</f>
        <v>0.8571428571428571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44866</v>
      </c>
      <c r="D6" s="35" t="s">
        <v>8</v>
      </c>
      <c r="E6" s="35" t="s">
        <v>742</v>
      </c>
      <c r="F6" s="126">
        <v>3240</v>
      </c>
      <c r="G6" s="126">
        <v>3280</v>
      </c>
      <c r="H6" s="34">
        <v>44866</v>
      </c>
      <c r="I6" s="36">
        <v>300</v>
      </c>
      <c r="J6" s="129">
        <v>40</v>
      </c>
      <c r="K6" s="41">
        <f>J6*I6</f>
        <v>12000</v>
      </c>
      <c r="L6" s="42" t="s">
        <v>642</v>
      </c>
      <c r="M6" s="32"/>
      <c r="O6" s="231" t="s">
        <v>599</v>
      </c>
      <c r="P6" s="199">
        <f>COUNT(C24:C34)</f>
        <v>7</v>
      </c>
      <c r="Q6" s="221">
        <v>7</v>
      </c>
      <c r="R6" s="200">
        <f>Y35</f>
        <v>1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44872</v>
      </c>
      <c r="D7" s="40" t="s">
        <v>8</v>
      </c>
      <c r="E7" s="40" t="s">
        <v>922</v>
      </c>
      <c r="F7" s="126">
        <v>2810</v>
      </c>
      <c r="G7" s="126">
        <v>2884</v>
      </c>
      <c r="H7" s="39">
        <v>44874</v>
      </c>
      <c r="I7" s="41">
        <v>500</v>
      </c>
      <c r="J7" s="130">
        <f>2884-2810</f>
        <v>74</v>
      </c>
      <c r="K7" s="41">
        <f t="shared" ref="K7:K14" si="1">J7*I7</f>
        <v>37000</v>
      </c>
      <c r="L7" s="42" t="s">
        <v>647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44874</v>
      </c>
      <c r="D8" s="40" t="s">
        <v>8</v>
      </c>
      <c r="E8" s="40" t="s">
        <v>106</v>
      </c>
      <c r="F8" s="128">
        <v>440</v>
      </c>
      <c r="G8" s="126">
        <v>420</v>
      </c>
      <c r="H8" s="39">
        <v>44875</v>
      </c>
      <c r="I8" s="41">
        <v>2850</v>
      </c>
      <c r="J8" s="130">
        <v>-20</v>
      </c>
      <c r="K8" s="41">
        <f t="shared" si="1"/>
        <v>-57000</v>
      </c>
      <c r="L8" s="42" t="s">
        <v>197</v>
      </c>
      <c r="M8" s="32"/>
      <c r="O8" s="231" t="s">
        <v>600</v>
      </c>
      <c r="P8" s="199">
        <f>COUNT(C43:C52)</f>
        <v>5</v>
      </c>
      <c r="Q8" s="200">
        <v>4</v>
      </c>
      <c r="R8" s="200">
        <f>Y53</f>
        <v>1</v>
      </c>
      <c r="S8" s="201">
        <v>0</v>
      </c>
      <c r="T8" s="197">
        <f t="shared" ref="T8:T10" si="5">Q8/P8</f>
        <v>0.8</v>
      </c>
      <c r="X8" s="29">
        <f t="shared" si="2"/>
        <v>0</v>
      </c>
      <c r="Y8" s="29">
        <f t="shared" si="3"/>
        <v>1</v>
      </c>
    </row>
    <row r="9" spans="1:25" ht="15" thickBot="1" x14ac:dyDescent="0.35">
      <c r="A9" s="31"/>
      <c r="B9" s="38">
        <f t="shared" si="4"/>
        <v>4</v>
      </c>
      <c r="C9" s="39">
        <v>44879</v>
      </c>
      <c r="D9" s="40" t="s">
        <v>8</v>
      </c>
      <c r="E9" s="40" t="s">
        <v>923</v>
      </c>
      <c r="F9" s="126">
        <v>1098</v>
      </c>
      <c r="G9" s="126">
        <v>1128</v>
      </c>
      <c r="H9" s="39">
        <v>44880</v>
      </c>
      <c r="I9" s="41">
        <v>2850</v>
      </c>
      <c r="J9" s="130">
        <f>1128-1098</f>
        <v>30</v>
      </c>
      <c r="K9" s="41">
        <f t="shared" si="1"/>
        <v>85500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44883</v>
      </c>
      <c r="D10" s="40" t="s">
        <v>8</v>
      </c>
      <c r="E10" s="40" t="s">
        <v>11</v>
      </c>
      <c r="F10" s="126">
        <v>600</v>
      </c>
      <c r="G10" s="126">
        <v>610</v>
      </c>
      <c r="H10" s="39">
        <v>44889</v>
      </c>
      <c r="I10" s="41">
        <v>3000</v>
      </c>
      <c r="J10" s="130">
        <v>10</v>
      </c>
      <c r="K10" s="41">
        <f t="shared" si="1"/>
        <v>30000</v>
      </c>
      <c r="L10" s="42" t="s">
        <v>646</v>
      </c>
      <c r="M10" s="32"/>
      <c r="O10" s="171" t="s">
        <v>575</v>
      </c>
      <c r="P10" s="173">
        <f>SUM(P4:P9)</f>
        <v>19</v>
      </c>
      <c r="Q10" s="173">
        <f>SUM(Q4:Q9)</f>
        <v>17</v>
      </c>
      <c r="R10" s="173">
        <f>SUM(R4:R9)</f>
        <v>3</v>
      </c>
      <c r="S10" s="193">
        <f>SUM(S4:S9)</f>
        <v>0</v>
      </c>
      <c r="T10" s="195">
        <f t="shared" si="5"/>
        <v>0.89473684210526316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44890</v>
      </c>
      <c r="D11" s="40" t="s">
        <v>8</v>
      </c>
      <c r="E11" s="40" t="s">
        <v>67</v>
      </c>
      <c r="F11" s="126">
        <v>2630</v>
      </c>
      <c r="G11" s="126">
        <v>2690</v>
      </c>
      <c r="H11" s="39">
        <v>44893</v>
      </c>
      <c r="I11" s="41">
        <v>500</v>
      </c>
      <c r="J11" s="85">
        <v>60</v>
      </c>
      <c r="K11" s="41">
        <f t="shared" si="1"/>
        <v>30000</v>
      </c>
      <c r="L11" s="42" t="s">
        <v>647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44895</v>
      </c>
      <c r="D12" s="40" t="s">
        <v>8</v>
      </c>
      <c r="E12" s="40" t="s">
        <v>830</v>
      </c>
      <c r="F12" s="126">
        <v>2350</v>
      </c>
      <c r="G12" s="126">
        <v>2405</v>
      </c>
      <c r="H12" s="39">
        <v>44896</v>
      </c>
      <c r="I12" s="41">
        <v>750</v>
      </c>
      <c r="J12" s="85">
        <f>2405-2350</f>
        <v>55</v>
      </c>
      <c r="K12" s="41">
        <f t="shared" si="1"/>
        <v>41250</v>
      </c>
      <c r="L12" s="42" t="s">
        <v>651</v>
      </c>
      <c r="M12" s="32"/>
      <c r="O12" s="175" t="s">
        <v>576</v>
      </c>
      <c r="P12" s="176"/>
      <c r="Q12" s="177"/>
      <c r="R12" s="184">
        <f>T10</f>
        <v>0.89473684210526316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178750</v>
      </c>
      <c r="L16" s="86"/>
      <c r="M16" s="32"/>
      <c r="X16" s="29">
        <f>SUM(X6:X15)</f>
        <v>6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44866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44866</v>
      </c>
      <c r="D24" s="40" t="s">
        <v>8</v>
      </c>
      <c r="E24" s="35" t="s">
        <v>30</v>
      </c>
      <c r="F24" s="36">
        <v>18150</v>
      </c>
      <c r="G24" s="36">
        <v>18229</v>
      </c>
      <c r="H24" s="39">
        <v>44867</v>
      </c>
      <c r="I24" s="41">
        <v>250</v>
      </c>
      <c r="J24" s="41">
        <f>18229-18150</f>
        <v>79</v>
      </c>
      <c r="K24" s="41">
        <f>J24*I24</f>
        <v>19750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44872</v>
      </c>
      <c r="D25" s="40" t="s">
        <v>8</v>
      </c>
      <c r="E25" s="40" t="s">
        <v>619</v>
      </c>
      <c r="F25" s="41">
        <v>41550</v>
      </c>
      <c r="G25" s="41">
        <v>42040</v>
      </c>
      <c r="H25" s="39">
        <v>44874</v>
      </c>
      <c r="I25" s="41">
        <v>125</v>
      </c>
      <c r="J25" s="41">
        <f>42040-41550</f>
        <v>490</v>
      </c>
      <c r="K25" s="41">
        <f t="shared" ref="K25:K29" si="8">J25*I25</f>
        <v>61250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44874</v>
      </c>
      <c r="D26" s="40" t="s">
        <v>8</v>
      </c>
      <c r="E26" s="40" t="s">
        <v>30</v>
      </c>
      <c r="F26" s="41">
        <v>18250</v>
      </c>
      <c r="G26" s="41">
        <v>18150</v>
      </c>
      <c r="H26" s="39">
        <v>44875</v>
      </c>
      <c r="I26" s="41">
        <v>250</v>
      </c>
      <c r="J26" s="85">
        <v>-100</v>
      </c>
      <c r="K26" s="41">
        <f t="shared" si="8"/>
        <v>-25000</v>
      </c>
      <c r="L26" s="42" t="s">
        <v>197</v>
      </c>
      <c r="M26" s="32"/>
      <c r="X26" s="29">
        <f t="shared" si="6"/>
        <v>0</v>
      </c>
      <c r="Y26" s="29">
        <f t="shared" si="7"/>
        <v>1</v>
      </c>
    </row>
    <row r="27" spans="1:25" x14ac:dyDescent="0.3">
      <c r="A27" s="31"/>
      <c r="B27" s="38">
        <f t="shared" si="9"/>
        <v>4</v>
      </c>
      <c r="C27" s="39">
        <v>44880</v>
      </c>
      <c r="D27" s="40" t="s">
        <v>8</v>
      </c>
      <c r="E27" s="40" t="s">
        <v>619</v>
      </c>
      <c r="F27" s="41">
        <v>42350</v>
      </c>
      <c r="G27" s="41">
        <v>42619</v>
      </c>
      <c r="H27" s="39">
        <v>44881</v>
      </c>
      <c r="I27" s="41">
        <v>125</v>
      </c>
      <c r="J27" s="85">
        <f>42619-42350</f>
        <v>269</v>
      </c>
      <c r="K27" s="41">
        <f t="shared" si="8"/>
        <v>33625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44883</v>
      </c>
      <c r="D28" s="40" t="s">
        <v>13</v>
      </c>
      <c r="E28" s="40" t="s">
        <v>30</v>
      </c>
      <c r="F28" s="41">
        <v>18350</v>
      </c>
      <c r="G28" s="41">
        <v>18280</v>
      </c>
      <c r="H28" s="39">
        <v>44887</v>
      </c>
      <c r="I28" s="41">
        <v>250</v>
      </c>
      <c r="J28" s="85">
        <v>70</v>
      </c>
      <c r="K28" s="41">
        <f t="shared" si="8"/>
        <v>17500</v>
      </c>
      <c r="L28" s="42" t="s">
        <v>642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44886</v>
      </c>
      <c r="D29" s="40" t="s">
        <v>8</v>
      </c>
      <c r="E29" s="40" t="s">
        <v>30</v>
      </c>
      <c r="F29" s="126">
        <v>18180</v>
      </c>
      <c r="G29" s="41">
        <v>18380</v>
      </c>
      <c r="H29" s="39">
        <v>44889</v>
      </c>
      <c r="I29" s="41">
        <v>250</v>
      </c>
      <c r="J29" s="85">
        <f>18380-18180</f>
        <v>200</v>
      </c>
      <c r="K29" s="41">
        <f t="shared" si="8"/>
        <v>50000</v>
      </c>
      <c r="L29" s="42" t="s">
        <v>647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44890</v>
      </c>
      <c r="D30" s="40" t="s">
        <v>8</v>
      </c>
      <c r="E30" s="40" t="s">
        <v>30</v>
      </c>
      <c r="F30" s="41">
        <v>18620</v>
      </c>
      <c r="G30" s="41">
        <v>18733</v>
      </c>
      <c r="H30" s="39">
        <v>44891</v>
      </c>
      <c r="I30" s="41">
        <v>250</v>
      </c>
      <c r="J30" s="85">
        <f>18733-18620</f>
        <v>113</v>
      </c>
      <c r="K30" s="41">
        <f>J30*I30</f>
        <v>28250</v>
      </c>
      <c r="L30" s="42" t="s">
        <v>646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185375</v>
      </c>
      <c r="L35" s="86"/>
      <c r="M35" s="32"/>
      <c r="X35" s="29">
        <f>SUM(X24:X34)</f>
        <v>6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44866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44867</v>
      </c>
      <c r="D43" s="40" t="s">
        <v>8</v>
      </c>
      <c r="E43" s="40" t="s">
        <v>924</v>
      </c>
      <c r="F43" s="126">
        <v>170</v>
      </c>
      <c r="G43" s="126">
        <v>270</v>
      </c>
      <c r="H43" s="39">
        <v>44869</v>
      </c>
      <c r="I43" s="41">
        <v>500</v>
      </c>
      <c r="J43" s="126">
        <v>100</v>
      </c>
      <c r="K43" s="41">
        <f>J43*I43</f>
        <v>50000</v>
      </c>
      <c r="L43" s="37" t="s">
        <v>647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44869</v>
      </c>
      <c r="D44" s="40" t="s">
        <v>8</v>
      </c>
      <c r="E44" s="40" t="s">
        <v>925</v>
      </c>
      <c r="F44" s="126">
        <v>9</v>
      </c>
      <c r="G44" s="126">
        <v>4</v>
      </c>
      <c r="H44" s="39">
        <v>44872</v>
      </c>
      <c r="I44" s="41">
        <v>3100</v>
      </c>
      <c r="J44" s="126">
        <v>-5</v>
      </c>
      <c r="K44" s="41">
        <f t="shared" ref="K44:K50" si="13">J44*I44</f>
        <v>-15500</v>
      </c>
      <c r="L44" s="124" t="s">
        <v>197</v>
      </c>
      <c r="M44" s="32"/>
      <c r="X44" s="29">
        <f t="shared" si="11"/>
        <v>0</v>
      </c>
      <c r="Y44" s="29">
        <f t="shared" si="12"/>
        <v>1</v>
      </c>
    </row>
    <row r="45" spans="1:25" x14ac:dyDescent="0.3">
      <c r="A45" s="31"/>
      <c r="B45" s="38">
        <v>3</v>
      </c>
      <c r="C45" s="39">
        <v>44876</v>
      </c>
      <c r="D45" s="40" t="s">
        <v>8</v>
      </c>
      <c r="E45" s="40" t="s">
        <v>926</v>
      </c>
      <c r="F45" s="126">
        <v>140</v>
      </c>
      <c r="G45" s="126">
        <v>240</v>
      </c>
      <c r="H45" s="39">
        <v>44879</v>
      </c>
      <c r="I45" s="41">
        <v>300</v>
      </c>
      <c r="J45" s="126">
        <v>100</v>
      </c>
      <c r="K45" s="41">
        <f t="shared" si="13"/>
        <v>30000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44879</v>
      </c>
      <c r="D46" s="40" t="s">
        <v>8</v>
      </c>
      <c r="E46" s="40" t="s">
        <v>927</v>
      </c>
      <c r="F46" s="126">
        <v>7</v>
      </c>
      <c r="G46" s="126">
        <v>9.5500000000000007</v>
      </c>
      <c r="H46" s="39">
        <v>44879</v>
      </c>
      <c r="I46" s="41">
        <v>2000</v>
      </c>
      <c r="J46" s="126">
        <v>2.5499999999999998</v>
      </c>
      <c r="K46" s="41">
        <f t="shared" si="13"/>
        <v>5100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44883</v>
      </c>
      <c r="D47" s="40" t="s">
        <v>8</v>
      </c>
      <c r="E47" s="40" t="s">
        <v>928</v>
      </c>
      <c r="F47" s="126">
        <v>100</v>
      </c>
      <c r="G47" s="126">
        <v>133</v>
      </c>
      <c r="H47" s="39">
        <v>44883</v>
      </c>
      <c r="I47" s="41">
        <v>100</v>
      </c>
      <c r="J47" s="126">
        <v>33</v>
      </c>
      <c r="K47" s="41">
        <f t="shared" si="13"/>
        <v>3300</v>
      </c>
      <c r="L47" s="42" t="s">
        <v>646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/>
      <c r="D48" s="40"/>
      <c r="E48" s="40"/>
      <c r="F48" s="126"/>
      <c r="G48" s="126"/>
      <c r="H48" s="39"/>
      <c r="I48" s="41"/>
      <c r="J48" s="126"/>
      <c r="K48" s="41">
        <f t="shared" si="13"/>
        <v>0</v>
      </c>
      <c r="L48" s="42"/>
      <c r="M48" s="32"/>
      <c r="X48" s="29">
        <f t="shared" si="11"/>
        <v>0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39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41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72900</v>
      </c>
      <c r="L53" s="86"/>
      <c r="M53" s="32"/>
      <c r="X53" s="29">
        <f>SUM(X43:X52)</f>
        <v>4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7400-000000000000}"/>
    <hyperlink ref="O1" location="'Home Page'!A1" display="Back" xr:uid="{00000000-0004-0000-7400-000001000000}"/>
    <hyperlink ref="B53" r:id="rId2" xr:uid="{00000000-0004-0000-7400-000002000000}"/>
    <hyperlink ref="O4:O5" location="'FEB 2022'!A1" display="PREMIUM STOCK FUTURE" xr:uid="{00000000-0004-0000-7400-000003000000}"/>
    <hyperlink ref="O6:O7" location="'FEB 2022'!A1" display="PREMIUM NIFTY FUTURE" xr:uid="{00000000-0004-0000-7400-000004000000}"/>
    <hyperlink ref="O8:O9" location="'FEB 2022'!A1" display="PREMIUM OPTOIN" xr:uid="{00000000-0004-0000-7400-000005000000}"/>
  </hyperlinks>
  <pageMargins left="0" right="0" top="0" bottom="0" header="0" footer="0"/>
  <pageSetup paperSize="9" orientation="portrait" r:id="rId3"/>
  <drawing r:id="rId4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Y54"/>
  <sheetViews>
    <sheetView topLeftCell="D22" workbookViewId="0">
      <selection activeCell="L14" sqref="L14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44896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44897</v>
      </c>
      <c r="D6" s="35" t="s">
        <v>8</v>
      </c>
      <c r="E6" s="35" t="s">
        <v>929</v>
      </c>
      <c r="F6" s="126">
        <v>4290</v>
      </c>
      <c r="G6" s="126">
        <v>4340</v>
      </c>
      <c r="H6" s="34">
        <v>44900</v>
      </c>
      <c r="I6" s="36">
        <v>400</v>
      </c>
      <c r="J6" s="129">
        <f>4340-4290</f>
        <v>50</v>
      </c>
      <c r="K6" s="41">
        <f>J6*I6</f>
        <v>20000</v>
      </c>
      <c r="L6" s="42" t="s">
        <v>642</v>
      </c>
      <c r="M6" s="32"/>
      <c r="O6" s="231" t="s">
        <v>599</v>
      </c>
      <c r="P6" s="199">
        <f>COUNT(C24:C34)</f>
        <v>4</v>
      </c>
      <c r="Q6" s="221">
        <v>4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44900</v>
      </c>
      <c r="D7" s="40" t="s">
        <v>8</v>
      </c>
      <c r="E7" s="40" t="s">
        <v>877</v>
      </c>
      <c r="F7" s="126">
        <v>2785</v>
      </c>
      <c r="G7" s="126">
        <v>2826</v>
      </c>
      <c r="H7" s="39">
        <v>44900</v>
      </c>
      <c r="I7" s="41">
        <v>2750</v>
      </c>
      <c r="J7" s="130">
        <f>2826-2785</f>
        <v>41</v>
      </c>
      <c r="K7" s="41">
        <f t="shared" ref="K7:K14" si="1">J7*I7</f>
        <v>112750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44907</v>
      </c>
      <c r="D8" s="40" t="s">
        <v>8</v>
      </c>
      <c r="E8" s="40" t="s">
        <v>394</v>
      </c>
      <c r="F8" s="128">
        <v>438</v>
      </c>
      <c r="G8" s="126">
        <v>446.25</v>
      </c>
      <c r="H8" s="39">
        <v>44908</v>
      </c>
      <c r="I8" s="41">
        <v>600</v>
      </c>
      <c r="J8" s="130">
        <f>446.25-438</f>
        <v>8.25</v>
      </c>
      <c r="K8" s="41">
        <f t="shared" si="1"/>
        <v>4950</v>
      </c>
      <c r="L8" s="42" t="s">
        <v>646</v>
      </c>
      <c r="M8" s="32"/>
      <c r="O8" s="231" t="s">
        <v>600</v>
      </c>
      <c r="P8" s="199">
        <f>COUNT(C43:C52)</f>
        <v>10</v>
      </c>
      <c r="Q8" s="200">
        <v>8</v>
      </c>
      <c r="R8" s="200">
        <f>Y53</f>
        <v>2</v>
      </c>
      <c r="S8" s="201">
        <v>0</v>
      </c>
      <c r="T8" s="197">
        <f t="shared" ref="T8:T10" si="5">Q8/P8</f>
        <v>0.8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44918</v>
      </c>
      <c r="D9" s="40" t="s">
        <v>13</v>
      </c>
      <c r="E9" s="40" t="s">
        <v>366</v>
      </c>
      <c r="F9" s="126">
        <v>800</v>
      </c>
      <c r="G9" s="126">
        <v>791</v>
      </c>
      <c r="H9" s="39">
        <v>44918</v>
      </c>
      <c r="I9" s="41">
        <v>1250</v>
      </c>
      <c r="J9" s="130">
        <f>800-791</f>
        <v>9</v>
      </c>
      <c r="K9" s="41">
        <f t="shared" si="1"/>
        <v>11250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18</v>
      </c>
      <c r="Q10" s="173">
        <f>SUM(Q4:Q9)</f>
        <v>16</v>
      </c>
      <c r="R10" s="173">
        <f>SUM(R4:R9)</f>
        <v>2</v>
      </c>
      <c r="S10" s="193">
        <f>SUM(S4:S9)</f>
        <v>0</v>
      </c>
      <c r="T10" s="195">
        <f t="shared" si="5"/>
        <v>0.88888888888888884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85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0.88888888888888884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148950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44896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44901</v>
      </c>
      <c r="D24" s="40" t="s">
        <v>8</v>
      </c>
      <c r="E24" s="35" t="s">
        <v>30</v>
      </c>
      <c r="F24" s="36">
        <v>18740</v>
      </c>
      <c r="G24" s="36">
        <v>18790</v>
      </c>
      <c r="H24" s="39">
        <v>44901</v>
      </c>
      <c r="I24" s="41">
        <v>250</v>
      </c>
      <c r="J24" s="41">
        <v>50</v>
      </c>
      <c r="K24" s="41">
        <f>J24*I24</f>
        <v>12500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44907</v>
      </c>
      <c r="D25" s="40" t="s">
        <v>8</v>
      </c>
      <c r="E25" s="40" t="s">
        <v>30</v>
      </c>
      <c r="F25" s="41">
        <v>18550</v>
      </c>
      <c r="G25" s="41">
        <v>18750</v>
      </c>
      <c r="H25" s="39">
        <v>44909</v>
      </c>
      <c r="I25" s="41">
        <v>250</v>
      </c>
      <c r="J25" s="41">
        <v>200</v>
      </c>
      <c r="K25" s="41">
        <f t="shared" ref="K25:K29" si="8">J25*I25</f>
        <v>50000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44914</v>
      </c>
      <c r="D26" s="40" t="s">
        <v>8</v>
      </c>
      <c r="E26" s="40" t="s">
        <v>30</v>
      </c>
      <c r="F26" s="41">
        <v>18440</v>
      </c>
      <c r="G26" s="41">
        <v>18508</v>
      </c>
      <c r="H26" s="39">
        <v>44914</v>
      </c>
      <c r="I26" s="41">
        <v>250</v>
      </c>
      <c r="J26" s="85">
        <f>18508-18440</f>
        <v>68</v>
      </c>
      <c r="K26" s="41">
        <f t="shared" si="8"/>
        <v>17000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44918</v>
      </c>
      <c r="D27" s="40" t="s">
        <v>13</v>
      </c>
      <c r="E27" s="40" t="s">
        <v>30</v>
      </c>
      <c r="F27" s="41">
        <v>17900</v>
      </c>
      <c r="G27" s="41">
        <v>17840</v>
      </c>
      <c r="H27" s="39">
        <v>44918</v>
      </c>
      <c r="I27" s="41">
        <v>250</v>
      </c>
      <c r="J27" s="85">
        <v>60</v>
      </c>
      <c r="K27" s="41">
        <f t="shared" si="8"/>
        <v>15000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94500</v>
      </c>
      <c r="L35" s="86"/>
      <c r="M35" s="32"/>
      <c r="X35" s="29">
        <f>SUM(X24:X34)</f>
        <v>4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44896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44895</v>
      </c>
      <c r="D43" s="40" t="s">
        <v>8</v>
      </c>
      <c r="E43" s="40" t="s">
        <v>931</v>
      </c>
      <c r="F43" s="126">
        <v>48</v>
      </c>
      <c r="G43" s="126">
        <v>78</v>
      </c>
      <c r="H43" s="39">
        <v>44900</v>
      </c>
      <c r="I43" s="41">
        <v>850</v>
      </c>
      <c r="J43" s="126">
        <v>40</v>
      </c>
      <c r="K43" s="41">
        <f>J43*I43</f>
        <v>34000</v>
      </c>
      <c r="L43" s="37" t="s">
        <v>651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44897</v>
      </c>
      <c r="D44" s="40" t="s">
        <v>8</v>
      </c>
      <c r="E44" s="40" t="s">
        <v>932</v>
      </c>
      <c r="F44" s="126">
        <v>120</v>
      </c>
      <c r="G44" s="126">
        <v>160</v>
      </c>
      <c r="H44" s="39">
        <v>44901</v>
      </c>
      <c r="I44" s="41">
        <v>500</v>
      </c>
      <c r="J44" s="126">
        <v>40</v>
      </c>
      <c r="K44" s="41">
        <f t="shared" ref="K44:K50" si="13">J44*I44</f>
        <v>20000</v>
      </c>
      <c r="L44" s="124" t="s">
        <v>642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44897</v>
      </c>
      <c r="D45" s="40" t="s">
        <v>8</v>
      </c>
      <c r="E45" s="40" t="s">
        <v>930</v>
      </c>
      <c r="F45" s="126">
        <v>300</v>
      </c>
      <c r="G45" s="126">
        <v>472</v>
      </c>
      <c r="H45" s="39">
        <v>44900</v>
      </c>
      <c r="I45" s="41">
        <v>50</v>
      </c>
      <c r="J45" s="126">
        <f>472-300</f>
        <v>172</v>
      </c>
      <c r="K45" s="41">
        <f t="shared" si="13"/>
        <v>8600</v>
      </c>
      <c r="L45" s="42" t="s">
        <v>651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44901</v>
      </c>
      <c r="D46" s="40" t="s">
        <v>8</v>
      </c>
      <c r="E46" s="40" t="s">
        <v>933</v>
      </c>
      <c r="F46" s="126">
        <v>120</v>
      </c>
      <c r="G46" s="126">
        <v>157</v>
      </c>
      <c r="H46" s="39">
        <v>44902</v>
      </c>
      <c r="I46" s="41">
        <v>200</v>
      </c>
      <c r="J46" s="126">
        <f>157-120</f>
        <v>37</v>
      </c>
      <c r="K46" s="41">
        <f t="shared" si="13"/>
        <v>7400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44907</v>
      </c>
      <c r="D47" s="40" t="s">
        <v>8</v>
      </c>
      <c r="E47" s="40" t="s">
        <v>934</v>
      </c>
      <c r="F47" s="126">
        <v>90</v>
      </c>
      <c r="G47" s="126">
        <v>150</v>
      </c>
      <c r="H47" s="39">
        <v>44909</v>
      </c>
      <c r="I47" s="41">
        <v>500</v>
      </c>
      <c r="J47" s="126">
        <f>150-90</f>
        <v>60</v>
      </c>
      <c r="K47" s="41">
        <f t="shared" si="13"/>
        <v>30000</v>
      </c>
      <c r="L47" s="42" t="s">
        <v>647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44907</v>
      </c>
      <c r="D48" s="40" t="s">
        <v>8</v>
      </c>
      <c r="E48" s="40" t="s">
        <v>935</v>
      </c>
      <c r="F48" s="126">
        <v>150</v>
      </c>
      <c r="G48" s="126">
        <v>350</v>
      </c>
      <c r="H48" s="39">
        <v>44909</v>
      </c>
      <c r="I48" s="41">
        <v>50</v>
      </c>
      <c r="J48" s="126">
        <v>200</v>
      </c>
      <c r="K48" s="41">
        <f t="shared" si="13"/>
        <v>10000</v>
      </c>
      <c r="L48" s="42" t="s">
        <v>647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44914</v>
      </c>
      <c r="D49" s="40" t="s">
        <v>8</v>
      </c>
      <c r="E49" s="40" t="s">
        <v>936</v>
      </c>
      <c r="F49" s="126">
        <v>15.5</v>
      </c>
      <c r="G49" s="126">
        <v>18.399999999999999</v>
      </c>
      <c r="H49" s="39">
        <v>44914</v>
      </c>
      <c r="I49" s="41">
        <v>1250</v>
      </c>
      <c r="J49" s="130">
        <f>18.4-15.5</f>
        <v>2.8999999999999986</v>
      </c>
      <c r="K49" s="41">
        <f t="shared" si="13"/>
        <v>3624.9999999999982</v>
      </c>
      <c r="L49" s="42" t="s">
        <v>646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44916</v>
      </c>
      <c r="D50" s="40" t="s">
        <v>8</v>
      </c>
      <c r="E50" s="40" t="s">
        <v>937</v>
      </c>
      <c r="F50" s="126">
        <v>150</v>
      </c>
      <c r="G50" s="126">
        <v>250</v>
      </c>
      <c r="H50" s="39">
        <v>44916</v>
      </c>
      <c r="I50" s="41">
        <v>100</v>
      </c>
      <c r="J50" s="130">
        <v>100</v>
      </c>
      <c r="K50" s="41">
        <f t="shared" si="13"/>
        <v>10000</v>
      </c>
      <c r="L50" s="42" t="s">
        <v>642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>
        <v>44918</v>
      </c>
      <c r="D51" s="40" t="s">
        <v>8</v>
      </c>
      <c r="E51" s="40" t="s">
        <v>938</v>
      </c>
      <c r="F51" s="126">
        <v>20</v>
      </c>
      <c r="G51" s="126">
        <v>12</v>
      </c>
      <c r="H51" s="39">
        <v>44922</v>
      </c>
      <c r="I51" s="41">
        <v>875</v>
      </c>
      <c r="J51" s="130">
        <v>-8</v>
      </c>
      <c r="K51" s="85">
        <f t="shared" ref="K51:K52" si="15">I51*J51</f>
        <v>-7000</v>
      </c>
      <c r="L51" s="42" t="s">
        <v>197</v>
      </c>
      <c r="M51" s="32"/>
      <c r="X51" s="29">
        <f t="shared" si="11"/>
        <v>0</v>
      </c>
      <c r="Y51" s="29">
        <f t="shared" si="12"/>
        <v>1</v>
      </c>
    </row>
    <row r="52" spans="1:25" ht="15" thickBot="1" x14ac:dyDescent="0.35">
      <c r="A52" s="31"/>
      <c r="B52" s="38">
        <f t="shared" si="14"/>
        <v>10</v>
      </c>
      <c r="C52" s="39">
        <v>44919</v>
      </c>
      <c r="D52" s="40" t="s">
        <v>8</v>
      </c>
      <c r="E52" s="40" t="s">
        <v>939</v>
      </c>
      <c r="F52" s="126">
        <v>280</v>
      </c>
      <c r="G52" s="126">
        <v>150</v>
      </c>
      <c r="H52" s="39">
        <v>44921</v>
      </c>
      <c r="I52" s="41">
        <v>50</v>
      </c>
      <c r="J52" s="130">
        <v>-130</v>
      </c>
      <c r="K52" s="85">
        <f t="shared" si="15"/>
        <v>-6500</v>
      </c>
      <c r="L52" s="42" t="s">
        <v>197</v>
      </c>
      <c r="M52" s="32"/>
      <c r="X52" s="29">
        <f t="shared" si="11"/>
        <v>0</v>
      </c>
      <c r="Y52" s="29">
        <f t="shared" si="12"/>
        <v>1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110125</v>
      </c>
      <c r="L53" s="86"/>
      <c r="M53" s="32"/>
      <c r="X53" s="29">
        <f>SUM(X43:X52)</f>
        <v>8</v>
      </c>
      <c r="Y53" s="29">
        <f>SUM(Y43:Y52)</f>
        <v>2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7500-000000000000}"/>
    <hyperlink ref="O1" location="'Home Page'!A1" display="Back" xr:uid="{00000000-0004-0000-7500-000001000000}"/>
    <hyperlink ref="B53" r:id="rId2" xr:uid="{00000000-0004-0000-7500-000002000000}"/>
    <hyperlink ref="O4:O5" location="'FEB 2022'!A1" display="PREMIUM STOCK FUTURE" xr:uid="{00000000-0004-0000-7500-000003000000}"/>
    <hyperlink ref="O6:O7" location="'FEB 2022'!A1" display="PREMIUM NIFTY FUTURE" xr:uid="{00000000-0004-0000-7500-000004000000}"/>
    <hyperlink ref="O8:O9" location="'FEB 2022'!A1" display="PREMIUM OPTOIN" xr:uid="{00000000-0004-0000-7500-000005000000}"/>
  </hyperlinks>
  <pageMargins left="0" right="0" top="0" bottom="0" header="0" footer="0"/>
  <pageSetup paperSize="9" orientation="portrait" r:id="rId3"/>
  <drawing r:id="rId4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Y54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44927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44929</v>
      </c>
      <c r="D6" s="35" t="s">
        <v>8</v>
      </c>
      <c r="E6" s="35" t="s">
        <v>234</v>
      </c>
      <c r="F6" s="126">
        <v>1265</v>
      </c>
      <c r="G6" s="126">
        <v>1278</v>
      </c>
      <c r="H6" s="34">
        <v>44931</v>
      </c>
      <c r="I6" s="36">
        <v>1400</v>
      </c>
      <c r="J6" s="129">
        <f>1278-1265</f>
        <v>13</v>
      </c>
      <c r="K6" s="41">
        <f>J6*I6</f>
        <v>18200</v>
      </c>
      <c r="L6" s="42" t="s">
        <v>646</v>
      </c>
      <c r="M6" s="32"/>
      <c r="O6" s="231" t="s">
        <v>599</v>
      </c>
      <c r="P6" s="199">
        <f>COUNT(C24:C33)</f>
        <v>8</v>
      </c>
      <c r="Q6" s="221">
        <v>8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44932</v>
      </c>
      <c r="D7" s="40" t="s">
        <v>8</v>
      </c>
      <c r="E7" s="40" t="s">
        <v>67</v>
      </c>
      <c r="F7" s="126">
        <v>2545</v>
      </c>
      <c r="G7" s="126">
        <v>2590</v>
      </c>
      <c r="H7" s="39">
        <v>44935</v>
      </c>
      <c r="I7" s="41">
        <v>500</v>
      </c>
      <c r="J7" s="130">
        <f>2590-2545</f>
        <v>45</v>
      </c>
      <c r="K7" s="41">
        <f t="shared" ref="K7:K14" si="1">J7*I7</f>
        <v>22500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44936</v>
      </c>
      <c r="D8" s="40" t="s">
        <v>8</v>
      </c>
      <c r="E8" s="40" t="s">
        <v>380</v>
      </c>
      <c r="F8" s="128">
        <v>3520</v>
      </c>
      <c r="G8" s="126">
        <v>3550</v>
      </c>
      <c r="H8" s="39">
        <v>44937</v>
      </c>
      <c r="I8" s="41">
        <v>300</v>
      </c>
      <c r="J8" s="130">
        <v>30</v>
      </c>
      <c r="K8" s="41">
        <v>300</v>
      </c>
      <c r="L8" s="42" t="s">
        <v>646</v>
      </c>
      <c r="M8" s="32"/>
      <c r="O8" s="231" t="s">
        <v>600</v>
      </c>
      <c r="P8" s="199">
        <f>COUNT(C43:C52)</f>
        <v>8</v>
      </c>
      <c r="Q8" s="200">
        <v>7</v>
      </c>
      <c r="R8" s="200">
        <f>Y53</f>
        <v>1</v>
      </c>
      <c r="S8" s="201">
        <v>0</v>
      </c>
      <c r="T8" s="197">
        <f t="shared" ref="T8:T10" si="5">Q8/P8</f>
        <v>0.875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44943</v>
      </c>
      <c r="D9" s="40" t="s">
        <v>8</v>
      </c>
      <c r="E9" s="40" t="s">
        <v>68</v>
      </c>
      <c r="F9" s="126">
        <v>1040</v>
      </c>
      <c r="G9" s="126">
        <v>1070</v>
      </c>
      <c r="H9" s="39">
        <v>44950</v>
      </c>
      <c r="I9" s="41">
        <v>1200</v>
      </c>
      <c r="J9" s="130">
        <v>30</v>
      </c>
      <c r="K9" s="41">
        <f t="shared" si="1"/>
        <v>36000</v>
      </c>
      <c r="L9" s="42" t="s">
        <v>651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154"/>
      <c r="D10" s="154"/>
      <c r="E10" s="154"/>
      <c r="F10" s="154"/>
      <c r="G10" s="154"/>
      <c r="H10" s="154"/>
      <c r="I10" s="154"/>
      <c r="J10" s="130"/>
      <c r="K10" s="41">
        <f>J10*I50</f>
        <v>0</v>
      </c>
      <c r="L10" s="42"/>
      <c r="M10" s="32"/>
      <c r="O10" s="171" t="s">
        <v>575</v>
      </c>
      <c r="P10" s="173">
        <f>SUM(P4:P9)</f>
        <v>20</v>
      </c>
      <c r="Q10" s="173">
        <f>SUM(Q4:Q9)</f>
        <v>19</v>
      </c>
      <c r="R10" s="173">
        <f>SUM(R4:R9)</f>
        <v>1</v>
      </c>
      <c r="S10" s="193">
        <f>SUM(S4:S9)</f>
        <v>0</v>
      </c>
      <c r="T10" s="195">
        <f t="shared" si="5"/>
        <v>0.95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85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0.95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77000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44927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44929</v>
      </c>
      <c r="D24" s="40" t="s">
        <v>8</v>
      </c>
      <c r="E24" s="35" t="s">
        <v>30</v>
      </c>
      <c r="F24" s="36">
        <v>18300</v>
      </c>
      <c r="G24" s="36">
        <v>18343</v>
      </c>
      <c r="H24" s="39">
        <v>44929</v>
      </c>
      <c r="I24" s="41">
        <v>250</v>
      </c>
      <c r="J24" s="41">
        <v>43</v>
      </c>
      <c r="K24" s="41">
        <f>J24*I24</f>
        <v>10750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44930</v>
      </c>
      <c r="D25" s="40" t="s">
        <v>13</v>
      </c>
      <c r="E25" s="40" t="s">
        <v>30</v>
      </c>
      <c r="F25" s="41">
        <v>18120</v>
      </c>
      <c r="G25" s="41">
        <v>17920</v>
      </c>
      <c r="H25" s="39">
        <v>44932</v>
      </c>
      <c r="I25" s="41">
        <v>250</v>
      </c>
      <c r="J25" s="41">
        <v>200</v>
      </c>
      <c r="K25" s="41">
        <f t="shared" ref="K25:K29" si="8">J25*I25</f>
        <v>50000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44932</v>
      </c>
      <c r="D26" s="40" t="s">
        <v>8</v>
      </c>
      <c r="E26" s="40" t="s">
        <v>30</v>
      </c>
      <c r="F26" s="41">
        <v>17890</v>
      </c>
      <c r="G26" s="41">
        <v>18090</v>
      </c>
      <c r="H26" s="39">
        <v>44935</v>
      </c>
      <c r="I26" s="41">
        <v>250</v>
      </c>
      <c r="J26" s="85">
        <f>18090-17890</f>
        <v>200</v>
      </c>
      <c r="K26" s="41">
        <f t="shared" si="8"/>
        <v>50000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44936</v>
      </c>
      <c r="D27" s="40" t="s">
        <v>8</v>
      </c>
      <c r="E27" s="40" t="s">
        <v>30</v>
      </c>
      <c r="F27" s="41">
        <v>17950</v>
      </c>
      <c r="G27" s="41">
        <v>18050</v>
      </c>
      <c r="H27" s="39">
        <v>44937</v>
      </c>
      <c r="I27" s="41">
        <v>250</v>
      </c>
      <c r="J27" s="85">
        <f>18050-17950</f>
        <v>100</v>
      </c>
      <c r="K27" s="41">
        <f t="shared" si="8"/>
        <v>25000</v>
      </c>
      <c r="L27" s="42" t="s">
        <v>642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44943</v>
      </c>
      <c r="D28" s="40" t="s">
        <v>13</v>
      </c>
      <c r="E28" s="40" t="s">
        <v>619</v>
      </c>
      <c r="F28" s="41">
        <v>42300</v>
      </c>
      <c r="G28" s="41">
        <v>42000</v>
      </c>
      <c r="H28" s="39">
        <v>44943</v>
      </c>
      <c r="I28" s="41">
        <v>125</v>
      </c>
      <c r="J28" s="85">
        <v>300</v>
      </c>
      <c r="K28" s="41">
        <f t="shared" si="8"/>
        <v>37500</v>
      </c>
      <c r="L28" s="42" t="s">
        <v>642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44943</v>
      </c>
      <c r="D29" s="40" t="s">
        <v>8</v>
      </c>
      <c r="E29" s="40" t="s">
        <v>30</v>
      </c>
      <c r="F29" s="126">
        <v>18020</v>
      </c>
      <c r="G29" s="41">
        <v>18170</v>
      </c>
      <c r="H29" s="39">
        <v>44944</v>
      </c>
      <c r="I29" s="41">
        <v>250</v>
      </c>
      <c r="J29" s="85">
        <v>150</v>
      </c>
      <c r="K29" s="41">
        <f t="shared" si="8"/>
        <v>37500</v>
      </c>
      <c r="L29" s="42" t="s">
        <v>651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44953</v>
      </c>
      <c r="D30" s="40" t="s">
        <v>8</v>
      </c>
      <c r="E30" s="40" t="s">
        <v>30</v>
      </c>
      <c r="F30" s="41">
        <v>17650</v>
      </c>
      <c r="G30" s="41">
        <v>17714</v>
      </c>
      <c r="H30" s="39">
        <v>44954</v>
      </c>
      <c r="I30" s="41">
        <v>250</v>
      </c>
      <c r="J30" s="85">
        <v>64</v>
      </c>
      <c r="K30" s="41">
        <f>J30*I30</f>
        <v>16000</v>
      </c>
      <c r="L30" s="42" t="s">
        <v>642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>
        <v>44957</v>
      </c>
      <c r="D31" s="40" t="s">
        <v>8</v>
      </c>
      <c r="E31" s="40" t="s">
        <v>30</v>
      </c>
      <c r="F31" s="41">
        <v>17800</v>
      </c>
      <c r="G31" s="41">
        <v>18000</v>
      </c>
      <c r="H31" s="39">
        <v>44958</v>
      </c>
      <c r="I31" s="41">
        <v>250</v>
      </c>
      <c r="J31" s="85">
        <f>18000-17800</f>
        <v>200</v>
      </c>
      <c r="K31" s="41">
        <f>J31*I31</f>
        <v>50000</v>
      </c>
      <c r="L31" s="42" t="s">
        <v>647</v>
      </c>
      <c r="M31" s="32"/>
      <c r="X31" s="29">
        <f t="shared" si="6"/>
        <v>1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276750</v>
      </c>
      <c r="L35" s="86"/>
      <c r="M35" s="32"/>
      <c r="X35" s="29">
        <f>SUM(X24:X34)</f>
        <v>8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44927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44928</v>
      </c>
      <c r="D43" s="40" t="s">
        <v>8</v>
      </c>
      <c r="E43" s="40" t="s">
        <v>941</v>
      </c>
      <c r="F43" s="126">
        <v>130</v>
      </c>
      <c r="G43" s="126">
        <v>162</v>
      </c>
      <c r="H43" s="39">
        <v>44929</v>
      </c>
      <c r="I43" s="41">
        <v>500</v>
      </c>
      <c r="J43" s="126">
        <f>162-130</f>
        <v>32</v>
      </c>
      <c r="K43" s="41">
        <f>J43*I43</f>
        <v>16000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44932</v>
      </c>
      <c r="D44" s="40" t="s">
        <v>8</v>
      </c>
      <c r="E44" s="40" t="s">
        <v>942</v>
      </c>
      <c r="F44" s="126">
        <v>150</v>
      </c>
      <c r="G44" s="126">
        <v>350</v>
      </c>
      <c r="H44" s="39">
        <v>44935</v>
      </c>
      <c r="I44" s="41">
        <v>100</v>
      </c>
      <c r="J44" s="126">
        <f>350-150</f>
        <v>200</v>
      </c>
      <c r="K44" s="41">
        <f t="shared" ref="K44:K50" si="13">J44*I44</f>
        <v>20000</v>
      </c>
      <c r="L44" s="124" t="s">
        <v>647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44936</v>
      </c>
      <c r="D45" s="40" t="s">
        <v>8</v>
      </c>
      <c r="E45" s="40" t="s">
        <v>943</v>
      </c>
      <c r="F45" s="126">
        <v>90</v>
      </c>
      <c r="G45" s="126">
        <v>190</v>
      </c>
      <c r="H45" s="39">
        <v>44937</v>
      </c>
      <c r="I45" s="41">
        <f>190-90</f>
        <v>100</v>
      </c>
      <c r="J45" s="126">
        <v>100</v>
      </c>
      <c r="K45" s="41">
        <f t="shared" si="13"/>
        <v>10000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44943</v>
      </c>
      <c r="D46" s="40" t="s">
        <v>8</v>
      </c>
      <c r="E46" s="40" t="s">
        <v>944</v>
      </c>
      <c r="F46" s="126">
        <v>250</v>
      </c>
      <c r="G46" s="126">
        <v>400</v>
      </c>
      <c r="H46" s="39">
        <v>44943</v>
      </c>
      <c r="I46" s="41">
        <v>50</v>
      </c>
      <c r="J46" s="126">
        <f>400-250</f>
        <v>150</v>
      </c>
      <c r="K46" s="41">
        <f t="shared" si="13"/>
        <v>7500</v>
      </c>
      <c r="L46" s="42" t="s">
        <v>642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44944</v>
      </c>
      <c r="D47" s="40" t="s">
        <v>8</v>
      </c>
      <c r="E47" s="40" t="s">
        <v>782</v>
      </c>
      <c r="F47" s="126">
        <v>25</v>
      </c>
      <c r="G47" s="126">
        <v>10</v>
      </c>
      <c r="H47" s="39">
        <v>44944</v>
      </c>
      <c r="I47" s="41">
        <v>800</v>
      </c>
      <c r="J47" s="126">
        <v>-15</v>
      </c>
      <c r="K47" s="41">
        <f t="shared" si="13"/>
        <v>-12000</v>
      </c>
      <c r="L47" s="42" t="s">
        <v>197</v>
      </c>
      <c r="M47" s="32"/>
      <c r="X47" s="29">
        <f t="shared" si="11"/>
        <v>0</v>
      </c>
      <c r="Y47" s="29">
        <f t="shared" si="12"/>
        <v>1</v>
      </c>
    </row>
    <row r="48" spans="1:25" x14ac:dyDescent="0.3">
      <c r="A48" s="31"/>
      <c r="B48" s="38">
        <f t="shared" si="14"/>
        <v>6</v>
      </c>
      <c r="C48" s="39">
        <v>44953</v>
      </c>
      <c r="D48" s="40" t="s">
        <v>8</v>
      </c>
      <c r="E48" s="40" t="s">
        <v>942</v>
      </c>
      <c r="F48" s="126">
        <v>90</v>
      </c>
      <c r="G48" s="126">
        <v>153</v>
      </c>
      <c r="H48" s="39">
        <v>44956</v>
      </c>
      <c r="I48" s="41">
        <v>100</v>
      </c>
      <c r="J48" s="126">
        <f>153-90</f>
        <v>63</v>
      </c>
      <c r="K48" s="41">
        <f t="shared" si="13"/>
        <v>6300</v>
      </c>
      <c r="L48" s="42" t="s">
        <v>646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44956</v>
      </c>
      <c r="D49" s="40" t="s">
        <v>8</v>
      </c>
      <c r="E49" s="40" t="s">
        <v>945</v>
      </c>
      <c r="F49" s="126">
        <v>300</v>
      </c>
      <c r="G49" s="126">
        <v>600</v>
      </c>
      <c r="H49" s="39">
        <v>44956</v>
      </c>
      <c r="I49" s="41">
        <v>50</v>
      </c>
      <c r="J49" s="130">
        <v>300</v>
      </c>
      <c r="K49" s="41">
        <f t="shared" si="13"/>
        <v>15000</v>
      </c>
      <c r="L49" s="42" t="s">
        <v>647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44956</v>
      </c>
      <c r="D50" s="40" t="s">
        <v>8</v>
      </c>
      <c r="E50" s="40" t="s">
        <v>940</v>
      </c>
      <c r="F50" s="126">
        <v>20</v>
      </c>
      <c r="G50" s="126">
        <v>25</v>
      </c>
      <c r="H50" s="39">
        <v>44956</v>
      </c>
      <c r="I50" s="41">
        <v>3000</v>
      </c>
      <c r="J50" s="130">
        <v>5</v>
      </c>
      <c r="K50" s="41">
        <f t="shared" si="13"/>
        <v>15000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77800</v>
      </c>
      <c r="L53" s="86"/>
      <c r="M53" s="32"/>
      <c r="X53" s="29">
        <f>SUM(X43:X52)</f>
        <v>7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7600-000000000000}"/>
    <hyperlink ref="O1" location="'Home Page'!A1" display="Back" xr:uid="{00000000-0004-0000-7600-000001000000}"/>
    <hyperlink ref="B53" r:id="rId2" xr:uid="{00000000-0004-0000-7600-000002000000}"/>
    <hyperlink ref="O4:O5" location="'FEB 2022'!A1" display="PREMIUM STOCK FUTURE" xr:uid="{00000000-0004-0000-7600-000003000000}"/>
    <hyperlink ref="O6:O7" location="'FEB 2022'!A1" display="PREMIUM NIFTY FUTURE" xr:uid="{00000000-0004-0000-7600-000004000000}"/>
    <hyperlink ref="O8:O9" location="'FEB 2022'!A1" display="PREMIUM OPTOIN" xr:uid="{00000000-0004-0000-7600-000005000000}"/>
  </hyperlinks>
  <pageMargins left="0" right="0" top="0" bottom="0" header="0" footer="0"/>
  <pageSetup paperSize="9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35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1.4414062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143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41674</v>
      </c>
      <c r="C5" s="8" t="s">
        <v>20</v>
      </c>
      <c r="D5" s="8" t="s">
        <v>14</v>
      </c>
      <c r="E5" s="8">
        <v>134</v>
      </c>
      <c r="F5" s="8">
        <v>139</v>
      </c>
      <c r="G5" s="8">
        <v>4000</v>
      </c>
      <c r="H5" s="8">
        <v>20000</v>
      </c>
    </row>
    <row r="6" spans="1:10" ht="25.8" x14ac:dyDescent="0.5">
      <c r="B6" s="7">
        <v>41680</v>
      </c>
      <c r="C6" s="8" t="s">
        <v>13</v>
      </c>
      <c r="D6" s="8" t="s">
        <v>27</v>
      </c>
      <c r="E6" s="8">
        <v>313</v>
      </c>
      <c r="F6" s="8">
        <v>306</v>
      </c>
      <c r="G6" s="8">
        <v>2000</v>
      </c>
      <c r="H6" s="8">
        <v>14000</v>
      </c>
    </row>
    <row r="7" spans="1:10" ht="25.8" x14ac:dyDescent="0.5">
      <c r="B7" s="7">
        <v>41682</v>
      </c>
      <c r="C7" s="8" t="s">
        <v>13</v>
      </c>
      <c r="D7" s="8" t="s">
        <v>123</v>
      </c>
      <c r="E7" s="8">
        <v>104</v>
      </c>
      <c r="F7" s="8">
        <v>101</v>
      </c>
      <c r="G7" s="8">
        <v>4000</v>
      </c>
      <c r="H7" s="8">
        <v>12000</v>
      </c>
    </row>
    <row r="8" spans="1:10" ht="25.8" x14ac:dyDescent="0.5">
      <c r="B8" s="7">
        <v>41689</v>
      </c>
      <c r="C8" s="8" t="s">
        <v>13</v>
      </c>
      <c r="D8" s="8" t="s">
        <v>27</v>
      </c>
      <c r="E8" s="8">
        <v>303</v>
      </c>
      <c r="F8" s="8">
        <v>295</v>
      </c>
      <c r="G8" s="8">
        <v>2000</v>
      </c>
      <c r="H8" s="8">
        <v>16000</v>
      </c>
    </row>
    <row r="9" spans="1:10" ht="25.8" x14ac:dyDescent="0.5">
      <c r="B9" s="7">
        <v>41694</v>
      </c>
      <c r="C9" s="8" t="s">
        <v>8</v>
      </c>
      <c r="D9" s="8" t="s">
        <v>147</v>
      </c>
      <c r="E9" s="8">
        <v>154</v>
      </c>
      <c r="F9" s="8">
        <v>157</v>
      </c>
      <c r="G9" s="8">
        <v>4000</v>
      </c>
      <c r="H9" s="8">
        <v>12000</v>
      </c>
    </row>
    <row r="10" spans="1:10" ht="25.8" x14ac:dyDescent="0.5">
      <c r="B10" s="7"/>
      <c r="C10" s="8"/>
      <c r="D10" s="8"/>
      <c r="E10" s="8"/>
      <c r="F10" s="8"/>
      <c r="G10" s="8"/>
      <c r="H10" s="9">
        <v>74000</v>
      </c>
    </row>
    <row r="11" spans="1:10" ht="25.8" x14ac:dyDescent="0.5">
      <c r="B11" s="7"/>
      <c r="C11" s="8"/>
      <c r="D11" s="8"/>
      <c r="E11" s="8"/>
      <c r="F11" s="8"/>
      <c r="G11" s="8"/>
      <c r="H11" s="16"/>
    </row>
    <row r="13" spans="1:10" ht="15" thickBot="1" x14ac:dyDescent="0.35"/>
    <row r="14" spans="1:10" ht="16.2" thickBot="1" x14ac:dyDescent="0.35">
      <c r="B14" s="158" t="s">
        <v>144</v>
      </c>
      <c r="C14" s="158"/>
      <c r="D14" s="158"/>
      <c r="E14" s="158"/>
      <c r="F14" s="158"/>
      <c r="G14" s="158"/>
      <c r="H14" s="158"/>
    </row>
    <row r="15" spans="1:10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44</v>
      </c>
      <c r="H15" s="3" t="s">
        <v>31</v>
      </c>
    </row>
    <row r="16" spans="1:10" ht="25.8" x14ac:dyDescent="0.5">
      <c r="B16" s="7">
        <v>41675</v>
      </c>
      <c r="C16" s="8" t="s">
        <v>20</v>
      </c>
      <c r="D16" s="8" t="s">
        <v>30</v>
      </c>
      <c r="E16" s="8">
        <v>6035</v>
      </c>
      <c r="F16" s="8">
        <v>6085</v>
      </c>
      <c r="G16" s="8">
        <v>50</v>
      </c>
      <c r="H16" s="8">
        <v>25000</v>
      </c>
    </row>
    <row r="17" spans="2:8" ht="25.8" x14ac:dyDescent="0.5">
      <c r="B17" s="7">
        <v>41682</v>
      </c>
      <c r="C17" s="8" t="s">
        <v>13</v>
      </c>
      <c r="D17" s="8" t="s">
        <v>30</v>
      </c>
      <c r="E17" s="8">
        <v>6100</v>
      </c>
      <c r="F17" s="8">
        <v>6020</v>
      </c>
      <c r="G17" s="8">
        <v>80</v>
      </c>
      <c r="H17" s="8">
        <v>40000</v>
      </c>
    </row>
    <row r="18" spans="2:8" ht="25.8" x14ac:dyDescent="0.5">
      <c r="B18" s="7">
        <v>41687</v>
      </c>
      <c r="C18" s="8" t="s">
        <v>8</v>
      </c>
      <c r="D18" s="8" t="s">
        <v>30</v>
      </c>
      <c r="E18" s="8">
        <v>6090</v>
      </c>
      <c r="F18" s="8">
        <v>6150</v>
      </c>
      <c r="G18" s="8">
        <v>60</v>
      </c>
      <c r="H18" s="8">
        <v>30000</v>
      </c>
    </row>
    <row r="19" spans="2:8" ht="25.8" x14ac:dyDescent="0.5">
      <c r="B19" s="7">
        <v>41694</v>
      </c>
      <c r="C19" s="8" t="s">
        <v>8</v>
      </c>
      <c r="D19" s="8" t="s">
        <v>30</v>
      </c>
      <c r="E19" s="8">
        <v>6190</v>
      </c>
      <c r="F19" s="8">
        <v>6240</v>
      </c>
      <c r="G19" s="8">
        <v>50</v>
      </c>
      <c r="H19" s="8">
        <v>25000</v>
      </c>
    </row>
    <row r="20" spans="2:8" ht="25.8" x14ac:dyDescent="0.5">
      <c r="B20" s="7"/>
      <c r="C20" s="8"/>
      <c r="D20" s="8"/>
      <c r="E20" s="8"/>
      <c r="F20" s="8"/>
      <c r="G20" s="8"/>
      <c r="H20" s="9">
        <v>120000</v>
      </c>
    </row>
    <row r="21" spans="2:8" ht="25.8" x14ac:dyDescent="0.5">
      <c r="B21" s="7"/>
      <c r="C21" s="8"/>
      <c r="D21" s="8"/>
      <c r="E21" s="8"/>
      <c r="F21" s="8"/>
      <c r="G21" s="8"/>
      <c r="H21" s="9"/>
    </row>
    <row r="23" spans="2:8" ht="15" thickBot="1" x14ac:dyDescent="0.35"/>
    <row r="24" spans="2:8" ht="16.2" thickBot="1" x14ac:dyDescent="0.35">
      <c r="B24" s="158" t="s">
        <v>145</v>
      </c>
      <c r="C24" s="158"/>
      <c r="D24" s="158"/>
      <c r="E24" s="158"/>
      <c r="F24" s="158"/>
      <c r="G24" s="158"/>
      <c r="H24" s="158"/>
    </row>
    <row r="25" spans="2:8" x14ac:dyDescent="0.3">
      <c r="B25" s="1" t="s">
        <v>1</v>
      </c>
      <c r="C25" s="2" t="s">
        <v>2</v>
      </c>
      <c r="D25" s="2" t="s">
        <v>3</v>
      </c>
      <c r="E25" s="3" t="s">
        <v>4</v>
      </c>
      <c r="F25" s="3" t="s">
        <v>5</v>
      </c>
      <c r="G25" s="3" t="s">
        <v>6</v>
      </c>
      <c r="H25" s="3" t="s">
        <v>89</v>
      </c>
    </row>
    <row r="26" spans="2:8" ht="25.8" x14ac:dyDescent="0.5">
      <c r="B26" s="7">
        <v>41674</v>
      </c>
      <c r="C26" s="8" t="s">
        <v>20</v>
      </c>
      <c r="D26" s="8" t="s">
        <v>148</v>
      </c>
      <c r="E26" s="8">
        <v>37</v>
      </c>
      <c r="F26" s="8">
        <v>50</v>
      </c>
      <c r="G26" s="8">
        <v>500</v>
      </c>
      <c r="H26" s="8">
        <v>6500</v>
      </c>
    </row>
    <row r="27" spans="2:8" ht="25.8" x14ac:dyDescent="0.5">
      <c r="B27" s="7">
        <v>41677</v>
      </c>
      <c r="C27" s="8" t="s">
        <v>8</v>
      </c>
      <c r="D27" s="8" t="s">
        <v>149</v>
      </c>
      <c r="E27" s="8">
        <v>15</v>
      </c>
      <c r="F27" s="8">
        <v>20</v>
      </c>
      <c r="G27" s="8">
        <v>1000</v>
      </c>
      <c r="H27" s="8">
        <v>5000</v>
      </c>
    </row>
    <row r="28" spans="2:8" ht="25.8" x14ac:dyDescent="0.5">
      <c r="B28" s="7">
        <v>41682</v>
      </c>
      <c r="C28" s="8" t="s">
        <v>8</v>
      </c>
      <c r="D28" s="8" t="s">
        <v>146</v>
      </c>
      <c r="E28" s="8">
        <v>2.5</v>
      </c>
      <c r="F28" s="8">
        <v>4</v>
      </c>
      <c r="G28" s="8">
        <v>4000</v>
      </c>
      <c r="H28" s="8">
        <v>6000</v>
      </c>
    </row>
    <row r="29" spans="2:8" ht="25.8" x14ac:dyDescent="0.5">
      <c r="B29" s="7">
        <v>41684</v>
      </c>
      <c r="C29" s="8" t="s">
        <v>8</v>
      </c>
      <c r="D29" s="8" t="s">
        <v>135</v>
      </c>
      <c r="E29" s="8">
        <v>40</v>
      </c>
      <c r="F29" s="8">
        <v>70</v>
      </c>
      <c r="G29" s="8">
        <v>500</v>
      </c>
      <c r="H29" s="8">
        <v>15000</v>
      </c>
    </row>
    <row r="30" spans="2:8" ht="25.8" x14ac:dyDescent="0.5">
      <c r="B30" s="7">
        <v>41691</v>
      </c>
      <c r="C30" s="8" t="s">
        <v>8</v>
      </c>
      <c r="D30" s="8" t="s">
        <v>150</v>
      </c>
      <c r="E30" s="8">
        <v>5</v>
      </c>
      <c r="F30" s="8">
        <v>12</v>
      </c>
      <c r="G30" s="8">
        <v>2000</v>
      </c>
      <c r="H30" s="17" t="s">
        <v>151</v>
      </c>
    </row>
    <row r="31" spans="2:8" ht="25.8" x14ac:dyDescent="0.5">
      <c r="B31" s="13"/>
      <c r="C31" s="8"/>
      <c r="D31" s="8"/>
      <c r="E31" s="8"/>
      <c r="F31" s="8"/>
      <c r="G31" s="8"/>
      <c r="H31" s="9">
        <v>32500</v>
      </c>
    </row>
    <row r="32" spans="2:8" ht="25.8" x14ac:dyDescent="0.5">
      <c r="B32" s="13"/>
      <c r="C32" s="8"/>
      <c r="D32" s="8"/>
      <c r="E32" s="8"/>
      <c r="F32" s="8"/>
      <c r="G32" s="8"/>
      <c r="H32" s="8"/>
    </row>
    <row r="33" spans="2:8" ht="25.8" x14ac:dyDescent="0.5">
      <c r="B33" s="13"/>
      <c r="C33" s="8"/>
      <c r="D33" s="8"/>
      <c r="E33" s="8"/>
      <c r="F33" s="8"/>
      <c r="G33" s="8"/>
      <c r="H33" s="8"/>
    </row>
    <row r="34" spans="2:8" ht="25.8" x14ac:dyDescent="0.5">
      <c r="B34" s="13"/>
      <c r="C34" s="8"/>
      <c r="D34" s="8"/>
      <c r="E34" s="8"/>
      <c r="F34" s="8"/>
      <c r="G34" s="8"/>
      <c r="H34" s="8"/>
    </row>
    <row r="35" spans="2:8" ht="25.8" x14ac:dyDescent="0.5">
      <c r="H35" s="9"/>
    </row>
  </sheetData>
  <mergeCells count="5">
    <mergeCell ref="B1:H1"/>
    <mergeCell ref="B2:H2"/>
    <mergeCell ref="B3:H3"/>
    <mergeCell ref="B14:H14"/>
    <mergeCell ref="B24:H24"/>
  </mergeCells>
  <hyperlinks>
    <hyperlink ref="J2" location="'Home Page'!A1" display="Back" xr:uid="{00000000-0004-0000-0B00-000000000000}"/>
  </hyperlinks>
  <pageMargins left="0.7" right="0.7" top="0.75" bottom="0.75" header="0.3" footer="0.3"/>
  <pageSetup orientation="portrait" horizontalDpi="300" verticalDpi="0" r:id="rId1"/>
  <ignoredErrors>
    <ignoredError sqref="H30" numberStoredAsText="1"/>
  </ignoredError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Y54"/>
  <sheetViews>
    <sheetView topLeftCell="J34" workbookViewId="0">
      <selection activeCell="I50" sqref="I50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44958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6</v>
      </c>
      <c r="Q4" s="221">
        <f>X16</f>
        <v>5</v>
      </c>
      <c r="R4" s="208">
        <f>Y16</f>
        <v>1</v>
      </c>
      <c r="S4" s="209">
        <f>P4-Q4-R4</f>
        <v>0</v>
      </c>
      <c r="T4" s="195">
        <f>Q4/P4</f>
        <v>0.83333333333333337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44959</v>
      </c>
      <c r="D6" s="35" t="s">
        <v>953</v>
      </c>
      <c r="E6" s="35" t="s">
        <v>797</v>
      </c>
      <c r="F6" s="126">
        <v>950</v>
      </c>
      <c r="G6" s="126">
        <v>965</v>
      </c>
      <c r="H6" s="34">
        <v>44959</v>
      </c>
      <c r="I6" s="36">
        <v>2000</v>
      </c>
      <c r="J6" s="129">
        <f>965-950</f>
        <v>15</v>
      </c>
      <c r="K6" s="41">
        <f>J6*I6</f>
        <v>30000</v>
      </c>
      <c r="L6" s="42" t="s">
        <v>646</v>
      </c>
      <c r="M6" s="32"/>
      <c r="O6" s="231" t="s">
        <v>599</v>
      </c>
      <c r="P6" s="199">
        <f>COUNT(C24:C33)</f>
        <v>2</v>
      </c>
      <c r="Q6" s="221">
        <f>X35</f>
        <v>2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44967</v>
      </c>
      <c r="D7" s="40" t="s">
        <v>8</v>
      </c>
      <c r="E7" s="40" t="s">
        <v>845</v>
      </c>
      <c r="F7" s="126">
        <v>1770</v>
      </c>
      <c r="G7" s="126">
        <v>1785</v>
      </c>
      <c r="H7" s="39">
        <v>44970</v>
      </c>
      <c r="I7" s="41">
        <v>800</v>
      </c>
      <c r="J7" s="130">
        <v>15</v>
      </c>
      <c r="K7" s="41">
        <f t="shared" ref="K7:K14" si="1">J7*I7</f>
        <v>12000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44970</v>
      </c>
      <c r="D8" s="40" t="s">
        <v>8</v>
      </c>
      <c r="E8" s="40" t="s">
        <v>895</v>
      </c>
      <c r="F8" s="128">
        <v>3135</v>
      </c>
      <c r="G8" s="126">
        <v>3155</v>
      </c>
      <c r="H8" s="39">
        <v>44970</v>
      </c>
      <c r="I8" s="41">
        <v>550</v>
      </c>
      <c r="J8" s="130">
        <f>3155-3135</f>
        <v>20</v>
      </c>
      <c r="K8" s="41">
        <f t="shared" si="1"/>
        <v>11000</v>
      </c>
      <c r="L8" s="42" t="s">
        <v>646</v>
      </c>
      <c r="M8" s="32"/>
      <c r="O8" s="231" t="s">
        <v>600</v>
      </c>
      <c r="P8" s="199">
        <f>COUNT(C43:C52)</f>
        <v>6</v>
      </c>
      <c r="Q8" s="200">
        <f>X53</f>
        <v>5</v>
      </c>
      <c r="R8" s="200">
        <f>Y53</f>
        <v>1</v>
      </c>
      <c r="S8" s="201">
        <v>0</v>
      </c>
      <c r="T8" s="197">
        <f t="shared" ref="T8:T10" si="5">Q8/P8</f>
        <v>0.83333333333333337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44977</v>
      </c>
      <c r="D9" s="40" t="s">
        <v>8</v>
      </c>
      <c r="E9" s="40" t="s">
        <v>699</v>
      </c>
      <c r="F9" s="126">
        <v>7400</v>
      </c>
      <c r="G9" s="126">
        <v>7487</v>
      </c>
      <c r="H9" s="39">
        <v>44978</v>
      </c>
      <c r="I9" s="41">
        <v>200</v>
      </c>
      <c r="J9" s="130">
        <f>7487-7400</f>
        <v>87</v>
      </c>
      <c r="K9" s="41">
        <f t="shared" si="1"/>
        <v>17400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44981</v>
      </c>
      <c r="D10" s="40" t="s">
        <v>8</v>
      </c>
      <c r="E10" s="40" t="s">
        <v>827</v>
      </c>
      <c r="F10" s="126">
        <v>1105</v>
      </c>
      <c r="G10" s="126">
        <v>1080</v>
      </c>
      <c r="H10" s="39">
        <v>44981</v>
      </c>
      <c r="I10" s="41">
        <v>850</v>
      </c>
      <c r="J10" s="130">
        <v>-25</v>
      </c>
      <c r="K10" s="41">
        <f t="shared" si="1"/>
        <v>-21250</v>
      </c>
      <c r="L10" s="42" t="s">
        <v>197</v>
      </c>
      <c r="M10" s="32"/>
      <c r="O10" s="171" t="s">
        <v>575</v>
      </c>
      <c r="P10" s="173">
        <f>SUM(P4:P9)</f>
        <v>14</v>
      </c>
      <c r="Q10" s="173">
        <f>SUM(Q4:Q9)</f>
        <v>12</v>
      </c>
      <c r="R10" s="173">
        <f>SUM(R4:R9)</f>
        <v>2</v>
      </c>
      <c r="S10" s="193">
        <f>SUM(S4:S9)</f>
        <v>0</v>
      </c>
      <c r="T10" s="195">
        <f t="shared" si="5"/>
        <v>0.8571428571428571</v>
      </c>
      <c r="X10" s="29">
        <f t="shared" si="2"/>
        <v>0</v>
      </c>
      <c r="Y10" s="29">
        <f t="shared" si="3"/>
        <v>1</v>
      </c>
    </row>
    <row r="11" spans="1:25" ht="15" thickBot="1" x14ac:dyDescent="0.35">
      <c r="A11" s="31"/>
      <c r="B11" s="38">
        <f t="shared" si="4"/>
        <v>6</v>
      </c>
      <c r="C11" s="39">
        <v>44984</v>
      </c>
      <c r="D11" s="40" t="s">
        <v>8</v>
      </c>
      <c r="E11" s="40" t="s">
        <v>76</v>
      </c>
      <c r="F11" s="126">
        <v>2410</v>
      </c>
      <c r="G11" s="126">
        <v>2429</v>
      </c>
      <c r="H11" s="39">
        <v>44985</v>
      </c>
      <c r="I11" s="41">
        <v>750</v>
      </c>
      <c r="J11" s="85">
        <f>2429-2410</f>
        <v>19</v>
      </c>
      <c r="K11" s="41">
        <f t="shared" si="1"/>
        <v>14250</v>
      </c>
      <c r="L11" s="42" t="s">
        <v>646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0.8571428571428571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63400</v>
      </c>
      <c r="L16" s="86"/>
      <c r="M16" s="32"/>
      <c r="X16" s="29">
        <f>SUM(X6:X15)</f>
        <v>5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44958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44964</v>
      </c>
      <c r="D24" s="40" t="s">
        <v>8</v>
      </c>
      <c r="E24" s="35" t="s">
        <v>954</v>
      </c>
      <c r="F24" s="36">
        <v>17780</v>
      </c>
      <c r="G24" s="36">
        <v>17925</v>
      </c>
      <c r="H24" s="39">
        <v>44965</v>
      </c>
      <c r="I24" s="41">
        <v>250</v>
      </c>
      <c r="J24" s="41">
        <v>145</v>
      </c>
      <c r="K24" s="41">
        <f>J24*I24</f>
        <v>36250</v>
      </c>
      <c r="L24" s="37" t="s">
        <v>651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44974</v>
      </c>
      <c r="D25" s="40" t="s">
        <v>8</v>
      </c>
      <c r="E25" s="40" t="s">
        <v>30</v>
      </c>
      <c r="F25" s="41">
        <v>17950</v>
      </c>
      <c r="G25" s="41">
        <v>17801</v>
      </c>
      <c r="H25" s="39">
        <v>44978</v>
      </c>
      <c r="I25" s="41">
        <v>250</v>
      </c>
      <c r="J25" s="41">
        <v>149</v>
      </c>
      <c r="K25" s="41">
        <f t="shared" ref="K25:K29" si="8">J25*I25</f>
        <v>37250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73500</v>
      </c>
      <c r="L35" s="86"/>
      <c r="M35" s="32"/>
      <c r="X35" s="29">
        <f>SUM(X24:X34)</f>
        <v>2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44958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44960</v>
      </c>
      <c r="D43" s="40" t="s">
        <v>8</v>
      </c>
      <c r="E43" s="40" t="s">
        <v>955</v>
      </c>
      <c r="F43" s="126">
        <v>80</v>
      </c>
      <c r="G43" s="126">
        <v>20</v>
      </c>
      <c r="H43" s="39">
        <v>44960</v>
      </c>
      <c r="I43" s="41">
        <v>100</v>
      </c>
      <c r="J43" s="126">
        <v>-60</v>
      </c>
      <c r="K43" s="41">
        <f>J43*I43</f>
        <v>-6000</v>
      </c>
      <c r="L43" s="37" t="s">
        <v>197</v>
      </c>
      <c r="M43" s="32"/>
      <c r="X43" s="29">
        <f t="shared" ref="X43:X52" si="11">IF($K43&gt;0,1,0)</f>
        <v>0</v>
      </c>
      <c r="Y43" s="29">
        <f t="shared" ref="Y43:Y52" si="12">IF($K43&lt;0,1,0)</f>
        <v>1</v>
      </c>
    </row>
    <row r="44" spans="1:25" x14ac:dyDescent="0.3">
      <c r="A44" s="31"/>
      <c r="B44" s="119">
        <v>2</v>
      </c>
      <c r="C44" s="39">
        <v>44964</v>
      </c>
      <c r="D44" s="40" t="s">
        <v>8</v>
      </c>
      <c r="E44" s="40" t="s">
        <v>956</v>
      </c>
      <c r="F44" s="126">
        <v>32</v>
      </c>
      <c r="G44" s="126">
        <v>52</v>
      </c>
      <c r="H44" s="39">
        <v>44964</v>
      </c>
      <c r="I44" s="41">
        <v>1000</v>
      </c>
      <c r="J44" s="126">
        <v>20</v>
      </c>
      <c r="K44" s="41">
        <f t="shared" ref="K44:K50" si="13">J44*I44</f>
        <v>20000</v>
      </c>
      <c r="L44" s="124" t="s">
        <v>651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44967</v>
      </c>
      <c r="D45" s="40" t="s">
        <v>8</v>
      </c>
      <c r="E45" s="40" t="s">
        <v>957</v>
      </c>
      <c r="F45" s="126">
        <v>22</v>
      </c>
      <c r="G45" s="126">
        <v>27</v>
      </c>
      <c r="H45" s="39">
        <v>44970</v>
      </c>
      <c r="I45" s="41">
        <v>800</v>
      </c>
      <c r="J45" s="126">
        <v>5</v>
      </c>
      <c r="K45" s="41">
        <f t="shared" si="13"/>
        <v>4000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44974</v>
      </c>
      <c r="D46" s="40" t="s">
        <v>8</v>
      </c>
      <c r="E46" s="40" t="s">
        <v>958</v>
      </c>
      <c r="F46" s="126">
        <v>250</v>
      </c>
      <c r="G46" s="126">
        <v>330</v>
      </c>
      <c r="H46" s="39">
        <v>44974</v>
      </c>
      <c r="I46" s="41">
        <v>50</v>
      </c>
      <c r="J46" s="126">
        <f>330-250</f>
        <v>80</v>
      </c>
      <c r="K46" s="41">
        <f t="shared" si="13"/>
        <v>4000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44981</v>
      </c>
      <c r="D47" s="40" t="s">
        <v>8</v>
      </c>
      <c r="E47" s="40" t="s">
        <v>959</v>
      </c>
      <c r="F47" s="126">
        <v>300</v>
      </c>
      <c r="G47" s="126">
        <v>413</v>
      </c>
      <c r="H47" s="39">
        <v>44984</v>
      </c>
      <c r="I47" s="41">
        <v>50</v>
      </c>
      <c r="J47" s="126">
        <f>413-300</f>
        <v>113</v>
      </c>
      <c r="K47" s="41">
        <f t="shared" si="13"/>
        <v>5650</v>
      </c>
      <c r="L47" s="42" t="s">
        <v>646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44984</v>
      </c>
      <c r="D48" s="40" t="s">
        <v>8</v>
      </c>
      <c r="E48" s="40" t="s">
        <v>960</v>
      </c>
      <c r="F48" s="126">
        <v>4.4000000000000004</v>
      </c>
      <c r="G48" s="126">
        <v>8.4</v>
      </c>
      <c r="H48" s="39">
        <v>44988</v>
      </c>
      <c r="I48" s="126">
        <v>4</v>
      </c>
      <c r="J48" s="126">
        <v>5400</v>
      </c>
      <c r="K48" s="41">
        <f t="shared" si="13"/>
        <v>21600</v>
      </c>
      <c r="L48" s="42" t="s">
        <v>961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39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49250</v>
      </c>
      <c r="L53" s="86"/>
      <c r="M53" s="32"/>
      <c r="X53" s="29">
        <f>SUM(X43:X52)</f>
        <v>5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7700-000000000000}"/>
    <hyperlink ref="O1" location="'Home Page'!A1" display="Back" xr:uid="{00000000-0004-0000-7700-000001000000}"/>
    <hyperlink ref="B53" r:id="rId2" xr:uid="{00000000-0004-0000-7700-000002000000}"/>
    <hyperlink ref="O4:O5" location="'FEB 2022'!A1" display="PREMIUM STOCK FUTURE" xr:uid="{00000000-0004-0000-7700-000003000000}"/>
    <hyperlink ref="O6:O7" location="'FEB 2022'!A1" display="PREMIUM NIFTY FUTURE" xr:uid="{00000000-0004-0000-7700-000004000000}"/>
    <hyperlink ref="O8:O9" location="'FEB 2022'!A1" display="PREMIUM OPTOIN" xr:uid="{00000000-0004-0000-7700-000005000000}"/>
  </hyperlinks>
  <pageMargins left="0" right="0" top="0" bottom="0" header="0" footer="0"/>
  <pageSetup paperSize="9" orientation="portrait" r:id="rId3"/>
  <drawing r:id="rId4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Y54"/>
  <sheetViews>
    <sheetView topLeftCell="A37" workbookViewId="0">
      <selection activeCell="K14" sqref="K14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44986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44994</v>
      </c>
      <c r="D6" s="35" t="s">
        <v>8</v>
      </c>
      <c r="E6" s="35" t="s">
        <v>962</v>
      </c>
      <c r="F6" s="126">
        <v>762</v>
      </c>
      <c r="G6" s="126">
        <v>778</v>
      </c>
      <c r="H6" s="34">
        <v>44995</v>
      </c>
      <c r="I6" s="36">
        <v>1600</v>
      </c>
      <c r="J6" s="129">
        <f>778-762</f>
        <v>16</v>
      </c>
      <c r="K6" s="41">
        <f>J6*I6</f>
        <v>25600</v>
      </c>
      <c r="L6" s="42" t="s">
        <v>646</v>
      </c>
      <c r="M6" s="32"/>
      <c r="O6" s="231" t="s">
        <v>599</v>
      </c>
      <c r="P6" s="199">
        <f>COUNT(C24:C33)</f>
        <v>3</v>
      </c>
      <c r="Q6" s="221">
        <f>X35</f>
        <v>3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44999</v>
      </c>
      <c r="D7" s="40" t="s">
        <v>13</v>
      </c>
      <c r="E7" s="40" t="s">
        <v>883</v>
      </c>
      <c r="F7" s="126">
        <v>4320</v>
      </c>
      <c r="G7" s="126">
        <v>4242</v>
      </c>
      <c r="H7" s="39">
        <v>45005</v>
      </c>
      <c r="I7" s="41">
        <v>250</v>
      </c>
      <c r="J7" s="130">
        <v>78</v>
      </c>
      <c r="K7" s="41">
        <f t="shared" ref="K7:K14" si="1">J7*I7</f>
        <v>19500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45008</v>
      </c>
      <c r="D8" s="40" t="s">
        <v>8</v>
      </c>
      <c r="E8" s="40" t="s">
        <v>682</v>
      </c>
      <c r="F8" s="128">
        <v>1890</v>
      </c>
      <c r="G8" s="126">
        <v>1921</v>
      </c>
      <c r="H8" s="39">
        <v>45008</v>
      </c>
      <c r="I8" s="41">
        <v>600</v>
      </c>
      <c r="J8" s="130">
        <f>1921-1890</f>
        <v>31</v>
      </c>
      <c r="K8" s="41">
        <f t="shared" si="1"/>
        <v>18600</v>
      </c>
      <c r="L8" s="42" t="s">
        <v>646</v>
      </c>
      <c r="M8" s="32"/>
      <c r="O8" s="231" t="s">
        <v>600</v>
      </c>
      <c r="P8" s="199">
        <f>COUNT(C43:C52)</f>
        <v>8</v>
      </c>
      <c r="Q8" s="200">
        <f>X53</f>
        <v>7</v>
      </c>
      <c r="R8" s="200">
        <f>Y53</f>
        <v>1</v>
      </c>
      <c r="S8" s="201">
        <v>0</v>
      </c>
      <c r="T8" s="197">
        <f t="shared" ref="T8:T10" si="5">Q8/P8</f>
        <v>0.875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45012</v>
      </c>
      <c r="D9" s="40" t="s">
        <v>13</v>
      </c>
      <c r="E9" s="40" t="s">
        <v>449</v>
      </c>
      <c r="F9" s="126">
        <v>835</v>
      </c>
      <c r="G9" s="126">
        <v>831</v>
      </c>
      <c r="H9" s="39">
        <v>45014</v>
      </c>
      <c r="I9" s="41">
        <v>2400</v>
      </c>
      <c r="J9" s="130">
        <v>4</v>
      </c>
      <c r="K9" s="41">
        <f t="shared" si="1"/>
        <v>9600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15</v>
      </c>
      <c r="Q10" s="173">
        <f>SUM(Q4:Q9)</f>
        <v>14</v>
      </c>
      <c r="R10" s="173">
        <f>SUM(R4:R9)</f>
        <v>1</v>
      </c>
      <c r="S10" s="193">
        <f>SUM(S4:S9)</f>
        <v>0</v>
      </c>
      <c r="T10" s="195">
        <f t="shared" si="5"/>
        <v>0.93333333333333335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85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0.93333333333333335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73300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44986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44994</v>
      </c>
      <c r="D24" s="40" t="s">
        <v>13</v>
      </c>
      <c r="E24" s="35" t="s">
        <v>30</v>
      </c>
      <c r="F24" s="36">
        <v>17770</v>
      </c>
      <c r="G24" s="36">
        <v>17450</v>
      </c>
      <c r="H24" s="39">
        <v>44995</v>
      </c>
      <c r="I24" s="41">
        <v>250</v>
      </c>
      <c r="J24" s="41">
        <f>17770-17450</f>
        <v>320</v>
      </c>
      <c r="K24" s="41">
        <f>J24*I24</f>
        <v>80000</v>
      </c>
      <c r="L24" s="37" t="s">
        <v>651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44998</v>
      </c>
      <c r="D25" s="40" t="s">
        <v>13</v>
      </c>
      <c r="E25" s="40" t="s">
        <v>619</v>
      </c>
      <c r="F25" s="41">
        <v>39700</v>
      </c>
      <c r="G25" s="41">
        <v>39400</v>
      </c>
      <c r="H25" s="39">
        <v>44999</v>
      </c>
      <c r="I25" s="41">
        <v>125</v>
      </c>
      <c r="J25" s="41">
        <v>300</v>
      </c>
      <c r="K25" s="41">
        <f t="shared" ref="K25:K29" si="8">J25*I25</f>
        <v>37500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45002</v>
      </c>
      <c r="D26" s="40" t="s">
        <v>13</v>
      </c>
      <c r="E26" s="40" t="s">
        <v>30</v>
      </c>
      <c r="F26" s="41">
        <v>17080</v>
      </c>
      <c r="G26" s="41">
        <v>16936</v>
      </c>
      <c r="H26" s="39">
        <v>45003</v>
      </c>
      <c r="I26" s="41">
        <v>250</v>
      </c>
      <c r="J26" s="85">
        <f>17080-16936</f>
        <v>144</v>
      </c>
      <c r="K26" s="41">
        <f t="shared" si="8"/>
        <v>36000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153500</v>
      </c>
      <c r="L35" s="86"/>
      <c r="M35" s="32"/>
      <c r="X35" s="29">
        <f>SUM(X24:X34)</f>
        <v>3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44986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44986</v>
      </c>
      <c r="D43" s="40" t="s">
        <v>8</v>
      </c>
      <c r="E43" s="40" t="s">
        <v>963</v>
      </c>
      <c r="F43" s="126">
        <v>70</v>
      </c>
      <c r="G43" s="126">
        <v>100</v>
      </c>
      <c r="H43" s="39">
        <v>44987</v>
      </c>
      <c r="I43" s="41">
        <v>600</v>
      </c>
      <c r="J43" s="126">
        <v>30</v>
      </c>
      <c r="K43" s="41">
        <f>J43*I43</f>
        <v>18000</v>
      </c>
      <c r="L43" s="37" t="s">
        <v>651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44994</v>
      </c>
      <c r="D44" s="40" t="s">
        <v>8</v>
      </c>
      <c r="E44" s="40" t="s">
        <v>964</v>
      </c>
      <c r="F44" s="126">
        <v>22</v>
      </c>
      <c r="G44" s="126">
        <v>32</v>
      </c>
      <c r="H44" s="39">
        <v>44995</v>
      </c>
      <c r="I44" s="41">
        <v>1500</v>
      </c>
      <c r="J44" s="126">
        <v>10</v>
      </c>
      <c r="K44" s="41">
        <f t="shared" ref="K44:K50" si="13">J44*I44</f>
        <v>15000</v>
      </c>
      <c r="L44" s="124" t="s">
        <v>642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44999</v>
      </c>
      <c r="D45" s="40" t="s">
        <v>8</v>
      </c>
      <c r="E45" s="40" t="s">
        <v>965</v>
      </c>
      <c r="F45" s="126">
        <v>90</v>
      </c>
      <c r="G45" s="126">
        <v>147</v>
      </c>
      <c r="H45" s="39">
        <v>44999</v>
      </c>
      <c r="I45" s="41">
        <v>100</v>
      </c>
      <c r="J45" s="126">
        <f>147-90</f>
        <v>57</v>
      </c>
      <c r="K45" s="41">
        <f t="shared" si="13"/>
        <v>5700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45000</v>
      </c>
      <c r="D46" s="40" t="s">
        <v>8</v>
      </c>
      <c r="E46" s="40" t="s">
        <v>966</v>
      </c>
      <c r="F46" s="126">
        <v>230</v>
      </c>
      <c r="G46" s="126">
        <v>350</v>
      </c>
      <c r="H46" s="39">
        <v>45000</v>
      </c>
      <c r="I46" s="41">
        <v>50</v>
      </c>
      <c r="J46" s="126">
        <f>350-230</f>
        <v>120</v>
      </c>
      <c r="K46" s="41">
        <f t="shared" si="13"/>
        <v>6000</v>
      </c>
      <c r="L46" s="42" t="s">
        <v>642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45002</v>
      </c>
      <c r="D47" s="40" t="s">
        <v>8</v>
      </c>
      <c r="E47" s="40" t="s">
        <v>967</v>
      </c>
      <c r="F47" s="126">
        <v>90</v>
      </c>
      <c r="G47" s="126">
        <v>150</v>
      </c>
      <c r="H47" s="39">
        <v>45005</v>
      </c>
      <c r="I47" s="41">
        <v>100</v>
      </c>
      <c r="J47" s="126">
        <f>150-90</f>
        <v>60</v>
      </c>
      <c r="K47" s="41">
        <f t="shared" si="13"/>
        <v>6000</v>
      </c>
      <c r="L47" s="42" t="s">
        <v>642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45002</v>
      </c>
      <c r="D48" s="40" t="s">
        <v>8</v>
      </c>
      <c r="E48" s="40" t="s">
        <v>911</v>
      </c>
      <c r="F48" s="126">
        <v>150</v>
      </c>
      <c r="G48" s="126">
        <v>235</v>
      </c>
      <c r="H48" s="39">
        <v>45005</v>
      </c>
      <c r="I48" s="126">
        <v>50</v>
      </c>
      <c r="J48" s="126">
        <f>235-150</f>
        <v>85</v>
      </c>
      <c r="K48" s="41">
        <f t="shared" si="13"/>
        <v>4250</v>
      </c>
      <c r="L48" s="42" t="s">
        <v>646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45008</v>
      </c>
      <c r="D49" s="40" t="s">
        <v>8</v>
      </c>
      <c r="E49" s="40" t="s">
        <v>968</v>
      </c>
      <c r="F49" s="126">
        <v>60</v>
      </c>
      <c r="G49" s="126">
        <v>20</v>
      </c>
      <c r="H49" s="39">
        <v>45009</v>
      </c>
      <c r="I49" s="41">
        <v>200</v>
      </c>
      <c r="J49" s="130">
        <v>-40</v>
      </c>
      <c r="K49" s="41">
        <f t="shared" si="13"/>
        <v>-8000</v>
      </c>
      <c r="L49" s="42" t="s">
        <v>197</v>
      </c>
      <c r="M49" s="32"/>
      <c r="X49" s="29">
        <f t="shared" si="11"/>
        <v>0</v>
      </c>
      <c r="Y49" s="29">
        <f t="shared" si="12"/>
        <v>1</v>
      </c>
    </row>
    <row r="50" spans="1:25" x14ac:dyDescent="0.3">
      <c r="A50" s="31"/>
      <c r="B50" s="38">
        <f t="shared" si="14"/>
        <v>8</v>
      </c>
      <c r="C50" s="39">
        <v>45012</v>
      </c>
      <c r="D50" s="40" t="s">
        <v>8</v>
      </c>
      <c r="E50" s="40" t="s">
        <v>969</v>
      </c>
      <c r="F50" s="126">
        <v>100</v>
      </c>
      <c r="G50" s="126">
        <v>140</v>
      </c>
      <c r="H50" s="39">
        <v>45013</v>
      </c>
      <c r="I50" s="41">
        <v>50</v>
      </c>
      <c r="J50" s="130">
        <v>40</v>
      </c>
      <c r="K50" s="41">
        <f t="shared" si="13"/>
        <v>2000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48950</v>
      </c>
      <c r="L53" s="86"/>
      <c r="M53" s="32"/>
      <c r="X53" s="29">
        <f>SUM(X43:X52)</f>
        <v>7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7800-000000000000}"/>
    <hyperlink ref="O1" location="'Home Page'!A1" display="Back" xr:uid="{00000000-0004-0000-7800-000001000000}"/>
    <hyperlink ref="B53" r:id="rId2" xr:uid="{00000000-0004-0000-7800-000002000000}"/>
    <hyperlink ref="O4:O5" location="'FEB 2022'!A1" display="PREMIUM STOCK FUTURE" xr:uid="{00000000-0004-0000-7800-000003000000}"/>
    <hyperlink ref="O6:O7" location="'FEB 2022'!A1" display="PREMIUM NIFTY FUTURE" xr:uid="{00000000-0004-0000-7800-000004000000}"/>
    <hyperlink ref="O8:O9" location="'FEB 2022'!A1" display="PREMIUM OPTOIN" xr:uid="{00000000-0004-0000-7800-000005000000}"/>
  </hyperlinks>
  <pageMargins left="0" right="0" top="0" bottom="0" header="0" footer="0"/>
  <pageSetup paperSize="9" orientation="portrait" r:id="rId3"/>
  <drawing r:id="rId4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Y54"/>
  <sheetViews>
    <sheetView topLeftCell="A37" workbookViewId="0">
      <selection activeCell="D11" sqref="D1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45017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2</v>
      </c>
      <c r="Q4" s="221">
        <f>X16</f>
        <v>2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45027</v>
      </c>
      <c r="D6" s="35" t="s">
        <v>8</v>
      </c>
      <c r="E6" s="35" t="s">
        <v>970</v>
      </c>
      <c r="F6" s="126">
        <v>197</v>
      </c>
      <c r="G6" s="126">
        <v>199.5</v>
      </c>
      <c r="H6" s="34">
        <v>45028</v>
      </c>
      <c r="I6" s="36">
        <v>6750</v>
      </c>
      <c r="J6" s="129">
        <v>2.5</v>
      </c>
      <c r="K6" s="41">
        <f>J6*I6</f>
        <v>16875</v>
      </c>
      <c r="L6" s="42" t="s">
        <v>646</v>
      </c>
      <c r="M6" s="32"/>
      <c r="O6" s="231" t="s">
        <v>599</v>
      </c>
      <c r="P6" s="199">
        <f>COUNT(C24:C33)</f>
        <v>3</v>
      </c>
      <c r="Q6" s="221">
        <f>X35</f>
        <v>2</v>
      </c>
      <c r="R6" s="200">
        <f>Y35</f>
        <v>0</v>
      </c>
      <c r="S6" s="201">
        <v>0</v>
      </c>
      <c r="T6" s="197">
        <f t="shared" ref="T6" si="0">Q6/P6</f>
        <v>0.66666666666666663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45028</v>
      </c>
      <c r="D7" s="40" t="s">
        <v>8</v>
      </c>
      <c r="E7" s="40" t="s">
        <v>748</v>
      </c>
      <c r="F7" s="126">
        <v>1180</v>
      </c>
      <c r="G7" s="126">
        <v>1174</v>
      </c>
      <c r="H7" s="39">
        <v>45028</v>
      </c>
      <c r="I7" s="41">
        <v>1000</v>
      </c>
      <c r="J7" s="130">
        <f>1180-1174</f>
        <v>6</v>
      </c>
      <c r="K7" s="41">
        <f t="shared" ref="K7:K14" si="1">J7*I7</f>
        <v>6000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231" t="s">
        <v>600</v>
      </c>
      <c r="P8" s="199">
        <f>COUNT(C43:C52)</f>
        <v>3</v>
      </c>
      <c r="Q8" s="200">
        <f>X53</f>
        <v>3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7</v>
      </c>
      <c r="R10" s="173">
        <f>SUM(R4:R9)</f>
        <v>0</v>
      </c>
      <c r="S10" s="193">
        <f>SUM(S4:S9)</f>
        <v>0</v>
      </c>
      <c r="T10" s="195">
        <f t="shared" si="5"/>
        <v>0.875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85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0.875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22875</v>
      </c>
      <c r="L16" s="86"/>
      <c r="M16" s="32"/>
      <c r="X16" s="29">
        <f>SUM(X6:X15)</f>
        <v>2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45017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45028</v>
      </c>
      <c r="D24" s="40" t="s">
        <v>8</v>
      </c>
      <c r="E24" s="35" t="s">
        <v>30</v>
      </c>
      <c r="F24" s="36">
        <v>17830</v>
      </c>
      <c r="G24" s="36">
        <v>17870</v>
      </c>
      <c r="H24" s="39">
        <v>45029</v>
      </c>
      <c r="I24" s="41">
        <v>250</v>
      </c>
      <c r="J24" s="41">
        <v>40</v>
      </c>
      <c r="K24" s="41">
        <f>J24*I24</f>
        <v>10000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45034</v>
      </c>
      <c r="D25" s="40" t="s">
        <v>8</v>
      </c>
      <c r="E25" s="40" t="s">
        <v>619</v>
      </c>
      <c r="F25" s="41">
        <v>42350</v>
      </c>
      <c r="G25" s="41">
        <v>42594</v>
      </c>
      <c r="H25" s="39">
        <v>45040</v>
      </c>
      <c r="I25" s="41">
        <v>125</v>
      </c>
      <c r="J25" s="41">
        <f>42594-42350</f>
        <v>244</v>
      </c>
      <c r="K25" s="41">
        <f t="shared" ref="K25:K29" si="8">J25*I25</f>
        <v>30500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45044</v>
      </c>
      <c r="D26" s="40" t="s">
        <v>13</v>
      </c>
      <c r="E26" s="40" t="s">
        <v>619</v>
      </c>
      <c r="F26" s="41">
        <v>43000</v>
      </c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40500</v>
      </c>
      <c r="L35" s="86"/>
      <c r="M35" s="32"/>
      <c r="X35" s="29">
        <f>SUM(X24:X34)</f>
        <v>2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45017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45019</v>
      </c>
      <c r="D43" s="40" t="s">
        <v>8</v>
      </c>
      <c r="E43" s="40" t="s">
        <v>971</v>
      </c>
      <c r="F43" s="126">
        <v>130</v>
      </c>
      <c r="G43" s="126">
        <v>175</v>
      </c>
      <c r="H43" s="39">
        <v>45021</v>
      </c>
      <c r="I43" s="41">
        <v>250</v>
      </c>
      <c r="J43" s="126">
        <f>175-130</f>
        <v>45</v>
      </c>
      <c r="K43" s="41">
        <f>J43*I43</f>
        <v>11250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45028</v>
      </c>
      <c r="D44" s="40" t="s">
        <v>8</v>
      </c>
      <c r="E44" s="40" t="s">
        <v>972</v>
      </c>
      <c r="F44" s="126">
        <v>6</v>
      </c>
      <c r="G44" s="126">
        <v>7.5</v>
      </c>
      <c r="H44" s="39">
        <v>45029</v>
      </c>
      <c r="I44" s="41">
        <v>5400</v>
      </c>
      <c r="J44" s="126">
        <v>1.5</v>
      </c>
      <c r="K44" s="41">
        <f t="shared" ref="K44:K50" si="13">J44*I44</f>
        <v>8100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45033</v>
      </c>
      <c r="D45" s="40" t="s">
        <v>8</v>
      </c>
      <c r="E45" s="40" t="s">
        <v>973</v>
      </c>
      <c r="F45" s="126">
        <v>60</v>
      </c>
      <c r="G45" s="126">
        <v>84</v>
      </c>
      <c r="H45" s="39">
        <v>45033</v>
      </c>
      <c r="I45" s="41">
        <v>500</v>
      </c>
      <c r="J45" s="126">
        <v>24</v>
      </c>
      <c r="K45" s="41">
        <f t="shared" si="13"/>
        <v>12000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/>
      <c r="D46" s="40"/>
      <c r="E46" s="40"/>
      <c r="F46" s="126"/>
      <c r="G46" s="126"/>
      <c r="H46" s="39"/>
      <c r="I46" s="41"/>
      <c r="J46" s="126"/>
      <c r="K46" s="41">
        <f t="shared" si="13"/>
        <v>0</v>
      </c>
      <c r="L46" s="42"/>
      <c r="M46" s="32"/>
      <c r="X46" s="29">
        <f t="shared" si="11"/>
        <v>0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/>
      <c r="D47" s="40"/>
      <c r="E47" s="40"/>
      <c r="F47" s="126"/>
      <c r="G47" s="126"/>
      <c r="H47" s="39"/>
      <c r="I47" s="41"/>
      <c r="J47" s="126"/>
      <c r="K47" s="41">
        <f t="shared" si="13"/>
        <v>0</v>
      </c>
      <c r="L47" s="42"/>
      <c r="M47" s="32"/>
      <c r="X47" s="29">
        <f t="shared" si="11"/>
        <v>0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/>
      <c r="D48" s="40"/>
      <c r="E48" s="40"/>
      <c r="F48" s="126"/>
      <c r="G48" s="126"/>
      <c r="H48" s="39"/>
      <c r="I48" s="126"/>
      <c r="J48" s="126"/>
      <c r="K48" s="41">
        <f t="shared" si="13"/>
        <v>0</v>
      </c>
      <c r="L48" s="42"/>
      <c r="M48" s="32"/>
      <c r="X48" s="29">
        <f t="shared" si="11"/>
        <v>0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39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31350</v>
      </c>
      <c r="L53" s="86"/>
      <c r="M53" s="32"/>
      <c r="X53" s="29">
        <f>SUM(X43:X52)</f>
        <v>3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7900-000000000000}"/>
    <hyperlink ref="O1" location="'Home Page'!A1" display="Back" xr:uid="{00000000-0004-0000-7900-000001000000}"/>
    <hyperlink ref="B53" r:id="rId2" xr:uid="{00000000-0004-0000-7900-000002000000}"/>
    <hyperlink ref="O4:O5" location="'FEB 2022'!A1" display="PREMIUM STOCK FUTURE" xr:uid="{00000000-0004-0000-7900-000003000000}"/>
    <hyperlink ref="O6:O7" location="'FEB 2022'!A1" display="PREMIUM NIFTY FUTURE" xr:uid="{00000000-0004-0000-7900-000004000000}"/>
    <hyperlink ref="O8:O9" location="'FEB 2022'!A1" display="PREMIUM OPTOIN" xr:uid="{00000000-0004-0000-7900-000005000000}"/>
  </hyperlinks>
  <pageMargins left="0" right="0" top="0" bottom="0" header="0" footer="0"/>
  <pageSetup paperSize="9" orientation="portrait" r:id="rId3"/>
  <drawing r:id="rId4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Y54"/>
  <sheetViews>
    <sheetView topLeftCell="F1" workbookViewId="0">
      <selection activeCell="R6" sqref="R6:R7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45047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7</v>
      </c>
      <c r="Q4" s="221">
        <f>X16</f>
        <v>6</v>
      </c>
      <c r="R4" s="208">
        <f>Y16</f>
        <v>1</v>
      </c>
      <c r="S4" s="209">
        <f>P4-Q4-R4</f>
        <v>0</v>
      </c>
      <c r="T4" s="195">
        <f>Q4/P4</f>
        <v>0.8571428571428571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45048</v>
      </c>
      <c r="D6" s="35" t="s">
        <v>8</v>
      </c>
      <c r="E6" s="35" t="s">
        <v>974</v>
      </c>
      <c r="F6" s="126">
        <v>1495</v>
      </c>
      <c r="G6" s="126">
        <v>1508</v>
      </c>
      <c r="H6" s="34">
        <v>45049</v>
      </c>
      <c r="I6" s="36">
        <v>550</v>
      </c>
      <c r="J6" s="129">
        <f>1508-1495</f>
        <v>13</v>
      </c>
      <c r="K6" s="41">
        <f>J6*I6</f>
        <v>7150</v>
      </c>
      <c r="L6" s="42" t="s">
        <v>646</v>
      </c>
      <c r="M6" s="32"/>
      <c r="O6" s="231" t="s">
        <v>599</v>
      </c>
      <c r="P6" s="199">
        <f>COUNT(C24:C33)</f>
        <v>5</v>
      </c>
      <c r="Q6" s="221">
        <f>X35</f>
        <v>4</v>
      </c>
      <c r="R6" s="200">
        <f>Y35</f>
        <v>1</v>
      </c>
      <c r="S6" s="201">
        <v>0</v>
      </c>
      <c r="T6" s="197">
        <f t="shared" ref="T6" si="0">Q6/P6</f>
        <v>0.8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45052</v>
      </c>
      <c r="D7" s="40" t="s">
        <v>13</v>
      </c>
      <c r="E7" s="40" t="s">
        <v>332</v>
      </c>
      <c r="F7" s="126">
        <v>2400</v>
      </c>
      <c r="G7" s="126">
        <v>2370</v>
      </c>
      <c r="H7" s="39">
        <v>45054</v>
      </c>
      <c r="I7" s="41">
        <v>600</v>
      </c>
      <c r="J7" s="130">
        <f>2400-2370</f>
        <v>30</v>
      </c>
      <c r="K7" s="41">
        <f t="shared" ref="K7:K14" si="1">J7*I7</f>
        <v>18000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45056</v>
      </c>
      <c r="D8" s="40" t="s">
        <v>8</v>
      </c>
      <c r="E8" s="40" t="s">
        <v>877</v>
      </c>
      <c r="F8" s="128">
        <v>2930</v>
      </c>
      <c r="G8" s="126">
        <v>3020</v>
      </c>
      <c r="H8" s="39">
        <v>45056</v>
      </c>
      <c r="I8" s="41">
        <v>600</v>
      </c>
      <c r="J8" s="130">
        <f>3020-2930</f>
        <v>90</v>
      </c>
      <c r="K8" s="41">
        <f t="shared" si="1"/>
        <v>54000</v>
      </c>
      <c r="L8" s="42" t="s">
        <v>651</v>
      </c>
      <c r="M8" s="32"/>
      <c r="O8" s="231" t="s">
        <v>600</v>
      </c>
      <c r="P8" s="199">
        <f>COUNT(C43:C52)</f>
        <v>8</v>
      </c>
      <c r="Q8" s="200">
        <f>X53</f>
        <v>8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45068</v>
      </c>
      <c r="D9" s="40" t="s">
        <v>8</v>
      </c>
      <c r="E9" s="40" t="s">
        <v>14</v>
      </c>
      <c r="F9" s="126">
        <v>478</v>
      </c>
      <c r="G9" s="126">
        <v>468</v>
      </c>
      <c r="H9" s="39">
        <v>45069</v>
      </c>
      <c r="I9" s="41">
        <v>3300</v>
      </c>
      <c r="J9" s="130">
        <v>-10</v>
      </c>
      <c r="K9" s="41">
        <f t="shared" si="1"/>
        <v>-33000</v>
      </c>
      <c r="L9" s="42" t="s">
        <v>197</v>
      </c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1</v>
      </c>
    </row>
    <row r="10" spans="1:25" x14ac:dyDescent="0.3">
      <c r="A10" s="31"/>
      <c r="B10" s="38">
        <f t="shared" si="4"/>
        <v>5</v>
      </c>
      <c r="C10" s="39">
        <v>45068</v>
      </c>
      <c r="D10" s="40" t="s">
        <v>8</v>
      </c>
      <c r="E10" s="40" t="s">
        <v>975</v>
      </c>
      <c r="F10" s="126">
        <v>1125</v>
      </c>
      <c r="G10" s="126">
        <v>1142</v>
      </c>
      <c r="H10" s="39">
        <v>45069</v>
      </c>
      <c r="I10" s="41">
        <v>1100</v>
      </c>
      <c r="J10" s="130">
        <f>1142-1125</f>
        <v>17</v>
      </c>
      <c r="K10" s="41">
        <f t="shared" si="1"/>
        <v>18700</v>
      </c>
      <c r="L10" s="42" t="s">
        <v>646</v>
      </c>
      <c r="M10" s="32"/>
      <c r="O10" s="171" t="s">
        <v>575</v>
      </c>
      <c r="P10" s="173">
        <f>SUM(P4:P9)</f>
        <v>20</v>
      </c>
      <c r="Q10" s="173">
        <f>SUM(Q4:Q9)</f>
        <v>18</v>
      </c>
      <c r="R10" s="173">
        <f>SUM(R4:R9)</f>
        <v>2</v>
      </c>
      <c r="S10" s="193">
        <f>SUM(S4:S9)</f>
        <v>0</v>
      </c>
      <c r="T10" s="195">
        <f t="shared" si="5"/>
        <v>0.9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45072</v>
      </c>
      <c r="D11" s="40" t="s">
        <v>8</v>
      </c>
      <c r="E11" s="40" t="s">
        <v>976</v>
      </c>
      <c r="F11" s="126">
        <v>1195</v>
      </c>
      <c r="G11" s="126">
        <v>1235</v>
      </c>
      <c r="H11" s="39">
        <v>45075</v>
      </c>
      <c r="I11" s="41">
        <v>1500</v>
      </c>
      <c r="J11" s="85">
        <f>1235-1195</f>
        <v>40</v>
      </c>
      <c r="K11" s="41">
        <f t="shared" si="1"/>
        <v>60000</v>
      </c>
      <c r="L11" s="42" t="s">
        <v>647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45076</v>
      </c>
      <c r="D12" s="40" t="s">
        <v>8</v>
      </c>
      <c r="E12" s="40" t="s">
        <v>877</v>
      </c>
      <c r="F12" s="126">
        <v>3100</v>
      </c>
      <c r="G12" s="126">
        <v>3140</v>
      </c>
      <c r="H12" s="39">
        <v>45077</v>
      </c>
      <c r="I12" s="41">
        <v>600</v>
      </c>
      <c r="J12" s="85">
        <f>3140-3100</f>
        <v>40</v>
      </c>
      <c r="K12" s="41">
        <f t="shared" si="1"/>
        <v>24000</v>
      </c>
      <c r="L12" s="42" t="s">
        <v>642</v>
      </c>
      <c r="M12" s="32"/>
      <c r="O12" s="175" t="s">
        <v>576</v>
      </c>
      <c r="P12" s="176"/>
      <c r="Q12" s="177"/>
      <c r="R12" s="184">
        <f>T10</f>
        <v>0.9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148850</v>
      </c>
      <c r="L16" s="86"/>
      <c r="M16" s="32"/>
      <c r="X16" s="29">
        <f>SUM(X6:X15)</f>
        <v>6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45047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45049</v>
      </c>
      <c r="D24" s="40" t="s">
        <v>8</v>
      </c>
      <c r="E24" s="35" t="s">
        <v>30</v>
      </c>
      <c r="F24" s="36">
        <v>18130</v>
      </c>
      <c r="G24" s="36">
        <v>18270</v>
      </c>
      <c r="H24" s="39">
        <v>45050</v>
      </c>
      <c r="I24" s="41">
        <v>250</v>
      </c>
      <c r="J24" s="41">
        <f>18270-18130</f>
        <v>140</v>
      </c>
      <c r="K24" s="41">
        <f>J24*I24</f>
        <v>35000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45051</v>
      </c>
      <c r="D25" s="40" t="s">
        <v>13</v>
      </c>
      <c r="E25" s="40" t="s">
        <v>30</v>
      </c>
      <c r="F25" s="41">
        <v>18140</v>
      </c>
      <c r="G25" s="41">
        <v>18250</v>
      </c>
      <c r="H25" s="39">
        <v>45051</v>
      </c>
      <c r="I25" s="41">
        <v>-110</v>
      </c>
      <c r="J25" s="41">
        <f>18270-18140</f>
        <v>130</v>
      </c>
      <c r="K25" s="41">
        <f t="shared" ref="K25:K29" si="8">J25*I25</f>
        <v>-14300</v>
      </c>
      <c r="L25" s="42" t="s">
        <v>197</v>
      </c>
      <c r="M25" s="32"/>
      <c r="X25" s="29">
        <f t="shared" si="6"/>
        <v>0</v>
      </c>
      <c r="Y25" s="29">
        <f t="shared" si="7"/>
        <v>1</v>
      </c>
    </row>
    <row r="26" spans="1:25" x14ac:dyDescent="0.3">
      <c r="A26" s="31"/>
      <c r="B26" s="38">
        <f t="shared" ref="B26:B34" si="9">B25+1</f>
        <v>3</v>
      </c>
      <c r="C26" s="39">
        <v>45055</v>
      </c>
      <c r="D26" s="40" t="s">
        <v>8</v>
      </c>
      <c r="E26" s="40" t="s">
        <v>30</v>
      </c>
      <c r="F26" s="41">
        <v>18280</v>
      </c>
      <c r="G26" s="41">
        <v>18347</v>
      </c>
      <c r="H26" s="39">
        <v>45056</v>
      </c>
      <c r="I26" s="41">
        <v>250</v>
      </c>
      <c r="J26" s="85">
        <f>18347-18280</f>
        <v>67</v>
      </c>
      <c r="K26" s="41">
        <f t="shared" si="8"/>
        <v>16750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45068</v>
      </c>
      <c r="D27" s="40" t="s">
        <v>13</v>
      </c>
      <c r="E27" s="40" t="s">
        <v>619</v>
      </c>
      <c r="F27" s="41">
        <v>43950</v>
      </c>
      <c r="G27" s="41">
        <v>43700</v>
      </c>
      <c r="H27" s="39">
        <v>45069</v>
      </c>
      <c r="I27" s="41">
        <v>125</v>
      </c>
      <c r="J27" s="85">
        <v>250</v>
      </c>
      <c r="K27" s="41">
        <f t="shared" si="8"/>
        <v>31250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45069</v>
      </c>
      <c r="D28" s="40" t="s">
        <v>8</v>
      </c>
      <c r="E28" s="40" t="s">
        <v>619</v>
      </c>
      <c r="F28" s="41">
        <v>44000</v>
      </c>
      <c r="G28" s="41">
        <v>44100</v>
      </c>
      <c r="H28" s="39">
        <v>45070</v>
      </c>
      <c r="I28" s="41">
        <v>125</v>
      </c>
      <c r="J28" s="85">
        <v>100</v>
      </c>
      <c r="K28" s="41">
        <f t="shared" si="8"/>
        <v>12500</v>
      </c>
      <c r="L28" s="42" t="s">
        <v>646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81200</v>
      </c>
      <c r="L35" s="86"/>
      <c r="M35" s="32"/>
      <c r="X35" s="29">
        <f>SUM(X24:X34)</f>
        <v>4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45047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45049</v>
      </c>
      <c r="D43" s="40" t="s">
        <v>8</v>
      </c>
      <c r="E43" s="40" t="s">
        <v>977</v>
      </c>
      <c r="F43" s="126">
        <v>4.5</v>
      </c>
      <c r="G43" s="126">
        <v>6.5</v>
      </c>
      <c r="H43" s="39">
        <v>45050</v>
      </c>
      <c r="I43" s="41">
        <v>12000</v>
      </c>
      <c r="J43" s="126">
        <v>2</v>
      </c>
      <c r="K43" s="41">
        <f>J43*I43</f>
        <v>24000</v>
      </c>
      <c r="L43" s="37" t="s">
        <v>642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45052</v>
      </c>
      <c r="D44" s="40" t="s">
        <v>8</v>
      </c>
      <c r="E44" s="40" t="s">
        <v>978</v>
      </c>
      <c r="F44" s="126">
        <v>200</v>
      </c>
      <c r="G44" s="126">
        <v>395</v>
      </c>
      <c r="H44" s="39">
        <v>45052</v>
      </c>
      <c r="I44" s="41">
        <v>125</v>
      </c>
      <c r="J44" s="126">
        <f>395-200</f>
        <v>195</v>
      </c>
      <c r="K44" s="41">
        <f t="shared" ref="K44:K50" si="13">J44*I44</f>
        <v>24375</v>
      </c>
      <c r="L44" s="124" t="s">
        <v>979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45054</v>
      </c>
      <c r="D45" s="40" t="s">
        <v>8</v>
      </c>
      <c r="E45" s="40" t="s">
        <v>980</v>
      </c>
      <c r="F45" s="126">
        <v>300</v>
      </c>
      <c r="G45" s="126">
        <v>399</v>
      </c>
      <c r="H45" s="39">
        <v>45054</v>
      </c>
      <c r="I45" s="41">
        <v>125</v>
      </c>
      <c r="J45" s="126">
        <v>99</v>
      </c>
      <c r="K45" s="41">
        <f t="shared" si="13"/>
        <v>12375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45068</v>
      </c>
      <c r="D46" s="40" t="s">
        <v>8</v>
      </c>
      <c r="E46" s="40" t="s">
        <v>981</v>
      </c>
      <c r="F46" s="126">
        <v>20</v>
      </c>
      <c r="G46" s="126">
        <v>40</v>
      </c>
      <c r="H46" s="39">
        <v>45068</v>
      </c>
      <c r="I46" s="41">
        <v>350</v>
      </c>
      <c r="J46" s="126">
        <v>20</v>
      </c>
      <c r="K46" s="41">
        <f t="shared" si="13"/>
        <v>7000</v>
      </c>
      <c r="L46" s="42" t="s">
        <v>651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45068</v>
      </c>
      <c r="D47" s="40" t="s">
        <v>8</v>
      </c>
      <c r="E47" s="40" t="s">
        <v>982</v>
      </c>
      <c r="F47" s="126">
        <v>200</v>
      </c>
      <c r="G47" s="126">
        <v>350</v>
      </c>
      <c r="H47" s="39">
        <v>45069</v>
      </c>
      <c r="I47" s="41">
        <v>125</v>
      </c>
      <c r="J47" s="126">
        <v>150</v>
      </c>
      <c r="K47" s="41">
        <f t="shared" si="13"/>
        <v>18750</v>
      </c>
      <c r="L47" s="42" t="s">
        <v>642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45070</v>
      </c>
      <c r="D48" s="40" t="s">
        <v>8</v>
      </c>
      <c r="E48" s="40" t="s">
        <v>984</v>
      </c>
      <c r="F48" s="126">
        <v>80</v>
      </c>
      <c r="G48" s="126">
        <v>200</v>
      </c>
      <c r="H48" s="39">
        <v>45071</v>
      </c>
      <c r="I48" s="126">
        <v>125</v>
      </c>
      <c r="J48" s="126">
        <f>200-80</f>
        <v>120</v>
      </c>
      <c r="K48" s="41">
        <f t="shared" si="13"/>
        <v>15000</v>
      </c>
      <c r="L48" s="42" t="s">
        <v>647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45075</v>
      </c>
      <c r="D49" s="40" t="s">
        <v>8</v>
      </c>
      <c r="E49" s="40" t="s">
        <v>983</v>
      </c>
      <c r="F49" s="126">
        <v>100</v>
      </c>
      <c r="G49" s="126">
        <v>140</v>
      </c>
      <c r="H49" s="39">
        <v>45076</v>
      </c>
      <c r="I49" s="41">
        <v>600</v>
      </c>
      <c r="J49" s="130">
        <v>40</v>
      </c>
      <c r="K49" s="41">
        <f t="shared" si="13"/>
        <v>24000</v>
      </c>
      <c r="L49" s="42" t="s">
        <v>651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45077</v>
      </c>
      <c r="D50" s="40" t="s">
        <v>8</v>
      </c>
      <c r="E50" s="40" t="s">
        <v>985</v>
      </c>
      <c r="F50" s="126">
        <v>260</v>
      </c>
      <c r="G50" s="126">
        <v>400</v>
      </c>
      <c r="H50" s="39">
        <v>45077</v>
      </c>
      <c r="I50" s="41">
        <v>125</v>
      </c>
      <c r="J50" s="130">
        <f>400-260</f>
        <v>140</v>
      </c>
      <c r="K50" s="41">
        <f t="shared" si="13"/>
        <v>17500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143000</v>
      </c>
      <c r="L53" s="86"/>
      <c r="M53" s="32"/>
      <c r="X53" s="29">
        <f>SUM(X43:X52)</f>
        <v>8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7A00-000000000000}"/>
    <hyperlink ref="O1" location="'Home Page'!A1" display="Back" xr:uid="{00000000-0004-0000-7A00-000001000000}"/>
    <hyperlink ref="B53" r:id="rId2" xr:uid="{00000000-0004-0000-7A00-000002000000}"/>
    <hyperlink ref="O4:O5" location="'FEB 2022'!A1" display="PREMIUM STOCK FUTURE" xr:uid="{00000000-0004-0000-7A00-000003000000}"/>
    <hyperlink ref="O6:O7" location="'FEB 2022'!A1" display="PREMIUM NIFTY FUTURE" xr:uid="{00000000-0004-0000-7A00-000004000000}"/>
    <hyperlink ref="O8:O9" location="'FEB 2022'!A1" display="PREMIUM OPTOIN" xr:uid="{00000000-0004-0000-7A00-000005000000}"/>
  </hyperlinks>
  <pageMargins left="0" right="0" top="0" bottom="0" header="0" footer="0"/>
  <pageSetup paperSize="9" orientation="portrait" r:id="rId3"/>
  <drawing r:id="rId4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Y54"/>
  <sheetViews>
    <sheetView topLeftCell="A37" workbookViewId="0">
      <selection activeCell="O53" sqref="O53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45078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45079</v>
      </c>
      <c r="D6" s="35" t="s">
        <v>8</v>
      </c>
      <c r="E6" s="35" t="s">
        <v>883</v>
      </c>
      <c r="F6" s="126">
        <v>4990</v>
      </c>
      <c r="G6" s="126">
        <v>5028</v>
      </c>
      <c r="H6" s="34">
        <v>45082</v>
      </c>
      <c r="I6" s="36">
        <v>250</v>
      </c>
      <c r="J6" s="129">
        <f>5028-4990</f>
        <v>38</v>
      </c>
      <c r="K6" s="41">
        <f>J6*I6</f>
        <v>9500</v>
      </c>
      <c r="L6" s="42" t="s">
        <v>646</v>
      </c>
      <c r="M6" s="32"/>
      <c r="O6" s="231" t="s">
        <v>599</v>
      </c>
      <c r="P6" s="199">
        <f>COUNT(C24:C33)</f>
        <v>3</v>
      </c>
      <c r="Q6" s="221">
        <f>X35</f>
        <v>3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45083</v>
      </c>
      <c r="D7" s="40" t="s">
        <v>8</v>
      </c>
      <c r="E7" s="40" t="s">
        <v>986</v>
      </c>
      <c r="F7" s="126">
        <v>8090</v>
      </c>
      <c r="G7" s="126">
        <v>8195</v>
      </c>
      <c r="H7" s="39">
        <v>45084</v>
      </c>
      <c r="I7" s="41">
        <v>200</v>
      </c>
      <c r="J7" s="130">
        <f>8195-8090</f>
        <v>105</v>
      </c>
      <c r="K7" s="41">
        <f t="shared" ref="K7:K14" si="1">J7*I7</f>
        <v>21000</v>
      </c>
      <c r="L7" s="42" t="s">
        <v>651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45089</v>
      </c>
      <c r="D8" s="40" t="s">
        <v>8</v>
      </c>
      <c r="E8" s="40" t="s">
        <v>823</v>
      </c>
      <c r="F8" s="128">
        <v>368</v>
      </c>
      <c r="G8" s="126">
        <v>378</v>
      </c>
      <c r="H8" s="39">
        <v>45090</v>
      </c>
      <c r="I8" s="41">
        <v>3600</v>
      </c>
      <c r="J8" s="130">
        <v>10</v>
      </c>
      <c r="K8" s="41">
        <f t="shared" si="1"/>
        <v>36000</v>
      </c>
      <c r="L8" s="42" t="s">
        <v>642</v>
      </c>
      <c r="M8" s="32"/>
      <c r="O8" s="231" t="s">
        <v>600</v>
      </c>
      <c r="P8" s="199">
        <f>COUNT(C43:C52)</f>
        <v>8</v>
      </c>
      <c r="Q8" s="200">
        <f>X53</f>
        <v>8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45092</v>
      </c>
      <c r="D9" s="40" t="s">
        <v>8</v>
      </c>
      <c r="E9" s="40" t="s">
        <v>894</v>
      </c>
      <c r="F9" s="126">
        <v>2150</v>
      </c>
      <c r="G9" s="126">
        <v>2250</v>
      </c>
      <c r="H9" s="39">
        <v>45098</v>
      </c>
      <c r="I9" s="41">
        <v>600</v>
      </c>
      <c r="J9" s="130">
        <f>2250-2150</f>
        <v>100</v>
      </c>
      <c r="K9" s="41">
        <f t="shared" si="1"/>
        <v>60000</v>
      </c>
      <c r="L9" s="42" t="s">
        <v>647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15</v>
      </c>
      <c r="Q10" s="173">
        <f>SUM(Q4:Q9)</f>
        <v>15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85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126500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45078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45083</v>
      </c>
      <c r="D24" s="40" t="s">
        <v>13</v>
      </c>
      <c r="E24" s="35" t="s">
        <v>30</v>
      </c>
      <c r="F24" s="36">
        <v>18640</v>
      </c>
      <c r="G24" s="36">
        <v>18740</v>
      </c>
      <c r="H24" s="39">
        <v>45084</v>
      </c>
      <c r="I24" s="41">
        <v>250</v>
      </c>
      <c r="J24" s="41">
        <v>100</v>
      </c>
      <c r="K24" s="41">
        <f>J24*I24</f>
        <v>25000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45090</v>
      </c>
      <c r="D25" s="40" t="s">
        <v>8</v>
      </c>
      <c r="E25" s="40" t="s">
        <v>30</v>
      </c>
      <c r="F25" s="41">
        <v>18750</v>
      </c>
      <c r="G25" s="41">
        <v>18825</v>
      </c>
      <c r="H25" s="39">
        <v>45091</v>
      </c>
      <c r="I25" s="41">
        <v>250</v>
      </c>
      <c r="J25" s="41">
        <f>18825-18750</f>
        <v>75</v>
      </c>
      <c r="K25" s="41">
        <f t="shared" ref="K25:K29" si="8">J25*I25</f>
        <v>18750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45091</v>
      </c>
      <c r="D26" s="40" t="s">
        <v>8</v>
      </c>
      <c r="E26" s="40" t="s">
        <v>619</v>
      </c>
      <c r="F26" s="41">
        <v>44100</v>
      </c>
      <c r="G26" s="41">
        <v>44250</v>
      </c>
      <c r="H26" s="39">
        <v>45092</v>
      </c>
      <c r="I26" s="41">
        <v>125</v>
      </c>
      <c r="J26" s="85">
        <v>150</v>
      </c>
      <c r="K26" s="41">
        <f t="shared" si="8"/>
        <v>18750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62500</v>
      </c>
      <c r="L35" s="86"/>
      <c r="M35" s="32"/>
      <c r="X35" s="29">
        <f>SUM(X24:X34)</f>
        <v>3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45078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45078</v>
      </c>
      <c r="D43" s="40" t="s">
        <v>8</v>
      </c>
      <c r="E43" s="40" t="s">
        <v>987</v>
      </c>
      <c r="F43" s="126">
        <v>6.5</v>
      </c>
      <c r="G43" s="126">
        <v>9.3000000000000007</v>
      </c>
      <c r="H43" s="39">
        <v>44990</v>
      </c>
      <c r="I43" s="41">
        <v>10000</v>
      </c>
      <c r="J43" s="126">
        <f>9.3-6.5</f>
        <v>2.8000000000000007</v>
      </c>
      <c r="K43" s="41">
        <f>J43*I43</f>
        <v>28000.000000000007</v>
      </c>
      <c r="L43" s="37" t="s">
        <v>651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45084</v>
      </c>
      <c r="D44" s="40" t="s">
        <v>8</v>
      </c>
      <c r="E44" s="40" t="s">
        <v>988</v>
      </c>
      <c r="F44" s="126">
        <v>35</v>
      </c>
      <c r="G44" s="126">
        <v>39.5</v>
      </c>
      <c r="H44" s="39">
        <v>45084</v>
      </c>
      <c r="I44" s="41">
        <v>750</v>
      </c>
      <c r="J44" s="126">
        <f>39.5-35</f>
        <v>4.5</v>
      </c>
      <c r="K44" s="41">
        <f t="shared" ref="K44:K50" si="13">J44*I44</f>
        <v>3375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45085</v>
      </c>
      <c r="D45" s="40" t="s">
        <v>8</v>
      </c>
      <c r="E45" s="40" t="s">
        <v>989</v>
      </c>
      <c r="F45" s="126">
        <v>100</v>
      </c>
      <c r="G45" s="126">
        <v>160</v>
      </c>
      <c r="H45" s="39">
        <v>45085</v>
      </c>
      <c r="I45" s="41">
        <v>600</v>
      </c>
      <c r="J45" s="126">
        <v>60</v>
      </c>
      <c r="K45" s="41">
        <f t="shared" si="13"/>
        <v>36000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45089</v>
      </c>
      <c r="D46" s="40" t="s">
        <v>8</v>
      </c>
      <c r="E46" s="40" t="s">
        <v>990</v>
      </c>
      <c r="F46" s="126">
        <v>145</v>
      </c>
      <c r="G46" s="126">
        <v>157</v>
      </c>
      <c r="H46" s="39">
        <v>45089</v>
      </c>
      <c r="I46" s="41">
        <v>600</v>
      </c>
      <c r="J46" s="126">
        <f>157-145</f>
        <v>12</v>
      </c>
      <c r="K46" s="41">
        <f t="shared" si="13"/>
        <v>7200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45090</v>
      </c>
      <c r="D47" s="40" t="s">
        <v>8</v>
      </c>
      <c r="E47" s="40" t="s">
        <v>991</v>
      </c>
      <c r="F47" s="126">
        <v>50</v>
      </c>
      <c r="G47" s="126">
        <v>100</v>
      </c>
      <c r="H47" s="39">
        <v>45096</v>
      </c>
      <c r="I47" s="41">
        <v>750</v>
      </c>
      <c r="J47" s="126">
        <v>50</v>
      </c>
      <c r="K47" s="41">
        <f t="shared" si="13"/>
        <v>37500</v>
      </c>
      <c r="L47" s="42" t="s">
        <v>647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45091</v>
      </c>
      <c r="D48" s="40" t="s">
        <v>8</v>
      </c>
      <c r="E48" s="40" t="s">
        <v>992</v>
      </c>
      <c r="F48" s="126">
        <v>90</v>
      </c>
      <c r="G48" s="126">
        <v>150</v>
      </c>
      <c r="H48" s="39">
        <v>45093</v>
      </c>
      <c r="I48" s="126">
        <v>250</v>
      </c>
      <c r="J48" s="126">
        <f>150-90</f>
        <v>60</v>
      </c>
      <c r="K48" s="41">
        <f t="shared" si="13"/>
        <v>15000</v>
      </c>
      <c r="L48" s="42" t="s">
        <v>642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45092</v>
      </c>
      <c r="D49" s="40" t="s">
        <v>8</v>
      </c>
      <c r="E49" s="40" t="s">
        <v>993</v>
      </c>
      <c r="F49" s="126">
        <v>40</v>
      </c>
      <c r="G49" s="126">
        <v>53</v>
      </c>
      <c r="H49" s="39">
        <v>45093</v>
      </c>
      <c r="I49" s="41">
        <v>814</v>
      </c>
      <c r="J49" s="130">
        <v>13</v>
      </c>
      <c r="K49" s="41">
        <f t="shared" si="13"/>
        <v>10582</v>
      </c>
      <c r="L49" s="42" t="s">
        <v>646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45098</v>
      </c>
      <c r="D50" s="40" t="s">
        <v>8</v>
      </c>
      <c r="E50" s="40" t="s">
        <v>994</v>
      </c>
      <c r="F50" s="126">
        <v>22</v>
      </c>
      <c r="G50" s="126">
        <v>39</v>
      </c>
      <c r="H50" s="39">
        <v>45099</v>
      </c>
      <c r="I50" s="41">
        <v>1100</v>
      </c>
      <c r="J50" s="130">
        <f>39-22</f>
        <v>17</v>
      </c>
      <c r="K50" s="41">
        <f t="shared" si="13"/>
        <v>18700</v>
      </c>
      <c r="L50" s="42" t="s">
        <v>651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156357</v>
      </c>
      <c r="L53" s="86"/>
      <c r="M53" s="32"/>
      <c r="X53" s="29">
        <f>SUM(X43:X52)</f>
        <v>8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7B00-000000000000}"/>
    <hyperlink ref="O1" location="'Home Page'!A1" display="Back" xr:uid="{00000000-0004-0000-7B00-000001000000}"/>
    <hyperlink ref="B53" r:id="rId2" xr:uid="{00000000-0004-0000-7B00-000002000000}"/>
    <hyperlink ref="O4:O5" location="'FEB 2022'!A1" display="PREMIUM STOCK FUTURE" xr:uid="{00000000-0004-0000-7B00-000003000000}"/>
    <hyperlink ref="O6:O7" location="'FEB 2022'!A1" display="PREMIUM NIFTY FUTURE" xr:uid="{00000000-0004-0000-7B00-000004000000}"/>
    <hyperlink ref="O8:O9" location="'FEB 2022'!A1" display="PREMIUM OPTOIN" xr:uid="{00000000-0004-0000-7B00-000005000000}"/>
  </hyperlinks>
  <pageMargins left="0" right="0" top="0" bottom="0" header="0" footer="0"/>
  <pageSetup paperSize="9" orientation="portrait" r:id="rId3"/>
  <drawing r:id="rId4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Y54"/>
  <sheetViews>
    <sheetView topLeftCell="A13" workbookViewId="0">
      <selection activeCell="P40" sqref="P40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45108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3</v>
      </c>
      <c r="R4" s="208">
        <f>Y16</f>
        <v>1</v>
      </c>
      <c r="S4" s="209">
        <f>P4-Q4-R4</f>
        <v>0</v>
      </c>
      <c r="T4" s="195">
        <f>Q4/P4</f>
        <v>0.75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45112</v>
      </c>
      <c r="D6" s="35" t="s">
        <v>8</v>
      </c>
      <c r="E6" s="35" t="s">
        <v>995</v>
      </c>
      <c r="F6" s="126">
        <v>193</v>
      </c>
      <c r="G6" s="126">
        <v>198</v>
      </c>
      <c r="H6" s="34">
        <v>45112</v>
      </c>
      <c r="I6" s="36">
        <v>10000</v>
      </c>
      <c r="J6" s="129">
        <v>5</v>
      </c>
      <c r="K6" s="41">
        <f>J6*I6</f>
        <v>50000</v>
      </c>
      <c r="L6" s="42" t="s">
        <v>642</v>
      </c>
      <c r="M6" s="32"/>
      <c r="O6" s="231" t="s">
        <v>599</v>
      </c>
      <c r="P6" s="199">
        <f>COUNT(C24:C33)</f>
        <v>3</v>
      </c>
      <c r="Q6" s="221">
        <f>X35</f>
        <v>3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45120</v>
      </c>
      <c r="D7" s="40" t="s">
        <v>8</v>
      </c>
      <c r="E7" s="40" t="s">
        <v>883</v>
      </c>
      <c r="F7" s="126">
        <v>5230</v>
      </c>
      <c r="G7" s="126">
        <v>5170</v>
      </c>
      <c r="H7" s="39">
        <v>45120</v>
      </c>
      <c r="I7" s="41">
        <v>250</v>
      </c>
      <c r="J7" s="130">
        <v>-60</v>
      </c>
      <c r="K7" s="41">
        <f t="shared" ref="K7:K14" si="1">J7*I7</f>
        <v>-15000</v>
      </c>
      <c r="L7" s="42" t="s">
        <v>197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>
        <v>45121</v>
      </c>
      <c r="D8" s="40" t="s">
        <v>8</v>
      </c>
      <c r="E8" s="40" t="s">
        <v>996</v>
      </c>
      <c r="F8" s="128">
        <v>4920</v>
      </c>
      <c r="G8" s="126">
        <v>5005</v>
      </c>
      <c r="H8" s="39">
        <v>45124</v>
      </c>
      <c r="I8" s="41">
        <v>300</v>
      </c>
      <c r="J8" s="130">
        <f>5005-4920</f>
        <v>85</v>
      </c>
      <c r="K8" s="41">
        <f t="shared" si="1"/>
        <v>25500</v>
      </c>
      <c r="L8" s="42" t="s">
        <v>651</v>
      </c>
      <c r="M8" s="32"/>
      <c r="O8" s="231" t="s">
        <v>600</v>
      </c>
      <c r="P8" s="199">
        <f>COUNT(C43:C52)</f>
        <v>9</v>
      </c>
      <c r="Q8" s="200">
        <f>X53</f>
        <v>8</v>
      </c>
      <c r="R8" s="200">
        <f>Y53</f>
        <v>1</v>
      </c>
      <c r="S8" s="201">
        <v>0</v>
      </c>
      <c r="T8" s="197">
        <f t="shared" ref="T8:T10" si="5">Q8/P8</f>
        <v>0.88888888888888884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45125</v>
      </c>
      <c r="D9" s="40" t="s">
        <v>8</v>
      </c>
      <c r="E9" s="40" t="s">
        <v>826</v>
      </c>
      <c r="F9" s="126">
        <v>3980</v>
      </c>
      <c r="G9" s="126">
        <v>4070</v>
      </c>
      <c r="H9" s="39">
        <v>45125</v>
      </c>
      <c r="I9" s="41">
        <v>600</v>
      </c>
      <c r="J9" s="130">
        <f>4070-3980</f>
        <v>90</v>
      </c>
      <c r="K9" s="41">
        <f t="shared" si="1"/>
        <v>54000</v>
      </c>
      <c r="L9" s="42" t="s">
        <v>651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16</v>
      </c>
      <c r="Q10" s="173">
        <f>SUM(Q4:Q9)</f>
        <v>14</v>
      </c>
      <c r="R10" s="173">
        <f>SUM(R4:R9)</f>
        <v>2</v>
      </c>
      <c r="S10" s="193">
        <f>SUM(S4:S9)</f>
        <v>0</v>
      </c>
      <c r="T10" s="195">
        <f t="shared" si="5"/>
        <v>0.875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85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0.875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114500</v>
      </c>
      <c r="L16" s="86"/>
      <c r="M16" s="32"/>
      <c r="X16" s="29">
        <f>SUM(X6:X15)</f>
        <v>3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45108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45110</v>
      </c>
      <c r="D24" s="40" t="s">
        <v>8</v>
      </c>
      <c r="E24" s="35" t="s">
        <v>30</v>
      </c>
      <c r="F24" s="36">
        <v>19370</v>
      </c>
      <c r="G24" s="36">
        <v>19540</v>
      </c>
      <c r="H24" s="39">
        <v>45114</v>
      </c>
      <c r="I24" s="41">
        <f>19540-19370</f>
        <v>170</v>
      </c>
      <c r="J24" s="41">
        <v>250</v>
      </c>
      <c r="K24" s="41">
        <f>J24*I24</f>
        <v>42500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45114</v>
      </c>
      <c r="D25" s="40" t="s">
        <v>13</v>
      </c>
      <c r="E25" s="40" t="s">
        <v>30</v>
      </c>
      <c r="F25" s="41">
        <v>19440</v>
      </c>
      <c r="G25" s="41">
        <v>19380</v>
      </c>
      <c r="H25" s="39">
        <v>45114</v>
      </c>
      <c r="I25" s="41">
        <v>60</v>
      </c>
      <c r="J25" s="41">
        <v>250</v>
      </c>
      <c r="K25" s="41">
        <f t="shared" ref="K25:K29" si="8">J25*I25</f>
        <v>15000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45128</v>
      </c>
      <c r="D26" s="40" t="s">
        <v>8</v>
      </c>
      <c r="E26" s="40" t="s">
        <v>30</v>
      </c>
      <c r="F26" s="41">
        <v>19820</v>
      </c>
      <c r="G26" s="41">
        <v>19860</v>
      </c>
      <c r="H26" s="39">
        <v>45128</v>
      </c>
      <c r="I26" s="41">
        <v>40</v>
      </c>
      <c r="J26" s="85">
        <v>250</v>
      </c>
      <c r="K26" s="41">
        <f t="shared" si="8"/>
        <v>10000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67500</v>
      </c>
      <c r="L35" s="86"/>
      <c r="M35" s="32"/>
      <c r="X35" s="29">
        <f>SUM(X24:X34)</f>
        <v>3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45108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45112</v>
      </c>
      <c r="D43" s="40" t="s">
        <v>8</v>
      </c>
      <c r="E43" s="40" t="s">
        <v>997</v>
      </c>
      <c r="F43" s="126">
        <v>8</v>
      </c>
      <c r="G43" s="126">
        <v>5</v>
      </c>
      <c r="H43" s="39">
        <v>45113</v>
      </c>
      <c r="I43" s="41">
        <v>10000</v>
      </c>
      <c r="J43" s="126">
        <v>-3</v>
      </c>
      <c r="K43" s="41">
        <f>J43*I43</f>
        <v>-30000</v>
      </c>
      <c r="L43" s="37" t="s">
        <v>197</v>
      </c>
      <c r="M43" s="32"/>
      <c r="X43" s="29">
        <f t="shared" ref="X43:X52" si="11">IF($K43&gt;0,1,0)</f>
        <v>0</v>
      </c>
      <c r="Y43" s="29">
        <f t="shared" ref="Y43:Y52" si="12">IF($K43&lt;0,1,0)</f>
        <v>1</v>
      </c>
    </row>
    <row r="44" spans="1:25" x14ac:dyDescent="0.3">
      <c r="A44" s="31"/>
      <c r="B44" s="119">
        <v>2</v>
      </c>
      <c r="C44" s="39">
        <v>45114</v>
      </c>
      <c r="D44" s="40" t="s">
        <v>8</v>
      </c>
      <c r="E44" s="40" t="s">
        <v>998</v>
      </c>
      <c r="F44" s="126">
        <v>110</v>
      </c>
      <c r="G44" s="126">
        <v>160</v>
      </c>
      <c r="H44" s="39">
        <v>45114</v>
      </c>
      <c r="I44" s="41">
        <v>250</v>
      </c>
      <c r="J44" s="126">
        <v>40</v>
      </c>
      <c r="K44" s="41">
        <f t="shared" ref="K44:K50" si="13">J44*I44</f>
        <v>10000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45118</v>
      </c>
      <c r="D45" s="40" t="s">
        <v>8</v>
      </c>
      <c r="E45" s="40" t="s">
        <v>999</v>
      </c>
      <c r="F45" s="126">
        <v>35</v>
      </c>
      <c r="G45" s="126">
        <v>40</v>
      </c>
      <c r="H45" s="39">
        <v>45119</v>
      </c>
      <c r="I45" s="41">
        <v>600</v>
      </c>
      <c r="J45" s="126">
        <v>5</v>
      </c>
      <c r="K45" s="41">
        <f t="shared" si="13"/>
        <v>3000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45119</v>
      </c>
      <c r="D46" s="40" t="s">
        <v>8</v>
      </c>
      <c r="E46" s="40" t="s">
        <v>1000</v>
      </c>
      <c r="F46" s="126">
        <v>100</v>
      </c>
      <c r="G46" s="126">
        <v>160</v>
      </c>
      <c r="H46" s="39">
        <v>45119</v>
      </c>
      <c r="I46" s="41">
        <v>250</v>
      </c>
      <c r="J46" s="126">
        <v>60</v>
      </c>
      <c r="K46" s="41">
        <f t="shared" si="13"/>
        <v>15000</v>
      </c>
      <c r="L46" s="42" t="s">
        <v>642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45121</v>
      </c>
      <c r="D47" s="40" t="s">
        <v>8</v>
      </c>
      <c r="E47" s="40" t="s">
        <v>1001</v>
      </c>
      <c r="F47" s="126">
        <v>45</v>
      </c>
      <c r="G47" s="126">
        <v>100</v>
      </c>
      <c r="H47" s="39">
        <v>45111</v>
      </c>
      <c r="I47" s="41">
        <v>350</v>
      </c>
      <c r="J47" s="126">
        <f>100-45</f>
        <v>55</v>
      </c>
      <c r="K47" s="41">
        <f t="shared" si="13"/>
        <v>19250</v>
      </c>
      <c r="L47" s="42" t="s">
        <v>647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45124</v>
      </c>
      <c r="D48" s="40" t="s">
        <v>8</v>
      </c>
      <c r="E48" s="40" t="s">
        <v>1002</v>
      </c>
      <c r="F48" s="126">
        <v>120</v>
      </c>
      <c r="G48" s="126">
        <v>240</v>
      </c>
      <c r="H48" s="39">
        <v>45125</v>
      </c>
      <c r="I48" s="126">
        <v>250</v>
      </c>
      <c r="J48" s="126">
        <f>240-120</f>
        <v>120</v>
      </c>
      <c r="K48" s="41">
        <f t="shared" si="13"/>
        <v>30000</v>
      </c>
      <c r="L48" s="42" t="s">
        <v>647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45128</v>
      </c>
      <c r="D49" s="40" t="s">
        <v>8</v>
      </c>
      <c r="E49" s="40" t="s">
        <v>1003</v>
      </c>
      <c r="F49" s="126">
        <v>28</v>
      </c>
      <c r="G49" s="126">
        <v>36</v>
      </c>
      <c r="H49" s="39">
        <v>45128</v>
      </c>
      <c r="I49" s="41">
        <v>1200</v>
      </c>
      <c r="J49" s="130">
        <f>36-28</f>
        <v>8</v>
      </c>
      <c r="K49" s="41">
        <f t="shared" si="13"/>
        <v>9600</v>
      </c>
      <c r="L49" s="42" t="s">
        <v>642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45132</v>
      </c>
      <c r="D50" s="40" t="s">
        <v>8</v>
      </c>
      <c r="E50" s="40" t="s">
        <v>1004</v>
      </c>
      <c r="F50" s="126">
        <v>140</v>
      </c>
      <c r="G50" s="126">
        <v>290</v>
      </c>
      <c r="H50" s="39">
        <v>45134</v>
      </c>
      <c r="I50" s="41">
        <v>75</v>
      </c>
      <c r="J50" s="130">
        <f>290-140</f>
        <v>150</v>
      </c>
      <c r="K50" s="41">
        <f t="shared" si="13"/>
        <v>11250</v>
      </c>
      <c r="L50" s="42" t="s">
        <v>651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>
        <v>45133</v>
      </c>
      <c r="D51" s="40" t="s">
        <v>8</v>
      </c>
      <c r="E51" s="40" t="s">
        <v>1005</v>
      </c>
      <c r="F51" s="126">
        <v>110</v>
      </c>
      <c r="G51" s="126">
        <v>200</v>
      </c>
      <c r="H51" s="39">
        <v>45138</v>
      </c>
      <c r="I51" s="41">
        <v>550</v>
      </c>
      <c r="J51" s="130">
        <f>200-110</f>
        <v>90</v>
      </c>
      <c r="K51" s="85">
        <f t="shared" ref="K51:K52" si="15">I51*J51</f>
        <v>49500</v>
      </c>
      <c r="L51" s="42" t="s">
        <v>647</v>
      </c>
      <c r="M51" s="32"/>
      <c r="X51" s="29">
        <f t="shared" si="11"/>
        <v>1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117600</v>
      </c>
      <c r="L53" s="86"/>
      <c r="M53" s="32"/>
      <c r="X53" s="29">
        <f>SUM(X43:X52)</f>
        <v>8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7C00-000000000000}"/>
    <hyperlink ref="O1" location="'Home Page'!A1" display="Back" xr:uid="{00000000-0004-0000-7C00-000001000000}"/>
    <hyperlink ref="B53" r:id="rId2" xr:uid="{00000000-0004-0000-7C00-000002000000}"/>
    <hyperlink ref="O4:O5" location="'FEB 2022'!A1" display="PREMIUM STOCK FUTURE" xr:uid="{00000000-0004-0000-7C00-000003000000}"/>
    <hyperlink ref="O6:O7" location="'FEB 2022'!A1" display="PREMIUM NIFTY FUTURE" xr:uid="{00000000-0004-0000-7C00-000004000000}"/>
    <hyperlink ref="O8:O9" location="'FEB 2022'!A1" display="PREMIUM OPTOIN" xr:uid="{00000000-0004-0000-7C00-000005000000}"/>
  </hyperlinks>
  <pageMargins left="0" right="0" top="0" bottom="0" header="0" footer="0"/>
  <pageSetup paperSize="9" orientation="portrait" r:id="rId3"/>
  <drawing r:id="rId4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Y54"/>
  <sheetViews>
    <sheetView topLeftCell="A43" workbookViewId="0">
      <selection activeCell="J27" sqref="J27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45139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7</v>
      </c>
      <c r="Q4" s="221">
        <f>X16</f>
        <v>7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45140</v>
      </c>
      <c r="D6" s="35" t="s">
        <v>8</v>
      </c>
      <c r="E6" s="35" t="s">
        <v>189</v>
      </c>
      <c r="F6" s="126">
        <v>1730</v>
      </c>
      <c r="G6" s="126">
        <v>1747</v>
      </c>
      <c r="H6" s="34">
        <v>45140</v>
      </c>
      <c r="I6" s="36">
        <v>1000</v>
      </c>
      <c r="J6" s="129">
        <f>1747-1730</f>
        <v>17</v>
      </c>
      <c r="K6" s="41">
        <f>J6*I6</f>
        <v>17000</v>
      </c>
      <c r="L6" s="42" t="s">
        <v>646</v>
      </c>
      <c r="M6" s="32"/>
      <c r="O6" s="231" t="s">
        <v>599</v>
      </c>
      <c r="P6" s="199">
        <f>COUNT(C24:C33)</f>
        <v>4</v>
      </c>
      <c r="Q6" s="221">
        <v>3</v>
      </c>
      <c r="R6" s="200">
        <v>1</v>
      </c>
      <c r="S6" s="201">
        <v>0</v>
      </c>
      <c r="T6" s="197">
        <f t="shared" ref="T6" si="0">Q6/P6</f>
        <v>0.75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45148</v>
      </c>
      <c r="D7" s="40" t="s">
        <v>8</v>
      </c>
      <c r="E7" s="40" t="s">
        <v>877</v>
      </c>
      <c r="F7" s="126">
        <v>3825</v>
      </c>
      <c r="G7" s="126">
        <v>3864</v>
      </c>
      <c r="H7" s="39">
        <v>45148</v>
      </c>
      <c r="I7" s="41">
        <v>600</v>
      </c>
      <c r="J7" s="130">
        <f>3864-3825</f>
        <v>39</v>
      </c>
      <c r="K7" s="41">
        <f t="shared" ref="K7:K14" si="1">J7*I7</f>
        <v>23400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45154</v>
      </c>
      <c r="D8" s="40" t="s">
        <v>8</v>
      </c>
      <c r="E8" s="40" t="s">
        <v>106</v>
      </c>
      <c r="F8" s="128">
        <v>610</v>
      </c>
      <c r="G8" s="126">
        <v>623</v>
      </c>
      <c r="H8" s="39">
        <v>45154</v>
      </c>
      <c r="I8" s="41">
        <v>2850</v>
      </c>
      <c r="J8" s="130">
        <f>623-610</f>
        <v>13</v>
      </c>
      <c r="K8" s="41">
        <f t="shared" si="1"/>
        <v>37050</v>
      </c>
      <c r="L8" s="42" t="s">
        <v>646</v>
      </c>
      <c r="M8" s="32"/>
      <c r="O8" s="231" t="s">
        <v>600</v>
      </c>
      <c r="P8" s="199">
        <f>COUNT(C43:C52)</f>
        <v>7</v>
      </c>
      <c r="Q8" s="200">
        <f>X53</f>
        <v>7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45156</v>
      </c>
      <c r="D9" s="40" t="s">
        <v>8</v>
      </c>
      <c r="E9" s="40" t="s">
        <v>67</v>
      </c>
      <c r="F9" s="126">
        <v>2550</v>
      </c>
      <c r="G9" s="126">
        <v>2562</v>
      </c>
      <c r="H9" s="39">
        <v>45156</v>
      </c>
      <c r="I9" s="41">
        <v>500</v>
      </c>
      <c r="J9" s="130">
        <f>2562-2550</f>
        <v>12</v>
      </c>
      <c r="K9" s="41">
        <f t="shared" si="1"/>
        <v>6000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45159</v>
      </c>
      <c r="D10" s="40" t="s">
        <v>8</v>
      </c>
      <c r="E10" s="40" t="s">
        <v>883</v>
      </c>
      <c r="F10" s="126">
        <v>4920</v>
      </c>
      <c r="G10" s="126">
        <v>4980</v>
      </c>
      <c r="H10" s="39">
        <v>45160</v>
      </c>
      <c r="I10" s="41">
        <v>250</v>
      </c>
      <c r="J10" s="130">
        <v>60</v>
      </c>
      <c r="K10" s="41">
        <f t="shared" si="1"/>
        <v>15000</v>
      </c>
      <c r="L10" s="42" t="s">
        <v>642</v>
      </c>
      <c r="M10" s="32"/>
      <c r="O10" s="171" t="s">
        <v>575</v>
      </c>
      <c r="P10" s="173">
        <f>SUM(P4:P9)</f>
        <v>18</v>
      </c>
      <c r="Q10" s="173">
        <f>SUM(Q4:Q9)</f>
        <v>17</v>
      </c>
      <c r="R10" s="173">
        <f>SUM(R4:R9)</f>
        <v>1</v>
      </c>
      <c r="S10" s="193">
        <f>SUM(S4:S9)</f>
        <v>0</v>
      </c>
      <c r="T10" s="195">
        <f t="shared" si="5"/>
        <v>0.94444444444444442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45161</v>
      </c>
      <c r="D11" s="40" t="s">
        <v>8</v>
      </c>
      <c r="E11" s="40" t="s">
        <v>679</v>
      </c>
      <c r="F11" s="126">
        <v>194</v>
      </c>
      <c r="G11" s="126">
        <v>195.1</v>
      </c>
      <c r="H11" s="39">
        <v>45161</v>
      </c>
      <c r="I11" s="41">
        <v>11700</v>
      </c>
      <c r="J11" s="130">
        <v>1.1000000000000001</v>
      </c>
      <c r="K11" s="41">
        <f t="shared" si="1"/>
        <v>12870.000000000002</v>
      </c>
      <c r="L11" s="42" t="s">
        <v>646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45163</v>
      </c>
      <c r="D12" s="40" t="s">
        <v>8</v>
      </c>
      <c r="E12" s="40" t="s">
        <v>16</v>
      </c>
      <c r="F12" s="126">
        <v>605</v>
      </c>
      <c r="G12" s="126">
        <v>615</v>
      </c>
      <c r="H12" s="39">
        <v>45163</v>
      </c>
      <c r="I12" s="41">
        <v>3000</v>
      </c>
      <c r="J12" s="85">
        <v>10</v>
      </c>
      <c r="K12" s="41">
        <f t="shared" si="1"/>
        <v>30000</v>
      </c>
      <c r="L12" s="42" t="s">
        <v>646</v>
      </c>
      <c r="M12" s="32"/>
      <c r="O12" s="175" t="s">
        <v>576</v>
      </c>
      <c r="P12" s="176"/>
      <c r="Q12" s="177"/>
      <c r="R12" s="184">
        <f>T10</f>
        <v>0.94444444444444442</v>
      </c>
      <c r="S12" s="185"/>
      <c r="T12" s="186"/>
      <c r="X12" s="29">
        <f t="shared" si="2"/>
        <v>1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141320</v>
      </c>
      <c r="L16" s="86"/>
      <c r="M16" s="32"/>
      <c r="X16" s="29">
        <f>SUM(X6:X15)</f>
        <v>7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45139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45140</v>
      </c>
      <c r="D24" s="40" t="s">
        <v>8</v>
      </c>
      <c r="E24" s="35" t="s">
        <v>30</v>
      </c>
      <c r="F24" s="36">
        <v>19600</v>
      </c>
      <c r="G24" s="36">
        <v>19640</v>
      </c>
      <c r="H24" s="39">
        <v>45140</v>
      </c>
      <c r="I24" s="41">
        <v>250</v>
      </c>
      <c r="J24" s="41">
        <v>40</v>
      </c>
      <c r="K24" s="41">
        <f>J24*I24</f>
        <v>10000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45156</v>
      </c>
      <c r="D25" s="40" t="s">
        <v>13</v>
      </c>
      <c r="E25" s="40" t="s">
        <v>30</v>
      </c>
      <c r="F25" s="41">
        <v>19300</v>
      </c>
      <c r="G25" s="41">
        <v>19400</v>
      </c>
      <c r="H25" s="39">
        <v>45156</v>
      </c>
      <c r="I25" s="41">
        <v>250</v>
      </c>
      <c r="J25" s="41">
        <v>-40</v>
      </c>
      <c r="K25" s="41">
        <f t="shared" ref="K25:K29" si="8">J25*I25</f>
        <v>-10000</v>
      </c>
      <c r="L25" s="42" t="s">
        <v>197</v>
      </c>
      <c r="M25" s="32"/>
      <c r="X25" s="29">
        <f t="shared" si="6"/>
        <v>0</v>
      </c>
      <c r="Y25" s="29">
        <f t="shared" si="7"/>
        <v>1</v>
      </c>
    </row>
    <row r="26" spans="1:25" x14ac:dyDescent="0.3">
      <c r="A26" s="31"/>
      <c r="B26" s="38">
        <f t="shared" ref="B26:B34" si="9">B25+1</f>
        <v>3</v>
      </c>
      <c r="C26" s="39">
        <v>45159</v>
      </c>
      <c r="D26" s="40" t="s">
        <v>13</v>
      </c>
      <c r="E26" s="40" t="s">
        <v>619</v>
      </c>
      <c r="F26" s="41">
        <v>44100</v>
      </c>
      <c r="G26" s="41">
        <v>44030</v>
      </c>
      <c r="H26" s="39">
        <v>45161</v>
      </c>
      <c r="I26" s="41">
        <v>75</v>
      </c>
      <c r="J26" s="85">
        <f>44100-44030</f>
        <v>70</v>
      </c>
      <c r="K26" s="41">
        <f t="shared" si="8"/>
        <v>5250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45163</v>
      </c>
      <c r="D27" s="40" t="s">
        <v>13</v>
      </c>
      <c r="E27" s="40" t="s">
        <v>30</v>
      </c>
      <c r="F27" s="41">
        <v>19300</v>
      </c>
      <c r="G27" s="41">
        <v>19250</v>
      </c>
      <c r="H27" s="39">
        <v>45163</v>
      </c>
      <c r="I27" s="41">
        <v>250</v>
      </c>
      <c r="J27" s="85">
        <v>50</v>
      </c>
      <c r="K27" s="41">
        <f t="shared" si="8"/>
        <v>12500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17750</v>
      </c>
      <c r="L35" s="86"/>
      <c r="M35" s="32"/>
      <c r="X35" s="29">
        <f>SUM(X24:X34)</f>
        <v>3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45139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45140</v>
      </c>
      <c r="D43" s="40" t="s">
        <v>8</v>
      </c>
      <c r="E43" s="40" t="s">
        <v>1006</v>
      </c>
      <c r="F43" s="126">
        <v>23</v>
      </c>
      <c r="G43" s="126">
        <v>27</v>
      </c>
      <c r="H43" s="39">
        <v>45140</v>
      </c>
      <c r="I43" s="41">
        <v>2500</v>
      </c>
      <c r="J43" s="126">
        <v>4</v>
      </c>
      <c r="K43" s="41">
        <f>J43*I43</f>
        <v>10000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45147</v>
      </c>
      <c r="D44" s="40" t="s">
        <v>8</v>
      </c>
      <c r="E44" s="40" t="s">
        <v>1007</v>
      </c>
      <c r="F44" s="126">
        <v>4</v>
      </c>
      <c r="G44" s="126">
        <v>5.2</v>
      </c>
      <c r="H44" s="39">
        <v>45148</v>
      </c>
      <c r="I44" s="41">
        <v>10000</v>
      </c>
      <c r="J44" s="126">
        <v>1.2</v>
      </c>
      <c r="K44" s="41">
        <f t="shared" ref="K44:K50" si="13">J44*I44</f>
        <v>12000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45156</v>
      </c>
      <c r="D45" s="40" t="s">
        <v>8</v>
      </c>
      <c r="E45" s="40" t="s">
        <v>1008</v>
      </c>
      <c r="F45" s="126">
        <v>38</v>
      </c>
      <c r="G45" s="126">
        <v>42.35</v>
      </c>
      <c r="H45" s="39">
        <v>45159</v>
      </c>
      <c r="I45" s="41">
        <v>500</v>
      </c>
      <c r="J45" s="126">
        <f>42.35-38</f>
        <v>4.3500000000000014</v>
      </c>
      <c r="K45" s="41">
        <f t="shared" si="13"/>
        <v>2175.0000000000009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45159</v>
      </c>
      <c r="D46" s="40" t="s">
        <v>8</v>
      </c>
      <c r="E46" s="40" t="s">
        <v>1009</v>
      </c>
      <c r="F46" s="126">
        <v>80</v>
      </c>
      <c r="G46" s="126">
        <v>105</v>
      </c>
      <c r="H46" s="39">
        <v>45160</v>
      </c>
      <c r="I46" s="41">
        <v>250</v>
      </c>
      <c r="J46" s="126">
        <f>105-80</f>
        <v>25</v>
      </c>
      <c r="K46" s="41">
        <f t="shared" si="13"/>
        <v>6250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45161</v>
      </c>
      <c r="D47" s="40" t="s">
        <v>8</v>
      </c>
      <c r="E47" s="40" t="s">
        <v>1010</v>
      </c>
      <c r="F47" s="126">
        <v>60</v>
      </c>
      <c r="G47" s="126">
        <v>160</v>
      </c>
      <c r="H47" s="39">
        <v>45162</v>
      </c>
      <c r="I47" s="41">
        <v>250</v>
      </c>
      <c r="J47" s="126">
        <v>100</v>
      </c>
      <c r="K47" s="41">
        <f t="shared" si="13"/>
        <v>25000</v>
      </c>
      <c r="L47" s="42" t="s">
        <v>647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45163</v>
      </c>
      <c r="D48" s="40" t="s">
        <v>8</v>
      </c>
      <c r="E48" s="40" t="s">
        <v>1011</v>
      </c>
      <c r="F48" s="126">
        <v>12</v>
      </c>
      <c r="G48" s="126">
        <v>15.8</v>
      </c>
      <c r="H48" s="39">
        <v>45163</v>
      </c>
      <c r="I48" s="126">
        <v>3000</v>
      </c>
      <c r="J48" s="126">
        <v>3.8</v>
      </c>
      <c r="K48" s="41">
        <f t="shared" si="13"/>
        <v>11400</v>
      </c>
      <c r="L48" s="42" t="s">
        <v>646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45163</v>
      </c>
      <c r="D49" s="40" t="s">
        <v>8</v>
      </c>
      <c r="E49" s="40" t="s">
        <v>1012</v>
      </c>
      <c r="F49" s="126">
        <v>90</v>
      </c>
      <c r="G49" s="126">
        <v>150</v>
      </c>
      <c r="H49" s="39">
        <v>45163</v>
      </c>
      <c r="I49" s="41">
        <v>250</v>
      </c>
      <c r="J49" s="130">
        <f>150-90</f>
        <v>60</v>
      </c>
      <c r="K49" s="41">
        <f t="shared" si="13"/>
        <v>15000</v>
      </c>
      <c r="L49" s="42" t="s">
        <v>642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39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81825</v>
      </c>
      <c r="L53" s="86"/>
      <c r="M53" s="32"/>
      <c r="X53" s="29">
        <f>SUM(X43:X52)</f>
        <v>7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7D00-000000000000}"/>
    <hyperlink ref="O1" location="'Home Page'!A1" display="Back" xr:uid="{00000000-0004-0000-7D00-000001000000}"/>
    <hyperlink ref="B53" r:id="rId2" xr:uid="{00000000-0004-0000-7D00-000002000000}"/>
    <hyperlink ref="O4:O5" location="'AUGUST 2023'!A1" display="PREMIUM STOCK FUTURE" xr:uid="{00000000-0004-0000-7D00-000003000000}"/>
    <hyperlink ref="O6:O7" location="'AUGUST 2023'!A1" display="PREMIUM NIFTY FUTURE" xr:uid="{00000000-0004-0000-7D00-000004000000}"/>
    <hyperlink ref="O8:O9" location="'AUGUST 2023'!A1" display="PREMIUM OPTOIN" xr:uid="{00000000-0004-0000-7D00-000005000000}"/>
  </hyperlinks>
  <pageMargins left="0" right="0" top="0" bottom="0" header="0" footer="0"/>
  <pageSetup paperSize="9" orientation="portrait" r:id="rId3"/>
  <drawing r:id="rId4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Y54"/>
  <sheetViews>
    <sheetView topLeftCell="A34" workbookViewId="0">
      <selection activeCell="N15" sqref="N15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45170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3</v>
      </c>
      <c r="Q4" s="221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45173</v>
      </c>
      <c r="D6" s="35" t="s">
        <v>8</v>
      </c>
      <c r="E6" s="35" t="s">
        <v>1013</v>
      </c>
      <c r="F6" s="126">
        <v>406</v>
      </c>
      <c r="G6" s="126">
        <v>416</v>
      </c>
      <c r="H6" s="34">
        <v>45175</v>
      </c>
      <c r="I6" s="36">
        <v>3200</v>
      </c>
      <c r="J6" s="129">
        <v>10</v>
      </c>
      <c r="K6" s="41">
        <f>J6*I6</f>
        <v>32000</v>
      </c>
      <c r="L6" s="42" t="s">
        <v>642</v>
      </c>
      <c r="M6" s="32"/>
      <c r="O6" s="231" t="s">
        <v>599</v>
      </c>
      <c r="P6" s="199">
        <f>COUNT(C24:C33)</f>
        <v>5</v>
      </c>
      <c r="Q6" s="221">
        <f>X35</f>
        <v>4</v>
      </c>
      <c r="R6" s="200">
        <f>Y35</f>
        <v>1</v>
      </c>
      <c r="S6" s="201">
        <v>0</v>
      </c>
      <c r="T6" s="197">
        <f t="shared" ref="T6" si="0">Q6/P6</f>
        <v>0.8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45177</v>
      </c>
      <c r="D7" s="40" t="s">
        <v>8</v>
      </c>
      <c r="E7" s="40" t="s">
        <v>747</v>
      </c>
      <c r="F7" s="126">
        <v>817</v>
      </c>
      <c r="G7" s="126">
        <v>840</v>
      </c>
      <c r="H7" s="39">
        <v>45180</v>
      </c>
      <c r="I7" s="41">
        <v>2700</v>
      </c>
      <c r="J7" s="130">
        <f>840-817</f>
        <v>23</v>
      </c>
      <c r="K7" s="41">
        <f t="shared" ref="K7:K14" si="1">J7*I7</f>
        <v>62100</v>
      </c>
      <c r="L7" s="42" t="s">
        <v>651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45183</v>
      </c>
      <c r="D8" s="40" t="s">
        <v>8</v>
      </c>
      <c r="E8" s="40" t="s">
        <v>904</v>
      </c>
      <c r="F8" s="128">
        <v>3110</v>
      </c>
      <c r="G8" s="126">
        <v>3170</v>
      </c>
      <c r="H8" s="39">
        <v>45184</v>
      </c>
      <c r="I8" s="41">
        <v>600</v>
      </c>
      <c r="J8" s="130">
        <v>60</v>
      </c>
      <c r="K8" s="41">
        <f t="shared" si="1"/>
        <v>36000</v>
      </c>
      <c r="L8" s="42" t="s">
        <v>642</v>
      </c>
      <c r="M8" s="32"/>
      <c r="O8" s="231" t="s">
        <v>600</v>
      </c>
      <c r="P8" s="199">
        <f>COUNT(C43:C52)</f>
        <v>8</v>
      </c>
      <c r="Q8" s="200">
        <f>X53</f>
        <v>7</v>
      </c>
      <c r="R8" s="200">
        <f>Y53</f>
        <v>1</v>
      </c>
      <c r="S8" s="201">
        <v>0</v>
      </c>
      <c r="T8" s="197">
        <f t="shared" ref="T8:T10" si="5">Q8/P8</f>
        <v>0.875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16</v>
      </c>
      <c r="Q10" s="173">
        <f>SUM(Q4:Q9)</f>
        <v>14</v>
      </c>
      <c r="R10" s="173">
        <f>SUM(R4:R9)</f>
        <v>2</v>
      </c>
      <c r="S10" s="193">
        <f>SUM(S4:S9)</f>
        <v>0</v>
      </c>
      <c r="T10" s="195">
        <f t="shared" si="5"/>
        <v>0.875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130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0.875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130100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45170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45175</v>
      </c>
      <c r="D24" s="40" t="s">
        <v>8</v>
      </c>
      <c r="E24" s="35" t="s">
        <v>176</v>
      </c>
      <c r="F24" s="36">
        <v>19600</v>
      </c>
      <c r="G24" s="36">
        <v>19800</v>
      </c>
      <c r="H24" s="39">
        <v>45177</v>
      </c>
      <c r="I24" s="41">
        <v>250</v>
      </c>
      <c r="J24" s="41">
        <v>200</v>
      </c>
      <c r="K24" s="41">
        <f>J24*I24</f>
        <v>50000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45182</v>
      </c>
      <c r="D25" s="40" t="s">
        <v>13</v>
      </c>
      <c r="E25" s="40" t="s">
        <v>176</v>
      </c>
      <c r="F25" s="41">
        <v>20150</v>
      </c>
      <c r="G25" s="41">
        <v>20095</v>
      </c>
      <c r="H25" s="39">
        <v>45182</v>
      </c>
      <c r="I25" s="41">
        <v>250</v>
      </c>
      <c r="J25" s="41">
        <f>20150-20095</f>
        <v>55</v>
      </c>
      <c r="K25" s="41">
        <f t="shared" ref="K25:K29" si="8">J25*I25</f>
        <v>13750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45189</v>
      </c>
      <c r="D26" s="40" t="s">
        <v>8</v>
      </c>
      <c r="E26" s="40" t="s">
        <v>176</v>
      </c>
      <c r="F26" s="41">
        <v>19950</v>
      </c>
      <c r="G26" s="41">
        <v>19850</v>
      </c>
      <c r="H26" s="39">
        <v>45190</v>
      </c>
      <c r="I26" s="41">
        <v>250</v>
      </c>
      <c r="J26" s="42">
        <v>-100</v>
      </c>
      <c r="K26" s="42">
        <f t="shared" si="8"/>
        <v>-25000</v>
      </c>
      <c r="L26" s="42" t="s">
        <v>197</v>
      </c>
      <c r="M26" s="32"/>
      <c r="X26" s="29">
        <f t="shared" si="6"/>
        <v>0</v>
      </c>
      <c r="Y26" s="29">
        <f t="shared" si="7"/>
        <v>1</v>
      </c>
    </row>
    <row r="27" spans="1:25" x14ac:dyDescent="0.3">
      <c r="A27" s="31"/>
      <c r="B27" s="38">
        <f t="shared" si="9"/>
        <v>4</v>
      </c>
      <c r="C27" s="39">
        <v>45189</v>
      </c>
      <c r="D27" s="40" t="s">
        <v>8</v>
      </c>
      <c r="E27" s="40" t="s">
        <v>619</v>
      </c>
      <c r="F27" s="41">
        <v>45500</v>
      </c>
      <c r="G27" s="41">
        <v>45650</v>
      </c>
      <c r="H27" s="39">
        <v>45190</v>
      </c>
      <c r="I27" s="41">
        <v>75</v>
      </c>
      <c r="J27" s="85">
        <v>150</v>
      </c>
      <c r="K27" s="41">
        <f t="shared" si="8"/>
        <v>11250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45194</v>
      </c>
      <c r="D28" s="40" t="s">
        <v>13</v>
      </c>
      <c r="E28" s="40" t="s">
        <v>176</v>
      </c>
      <c r="F28" s="41">
        <v>19760</v>
      </c>
      <c r="G28" s="41">
        <v>19660</v>
      </c>
      <c r="H28" s="39">
        <v>45194</v>
      </c>
      <c r="I28" s="41">
        <v>250</v>
      </c>
      <c r="J28" s="85">
        <v>100</v>
      </c>
      <c r="K28" s="41">
        <f t="shared" si="8"/>
        <v>25000</v>
      </c>
      <c r="L28" s="42" t="s">
        <v>642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75000</v>
      </c>
      <c r="L35" s="86"/>
      <c r="M35" s="32"/>
      <c r="X35" s="29">
        <f>SUM(X24:X34)</f>
        <v>4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45170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45170</v>
      </c>
      <c r="D43" s="40" t="s">
        <v>8</v>
      </c>
      <c r="E43" s="40" t="s">
        <v>1014</v>
      </c>
      <c r="F43" s="126">
        <v>25</v>
      </c>
      <c r="G43" s="126">
        <v>40</v>
      </c>
      <c r="H43" s="39">
        <v>45173</v>
      </c>
      <c r="I43" s="41">
        <v>2700</v>
      </c>
      <c r="J43" s="126">
        <f>40-25</f>
        <v>15</v>
      </c>
      <c r="K43" s="41">
        <f>J43*I43</f>
        <v>40500</v>
      </c>
      <c r="L43" s="37" t="s">
        <v>651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45173</v>
      </c>
      <c r="D44" s="40" t="s">
        <v>8</v>
      </c>
      <c r="E44" s="40" t="s">
        <v>1015</v>
      </c>
      <c r="F44" s="126">
        <v>180</v>
      </c>
      <c r="G44" s="126">
        <v>214</v>
      </c>
      <c r="H44" s="39">
        <v>45173</v>
      </c>
      <c r="I44" s="41">
        <v>200</v>
      </c>
      <c r="J44" s="126">
        <f>214-180</f>
        <v>34</v>
      </c>
      <c r="K44" s="41">
        <f t="shared" ref="K44:K50" si="13">J44*I44</f>
        <v>6800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45176</v>
      </c>
      <c r="D45" s="40" t="s">
        <v>8</v>
      </c>
      <c r="E45" s="40" t="s">
        <v>1016</v>
      </c>
      <c r="F45" s="126">
        <v>45</v>
      </c>
      <c r="G45" s="126">
        <v>120</v>
      </c>
      <c r="H45" s="39">
        <v>45177</v>
      </c>
      <c r="I45" s="41">
        <v>600</v>
      </c>
      <c r="J45" s="126">
        <f>120-45</f>
        <v>75</v>
      </c>
      <c r="K45" s="41">
        <f t="shared" si="13"/>
        <v>45000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45177</v>
      </c>
      <c r="D46" s="40" t="s">
        <v>8</v>
      </c>
      <c r="E46" s="40" t="s">
        <v>1017</v>
      </c>
      <c r="F46" s="126">
        <v>18</v>
      </c>
      <c r="G46" s="126">
        <v>32</v>
      </c>
      <c r="H46" s="39">
        <v>45180</v>
      </c>
      <c r="I46" s="41">
        <v>2700</v>
      </c>
      <c r="J46" s="126">
        <f>32-18</f>
        <v>14</v>
      </c>
      <c r="K46" s="41">
        <f t="shared" si="13"/>
        <v>37800</v>
      </c>
      <c r="L46" s="42" t="s">
        <v>647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45182</v>
      </c>
      <c r="D47" s="40" t="s">
        <v>8</v>
      </c>
      <c r="E47" s="40" t="s">
        <v>1018</v>
      </c>
      <c r="F47" s="126">
        <v>13</v>
      </c>
      <c r="G47" s="126">
        <v>25</v>
      </c>
      <c r="H47" s="39">
        <v>45184</v>
      </c>
      <c r="I47" s="41">
        <v>1900</v>
      </c>
      <c r="J47" s="126">
        <f>25-13</f>
        <v>12</v>
      </c>
      <c r="K47" s="41">
        <f t="shared" si="13"/>
        <v>22800</v>
      </c>
      <c r="L47" s="42" t="s">
        <v>651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45189</v>
      </c>
      <c r="D48" s="40" t="s">
        <v>8</v>
      </c>
      <c r="E48" s="40" t="s">
        <v>1019</v>
      </c>
      <c r="F48" s="126">
        <v>100</v>
      </c>
      <c r="G48" s="126">
        <v>40</v>
      </c>
      <c r="H48" s="39">
        <v>45190</v>
      </c>
      <c r="I48" s="126">
        <v>250</v>
      </c>
      <c r="J48" s="126">
        <v>-60</v>
      </c>
      <c r="K48" s="41">
        <f t="shared" si="13"/>
        <v>-15000</v>
      </c>
      <c r="L48" s="42" t="s">
        <v>197</v>
      </c>
      <c r="M48" s="32"/>
      <c r="X48" s="29">
        <f t="shared" si="11"/>
        <v>0</v>
      </c>
      <c r="Y48" s="29">
        <f t="shared" si="12"/>
        <v>1</v>
      </c>
    </row>
    <row r="49" spans="1:25" x14ac:dyDescent="0.3">
      <c r="A49" s="31"/>
      <c r="B49" s="38">
        <f t="shared" si="14"/>
        <v>7</v>
      </c>
      <c r="C49" s="39">
        <v>45195</v>
      </c>
      <c r="D49" s="40" t="s">
        <v>8</v>
      </c>
      <c r="E49" s="40" t="s">
        <v>1020</v>
      </c>
      <c r="F49" s="126">
        <v>100</v>
      </c>
      <c r="G49" s="126">
        <v>200</v>
      </c>
      <c r="H49" s="39">
        <v>45196</v>
      </c>
      <c r="I49" s="41">
        <v>250</v>
      </c>
      <c r="J49" s="130">
        <v>100</v>
      </c>
      <c r="K49" s="41">
        <f t="shared" si="13"/>
        <v>25000</v>
      </c>
      <c r="L49" s="42" t="s">
        <v>651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45196</v>
      </c>
      <c r="D50" s="40" t="s">
        <v>8</v>
      </c>
      <c r="E50" s="40" t="s">
        <v>1021</v>
      </c>
      <c r="F50" s="126">
        <v>40</v>
      </c>
      <c r="G50" s="126">
        <v>62</v>
      </c>
      <c r="H50" s="39">
        <v>45197</v>
      </c>
      <c r="I50" s="41">
        <v>300</v>
      </c>
      <c r="J50" s="130">
        <f>62-40</f>
        <v>22</v>
      </c>
      <c r="K50" s="41">
        <f t="shared" si="13"/>
        <v>6600</v>
      </c>
      <c r="L50" s="42" t="s">
        <v>651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169500</v>
      </c>
      <c r="L53" s="86"/>
      <c r="M53" s="32"/>
      <c r="X53" s="29">
        <f>SUM(X43:X52)</f>
        <v>7</v>
      </c>
      <c r="Y53" s="29">
        <f>SUM(Y43:Y52)</f>
        <v>1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7E00-000000000000}"/>
    <hyperlink ref="O1" location="'Home Page'!A1" display="Back" xr:uid="{00000000-0004-0000-7E00-000001000000}"/>
    <hyperlink ref="B53" r:id="rId2" xr:uid="{00000000-0004-0000-7E00-000002000000}"/>
    <hyperlink ref="O4:O5" location="'AUGUST 2023'!A1" display="PREMIUM STOCK FUTURE" xr:uid="{00000000-0004-0000-7E00-000003000000}"/>
    <hyperlink ref="O6:O7" location="'AUGUST 2023'!A1" display="PREMIUM NIFTY FUTURE" xr:uid="{00000000-0004-0000-7E00-000004000000}"/>
    <hyperlink ref="O8:O9" location="'AUGUST 2023'!A1" display="PREMIUM OPTOIN" xr:uid="{00000000-0004-0000-7E00-000005000000}"/>
  </hyperlinks>
  <pageMargins left="0" right="0" top="0" bottom="0" header="0" footer="0"/>
  <pageSetup paperSize="9" orientation="portrait" r:id="rId3"/>
  <drawing r:id="rId4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Y54"/>
  <sheetViews>
    <sheetView topLeftCell="A40" workbookViewId="0">
      <selection activeCell="C10" sqref="C10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45200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45202</v>
      </c>
      <c r="D6" s="35" t="s">
        <v>8</v>
      </c>
      <c r="E6" s="35" t="s">
        <v>679</v>
      </c>
      <c r="F6" s="126">
        <v>217</v>
      </c>
      <c r="G6" s="126">
        <v>219.5</v>
      </c>
      <c r="H6" s="34">
        <v>45202</v>
      </c>
      <c r="I6" s="36">
        <v>5850</v>
      </c>
      <c r="J6" s="129">
        <v>2.5</v>
      </c>
      <c r="K6" s="41">
        <f>J6*I6</f>
        <v>14625</v>
      </c>
      <c r="L6" s="42" t="s">
        <v>646</v>
      </c>
      <c r="M6" s="32"/>
      <c r="O6" s="231" t="s">
        <v>599</v>
      </c>
      <c r="P6" s="199">
        <f>COUNT(C24:C33)</f>
        <v>4</v>
      </c>
      <c r="Q6" s="221">
        <f>X35</f>
        <v>3</v>
      </c>
      <c r="R6" s="200">
        <f>Y35</f>
        <v>1</v>
      </c>
      <c r="S6" s="201">
        <v>0</v>
      </c>
      <c r="T6" s="197">
        <f t="shared" ref="T6" si="0">Q6/P6</f>
        <v>0.75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45205</v>
      </c>
      <c r="D7" s="40" t="s">
        <v>8</v>
      </c>
      <c r="E7" s="40" t="s">
        <v>1022</v>
      </c>
      <c r="F7" s="126">
        <v>1590</v>
      </c>
      <c r="G7" s="126">
        <v>1630</v>
      </c>
      <c r="H7" s="39">
        <v>45205</v>
      </c>
      <c r="I7" s="41">
        <v>1000</v>
      </c>
      <c r="J7" s="130">
        <f>1630-1590</f>
        <v>40</v>
      </c>
      <c r="K7" s="41">
        <f t="shared" ref="K7:K14" si="1">J7*I7</f>
        <v>40000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45210</v>
      </c>
      <c r="D8" s="40" t="s">
        <v>8</v>
      </c>
      <c r="E8" s="40" t="s">
        <v>894</v>
      </c>
      <c r="F8" s="128">
        <v>2110</v>
      </c>
      <c r="G8" s="126">
        <v>2160</v>
      </c>
      <c r="H8" s="39">
        <v>45216</v>
      </c>
      <c r="I8" s="41">
        <v>600</v>
      </c>
      <c r="J8" s="130">
        <v>50</v>
      </c>
      <c r="K8" s="41">
        <f t="shared" si="1"/>
        <v>30000</v>
      </c>
      <c r="L8" s="42" t="s">
        <v>642</v>
      </c>
      <c r="M8" s="32"/>
      <c r="O8" s="231" t="s">
        <v>600</v>
      </c>
      <c r="P8" s="199">
        <f>COUNT(C43:C52)</f>
        <v>8</v>
      </c>
      <c r="Q8" s="200">
        <f>X53</f>
        <v>8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45215</v>
      </c>
      <c r="D9" s="40" t="s">
        <v>8</v>
      </c>
      <c r="E9" s="40" t="s">
        <v>539</v>
      </c>
      <c r="F9" s="126">
        <v>1080</v>
      </c>
      <c r="G9" s="126">
        <v>1095</v>
      </c>
      <c r="H9" s="39">
        <v>45216</v>
      </c>
      <c r="I9" s="41">
        <v>1400</v>
      </c>
      <c r="J9" s="130">
        <f>1095-1080</f>
        <v>15</v>
      </c>
      <c r="K9" s="41">
        <f t="shared" si="1"/>
        <v>21000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16</v>
      </c>
      <c r="Q10" s="173">
        <f>SUM(Q4:Q9)</f>
        <v>15</v>
      </c>
      <c r="R10" s="173">
        <f>SUM(R4:R9)</f>
        <v>1</v>
      </c>
      <c r="S10" s="193">
        <f>SUM(S4:S9)</f>
        <v>0</v>
      </c>
      <c r="T10" s="195">
        <f t="shared" si="5"/>
        <v>0.9375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130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0.9375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105625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45200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45202</v>
      </c>
      <c r="D24" s="40" t="s">
        <v>13</v>
      </c>
      <c r="E24" s="35" t="s">
        <v>176</v>
      </c>
      <c r="F24" s="36">
        <v>19570</v>
      </c>
      <c r="G24" s="36">
        <v>19390</v>
      </c>
      <c r="H24" s="39">
        <v>45203</v>
      </c>
      <c r="I24" s="41">
        <v>250</v>
      </c>
      <c r="J24" s="41">
        <v>180</v>
      </c>
      <c r="K24" s="41">
        <f>J24*I24</f>
        <v>45000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45210</v>
      </c>
      <c r="D25" s="40" t="s">
        <v>8</v>
      </c>
      <c r="E25" s="40" t="s">
        <v>176</v>
      </c>
      <c r="F25" s="41">
        <v>19820</v>
      </c>
      <c r="G25" s="41">
        <v>19884</v>
      </c>
      <c r="H25" s="39">
        <v>45211</v>
      </c>
      <c r="I25" s="41">
        <v>250</v>
      </c>
      <c r="J25" s="41">
        <v>64</v>
      </c>
      <c r="K25" s="41">
        <f t="shared" ref="K25:K29" si="8">J25*I25</f>
        <v>16000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45215</v>
      </c>
      <c r="D26" s="40" t="s">
        <v>8</v>
      </c>
      <c r="E26" s="40" t="s">
        <v>176</v>
      </c>
      <c r="F26" s="41">
        <v>19750</v>
      </c>
      <c r="G26" s="41">
        <v>19834</v>
      </c>
      <c r="H26" s="39">
        <v>45216</v>
      </c>
      <c r="I26" s="41">
        <v>250</v>
      </c>
      <c r="J26" s="42">
        <f>19834-19750</f>
        <v>84</v>
      </c>
      <c r="K26" s="42">
        <f t="shared" si="8"/>
        <v>21000</v>
      </c>
      <c r="L26" s="42" t="s">
        <v>1023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45217</v>
      </c>
      <c r="D27" s="40" t="s">
        <v>8</v>
      </c>
      <c r="E27" s="40" t="s">
        <v>176</v>
      </c>
      <c r="F27" s="41">
        <v>19720</v>
      </c>
      <c r="G27" s="41">
        <v>19600</v>
      </c>
      <c r="H27" s="39">
        <v>45218</v>
      </c>
      <c r="I27" s="41">
        <v>250</v>
      </c>
      <c r="J27" s="85">
        <v>-120</v>
      </c>
      <c r="K27" s="41">
        <f t="shared" si="8"/>
        <v>-30000</v>
      </c>
      <c r="L27" s="42" t="s">
        <v>197</v>
      </c>
      <c r="M27" s="32"/>
      <c r="X27" s="29">
        <f t="shared" si="6"/>
        <v>0</v>
      </c>
      <c r="Y27" s="29">
        <f t="shared" si="7"/>
        <v>1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52000</v>
      </c>
      <c r="L35" s="86"/>
      <c r="M35" s="32"/>
      <c r="X35" s="29">
        <f>SUM(X24:X34)</f>
        <v>3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45200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45205</v>
      </c>
      <c r="D43" s="40" t="s">
        <v>8</v>
      </c>
      <c r="E43" s="40" t="s">
        <v>1024</v>
      </c>
      <c r="F43" s="126">
        <v>38</v>
      </c>
      <c r="G43" s="126">
        <v>58</v>
      </c>
      <c r="H43" s="39">
        <v>45205</v>
      </c>
      <c r="I43" s="41">
        <v>1000</v>
      </c>
      <c r="J43" s="126">
        <v>20</v>
      </c>
      <c r="K43" s="41">
        <f>J43*I43</f>
        <v>20000</v>
      </c>
      <c r="L43" s="37" t="s">
        <v>642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45210</v>
      </c>
      <c r="D44" s="40" t="s">
        <v>8</v>
      </c>
      <c r="E44" s="40" t="s">
        <v>1025</v>
      </c>
      <c r="F44" s="126">
        <v>280</v>
      </c>
      <c r="G44" s="126">
        <v>370</v>
      </c>
      <c r="H44" s="39">
        <v>45211</v>
      </c>
      <c r="I44" s="41">
        <v>75</v>
      </c>
      <c r="J44" s="126">
        <f>370-280</f>
        <v>90</v>
      </c>
      <c r="K44" s="41">
        <f t="shared" ref="K44:K50" si="13">J44*I44</f>
        <v>6750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45211</v>
      </c>
      <c r="D45" s="40" t="s">
        <v>8</v>
      </c>
      <c r="E45" s="40" t="s">
        <v>1026</v>
      </c>
      <c r="F45" s="126">
        <v>115</v>
      </c>
      <c r="G45" s="126">
        <v>140</v>
      </c>
      <c r="H45" s="39">
        <v>45215</v>
      </c>
      <c r="I45" s="41">
        <v>500</v>
      </c>
      <c r="J45" s="126">
        <f>140-115</f>
        <v>25</v>
      </c>
      <c r="K45" s="41">
        <f t="shared" si="13"/>
        <v>12500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45215</v>
      </c>
      <c r="D46" s="40" t="s">
        <v>8</v>
      </c>
      <c r="E46" s="40" t="s">
        <v>1027</v>
      </c>
      <c r="F46" s="126">
        <v>110</v>
      </c>
      <c r="G46" s="126">
        <v>168</v>
      </c>
      <c r="H46" s="39">
        <v>45216</v>
      </c>
      <c r="I46" s="41">
        <v>250</v>
      </c>
      <c r="J46" s="126">
        <f>168-110</f>
        <v>58</v>
      </c>
      <c r="K46" s="41">
        <f t="shared" si="13"/>
        <v>14500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45216</v>
      </c>
      <c r="D47" s="40" t="s">
        <v>8</v>
      </c>
      <c r="E47" s="40" t="s">
        <v>1028</v>
      </c>
      <c r="F47" s="126">
        <v>100</v>
      </c>
      <c r="G47" s="126">
        <v>190</v>
      </c>
      <c r="H47" s="39">
        <v>45218</v>
      </c>
      <c r="I47" s="41">
        <v>250</v>
      </c>
      <c r="J47" s="126">
        <f>190-100</f>
        <v>90</v>
      </c>
      <c r="K47" s="41">
        <f t="shared" si="13"/>
        <v>22500</v>
      </c>
      <c r="L47" s="42" t="s">
        <v>647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45216</v>
      </c>
      <c r="D48" s="40" t="s">
        <v>8</v>
      </c>
      <c r="E48" s="40" t="s">
        <v>1029</v>
      </c>
      <c r="F48" s="126">
        <v>300</v>
      </c>
      <c r="G48" s="126">
        <v>370</v>
      </c>
      <c r="H48" s="39">
        <v>45216</v>
      </c>
      <c r="I48" s="126">
        <v>75</v>
      </c>
      <c r="J48" s="126">
        <v>70</v>
      </c>
      <c r="K48" s="41">
        <f t="shared" si="13"/>
        <v>5250</v>
      </c>
      <c r="L48" s="42" t="s">
        <v>646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45219</v>
      </c>
      <c r="D49" s="40" t="s">
        <v>8</v>
      </c>
      <c r="E49" s="40" t="s">
        <v>1030</v>
      </c>
      <c r="F49" s="126">
        <v>140</v>
      </c>
      <c r="G49" s="126">
        <v>200</v>
      </c>
      <c r="H49" s="39">
        <v>45222</v>
      </c>
      <c r="I49" s="41">
        <v>400</v>
      </c>
      <c r="J49" s="130">
        <f>200-140</f>
        <v>60</v>
      </c>
      <c r="K49" s="41">
        <f t="shared" si="13"/>
        <v>24000</v>
      </c>
      <c r="L49" s="42" t="s">
        <v>651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45224</v>
      </c>
      <c r="D50" s="40" t="s">
        <v>8</v>
      </c>
      <c r="E50" s="40" t="s">
        <v>1031</v>
      </c>
      <c r="F50" s="126">
        <v>80</v>
      </c>
      <c r="G50" s="126">
        <v>110</v>
      </c>
      <c r="H50" s="39">
        <v>45224</v>
      </c>
      <c r="I50" s="41">
        <v>75</v>
      </c>
      <c r="J50" s="130">
        <v>30</v>
      </c>
      <c r="K50" s="41">
        <f t="shared" si="13"/>
        <v>2250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107750</v>
      </c>
      <c r="L53" s="86"/>
      <c r="M53" s="32"/>
      <c r="X53" s="29">
        <f>SUM(X43:X52)</f>
        <v>8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7F00-000000000000}"/>
    <hyperlink ref="O1" location="'Home Page'!A1" display="Back" xr:uid="{00000000-0004-0000-7F00-000001000000}"/>
    <hyperlink ref="B53" r:id="rId2" xr:uid="{00000000-0004-0000-7F00-000002000000}"/>
    <hyperlink ref="O4:O5" location="'AUGUST 2023'!A1" display="PREMIUM STOCK FUTURE" xr:uid="{00000000-0004-0000-7F00-000003000000}"/>
    <hyperlink ref="O6:O7" location="'AUGUST 2023'!A1" display="PREMIUM NIFTY FUTURE" xr:uid="{00000000-0004-0000-7F00-000004000000}"/>
    <hyperlink ref="O8:O9" location="'AUGUST 2023'!A1" display="PREMIUM OPTOIN" xr:uid="{00000000-0004-0000-7F00-000005000000}"/>
  </hyperlinks>
  <pageMargins left="0" right="0" top="0" bottom="0" header="0" footer="0"/>
  <pageSetup paperSize="9" orientation="portrait" r:id="rId3"/>
  <drawing r:id="rId4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Y54"/>
  <sheetViews>
    <sheetView topLeftCell="A37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45231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45233</v>
      </c>
      <c r="D6" s="35" t="s">
        <v>8</v>
      </c>
      <c r="E6" s="35" t="s">
        <v>799</v>
      </c>
      <c r="F6" s="126">
        <v>2445</v>
      </c>
      <c r="G6" s="126">
        <v>2520</v>
      </c>
      <c r="H6" s="34">
        <v>45233</v>
      </c>
      <c r="I6" s="36">
        <v>800</v>
      </c>
      <c r="J6" s="129">
        <f>2520-2445</f>
        <v>75</v>
      </c>
      <c r="K6" s="41">
        <f>J6*I6</f>
        <v>60000</v>
      </c>
      <c r="L6" s="42" t="s">
        <v>647</v>
      </c>
      <c r="M6" s="32"/>
      <c r="O6" s="231" t="s">
        <v>599</v>
      </c>
      <c r="P6" s="199">
        <f>COUNT(C24:C33)</f>
        <v>3</v>
      </c>
      <c r="Q6" s="221">
        <f>X35</f>
        <v>3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45237</v>
      </c>
      <c r="D7" s="40" t="s">
        <v>8</v>
      </c>
      <c r="E7" s="40" t="s">
        <v>747</v>
      </c>
      <c r="F7" s="126">
        <v>757</v>
      </c>
      <c r="G7" s="126">
        <v>763</v>
      </c>
      <c r="H7" s="39">
        <v>45237</v>
      </c>
      <c r="I7" s="41">
        <v>1350</v>
      </c>
      <c r="J7" s="130">
        <f>763-757</f>
        <v>6</v>
      </c>
      <c r="K7" s="41">
        <f t="shared" ref="K7:K14" si="1">J7*I7</f>
        <v>8100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45238</v>
      </c>
      <c r="D8" s="40" t="s">
        <v>8</v>
      </c>
      <c r="E8" s="40" t="s">
        <v>119</v>
      </c>
      <c r="F8" s="128">
        <v>2295</v>
      </c>
      <c r="G8" s="126">
        <v>2255</v>
      </c>
      <c r="H8" s="39">
        <v>45238</v>
      </c>
      <c r="I8" s="41">
        <v>600</v>
      </c>
      <c r="J8" s="130">
        <f>2295-2255</f>
        <v>40</v>
      </c>
      <c r="K8" s="41">
        <f t="shared" si="1"/>
        <v>24000</v>
      </c>
      <c r="L8" s="42" t="s">
        <v>646</v>
      </c>
      <c r="M8" s="32"/>
      <c r="O8" s="231" t="s">
        <v>600</v>
      </c>
      <c r="P8" s="199">
        <f>COUNT(C43:C52)</f>
        <v>3</v>
      </c>
      <c r="Q8" s="200">
        <f>X53</f>
        <v>3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45250</v>
      </c>
      <c r="D9" s="40" t="s">
        <v>8</v>
      </c>
      <c r="E9" s="40" t="s">
        <v>877</v>
      </c>
      <c r="F9" s="126">
        <v>2150</v>
      </c>
      <c r="G9" s="126">
        <v>2165</v>
      </c>
      <c r="H9" s="39">
        <v>45250</v>
      </c>
      <c r="I9" s="41">
        <v>600</v>
      </c>
      <c r="J9" s="130">
        <f>2165-2150</f>
        <v>15</v>
      </c>
      <c r="K9" s="41">
        <f t="shared" si="1"/>
        <v>9000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10</v>
      </c>
      <c r="Q10" s="173">
        <f>SUM(Q4:Q9)</f>
        <v>10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130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101100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45231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45237</v>
      </c>
      <c r="D24" s="40" t="s">
        <v>8</v>
      </c>
      <c r="E24" s="35" t="s">
        <v>30</v>
      </c>
      <c r="F24" s="36">
        <v>19450</v>
      </c>
      <c r="G24" s="36">
        <v>19520</v>
      </c>
      <c r="H24" s="39">
        <v>45238</v>
      </c>
      <c r="I24" s="41">
        <v>250</v>
      </c>
      <c r="J24" s="41">
        <f>19520-19450</f>
        <v>70</v>
      </c>
      <c r="K24" s="41">
        <f>J24*I24</f>
        <v>17500</v>
      </c>
      <c r="L24" s="37" t="s">
        <v>646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45250</v>
      </c>
      <c r="D25" s="40" t="s">
        <v>8</v>
      </c>
      <c r="E25" s="40" t="s">
        <v>30</v>
      </c>
      <c r="F25" s="41">
        <v>19740</v>
      </c>
      <c r="G25" s="41">
        <v>19898</v>
      </c>
      <c r="H25" s="39">
        <v>45251</v>
      </c>
      <c r="I25" s="41">
        <v>250</v>
      </c>
      <c r="J25" s="41">
        <f>19898-19740</f>
        <v>158</v>
      </c>
      <c r="K25" s="41">
        <f t="shared" ref="K25:K29" si="8">J25*I25</f>
        <v>39500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45253</v>
      </c>
      <c r="D26" s="40" t="s">
        <v>8</v>
      </c>
      <c r="E26" s="40" t="s">
        <v>30</v>
      </c>
      <c r="F26" s="41">
        <v>19890</v>
      </c>
      <c r="G26" s="41">
        <v>19800</v>
      </c>
      <c r="H26" s="39">
        <v>45254</v>
      </c>
      <c r="I26" s="41">
        <v>250</v>
      </c>
      <c r="J26" s="42">
        <v>90</v>
      </c>
      <c r="K26" s="42">
        <f t="shared" si="8"/>
        <v>22500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79500</v>
      </c>
      <c r="L35" s="86"/>
      <c r="M35" s="32"/>
      <c r="X35" s="29">
        <f>SUM(X24:X34)</f>
        <v>3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45231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45233</v>
      </c>
      <c r="D43" s="40" t="s">
        <v>8</v>
      </c>
      <c r="E43" s="40" t="s">
        <v>1032</v>
      </c>
      <c r="F43" s="126">
        <v>40</v>
      </c>
      <c r="G43" s="126">
        <v>69</v>
      </c>
      <c r="H43" s="39">
        <v>45233</v>
      </c>
      <c r="I43" s="41">
        <v>1000</v>
      </c>
      <c r="J43" s="126">
        <f>69-40</f>
        <v>29</v>
      </c>
      <c r="K43" s="41">
        <f>J43*I43</f>
        <v>29000</v>
      </c>
      <c r="L43" s="37" t="s">
        <v>1033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45237</v>
      </c>
      <c r="D44" s="40" t="s">
        <v>8</v>
      </c>
      <c r="E44" s="40" t="s">
        <v>1034</v>
      </c>
      <c r="F44" s="126">
        <v>130</v>
      </c>
      <c r="G44" s="126">
        <v>230</v>
      </c>
      <c r="H44" s="39">
        <v>45237</v>
      </c>
      <c r="I44" s="41">
        <v>90</v>
      </c>
      <c r="J44" s="126">
        <v>100</v>
      </c>
      <c r="K44" s="41">
        <f t="shared" ref="K44:K50" si="13">J44*I44</f>
        <v>9000</v>
      </c>
      <c r="L44" s="124" t="s">
        <v>642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45237</v>
      </c>
      <c r="D45" s="40" t="s">
        <v>8</v>
      </c>
      <c r="E45" s="40" t="s">
        <v>1035</v>
      </c>
      <c r="F45" s="126">
        <v>13</v>
      </c>
      <c r="G45" s="126">
        <v>15.6</v>
      </c>
      <c r="H45" s="39">
        <v>45237</v>
      </c>
      <c r="I45" s="41">
        <v>1350</v>
      </c>
      <c r="J45" s="126">
        <v>2.6</v>
      </c>
      <c r="K45" s="41">
        <f t="shared" si="13"/>
        <v>3510</v>
      </c>
      <c r="L45" s="42" t="s">
        <v>646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/>
      <c r="D46" s="40"/>
      <c r="E46" s="40"/>
      <c r="F46" s="126"/>
      <c r="G46" s="126"/>
      <c r="H46" s="39"/>
      <c r="I46" s="41"/>
      <c r="J46" s="126"/>
      <c r="K46" s="41">
        <f t="shared" si="13"/>
        <v>0</v>
      </c>
      <c r="L46" s="42"/>
      <c r="M46" s="32"/>
      <c r="X46" s="29">
        <f t="shared" si="11"/>
        <v>0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/>
      <c r="D47" s="40"/>
      <c r="E47" s="40"/>
      <c r="F47" s="126"/>
      <c r="G47" s="126"/>
      <c r="H47" s="39"/>
      <c r="I47" s="41"/>
      <c r="J47" s="126"/>
      <c r="K47" s="41">
        <f t="shared" si="13"/>
        <v>0</v>
      </c>
      <c r="L47" s="42"/>
      <c r="M47" s="32"/>
      <c r="X47" s="29">
        <f t="shared" si="11"/>
        <v>0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/>
      <c r="D48" s="40"/>
      <c r="E48" s="40"/>
      <c r="F48" s="126"/>
      <c r="G48" s="126"/>
      <c r="H48" s="39"/>
      <c r="I48" s="126"/>
      <c r="J48" s="126"/>
      <c r="K48" s="41">
        <f t="shared" si="13"/>
        <v>0</v>
      </c>
      <c r="L48" s="42"/>
      <c r="M48" s="32"/>
      <c r="X48" s="29">
        <f t="shared" si="11"/>
        <v>0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39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41510</v>
      </c>
      <c r="L53" s="86"/>
      <c r="M53" s="32"/>
      <c r="X53" s="29">
        <f>SUM(X43:X52)</f>
        <v>3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8000-000000000000}"/>
    <hyperlink ref="O1" location="'Home Page'!A1" display="Back" xr:uid="{00000000-0004-0000-8000-000001000000}"/>
    <hyperlink ref="B53" r:id="rId2" xr:uid="{00000000-0004-0000-8000-000002000000}"/>
    <hyperlink ref="O4:O5" location="'AUGUST 2023'!A1" display="PREMIUM STOCK FUTURE" xr:uid="{00000000-0004-0000-8000-000003000000}"/>
    <hyperlink ref="O6:O7" location="'AUGUST 2023'!A1" display="PREMIUM NIFTY FUTURE" xr:uid="{00000000-0004-0000-8000-000004000000}"/>
    <hyperlink ref="O8:O9" location="'AUGUST 2023'!A1" display="PREMIUM OPTOIN" xr:uid="{00000000-0004-0000-8000-000005000000}"/>
  </hyperlinks>
  <pageMargins left="0" right="0" top="0" bottom="0" header="0" footer="0"/>
  <pageSetup paperSize="9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J35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0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152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41702</v>
      </c>
      <c r="C5" s="8" t="s">
        <v>20</v>
      </c>
      <c r="D5" s="8" t="s">
        <v>75</v>
      </c>
      <c r="E5" s="8">
        <v>98</v>
      </c>
      <c r="F5" s="8">
        <v>102</v>
      </c>
      <c r="G5" s="8">
        <v>8000</v>
      </c>
      <c r="H5" s="8">
        <v>32000</v>
      </c>
    </row>
    <row r="6" spans="1:10" ht="25.8" x14ac:dyDescent="0.5">
      <c r="B6" s="7">
        <v>41705</v>
      </c>
      <c r="C6" s="8" t="s">
        <v>8</v>
      </c>
      <c r="D6" s="8" t="s">
        <v>14</v>
      </c>
      <c r="E6" s="8">
        <v>165</v>
      </c>
      <c r="F6" s="8">
        <v>175</v>
      </c>
      <c r="G6" s="8">
        <v>4000</v>
      </c>
      <c r="H6" s="8">
        <v>40000</v>
      </c>
    </row>
    <row r="7" spans="1:10" ht="25.8" x14ac:dyDescent="0.5">
      <c r="B7" s="7">
        <v>41710</v>
      </c>
      <c r="C7" s="8" t="s">
        <v>8</v>
      </c>
      <c r="D7" s="8" t="s">
        <v>158</v>
      </c>
      <c r="E7" s="8">
        <v>2070</v>
      </c>
      <c r="F7" s="8">
        <v>2140</v>
      </c>
      <c r="G7" s="8">
        <v>250</v>
      </c>
      <c r="H7" s="8">
        <v>17500</v>
      </c>
    </row>
    <row r="8" spans="1:10" ht="25.8" x14ac:dyDescent="0.5">
      <c r="B8" s="7">
        <v>41720</v>
      </c>
      <c r="C8" s="8" t="s">
        <v>8</v>
      </c>
      <c r="D8" s="8" t="s">
        <v>158</v>
      </c>
      <c r="E8" s="8">
        <v>2080</v>
      </c>
      <c r="F8" s="8">
        <v>2150</v>
      </c>
      <c r="G8" s="8">
        <v>250</v>
      </c>
      <c r="H8" s="8">
        <v>17500</v>
      </c>
    </row>
    <row r="9" spans="1:10" ht="25.8" x14ac:dyDescent="0.5">
      <c r="B9" s="7"/>
      <c r="C9" s="8"/>
      <c r="D9" s="8"/>
      <c r="E9" s="8"/>
      <c r="F9" s="8"/>
      <c r="G9" s="8"/>
      <c r="H9" s="9">
        <v>107000</v>
      </c>
    </row>
    <row r="10" spans="1:10" ht="25.8" x14ac:dyDescent="0.5">
      <c r="B10" s="7"/>
      <c r="C10" s="8"/>
      <c r="D10" s="8"/>
      <c r="E10" s="8"/>
      <c r="F10" s="8"/>
      <c r="G10" s="8"/>
      <c r="H10" s="9"/>
    </row>
    <row r="11" spans="1:10" ht="25.8" x14ac:dyDescent="0.5">
      <c r="B11" s="7"/>
      <c r="C11" s="8"/>
      <c r="D11" s="8"/>
      <c r="E11" s="8"/>
      <c r="F11" s="8"/>
      <c r="G11" s="8"/>
      <c r="H11" s="16"/>
    </row>
    <row r="13" spans="1:10" ht="15" thickBot="1" x14ac:dyDescent="0.35"/>
    <row r="14" spans="1:10" ht="16.2" thickBot="1" x14ac:dyDescent="0.35">
      <c r="B14" s="158" t="s">
        <v>153</v>
      </c>
      <c r="C14" s="158"/>
      <c r="D14" s="158"/>
      <c r="E14" s="158"/>
      <c r="F14" s="158"/>
      <c r="G14" s="158"/>
      <c r="H14" s="158"/>
    </row>
    <row r="15" spans="1:10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44</v>
      </c>
      <c r="H15" s="3" t="s">
        <v>31</v>
      </c>
    </row>
    <row r="16" spans="1:10" ht="25.8" x14ac:dyDescent="0.5">
      <c r="B16" s="7">
        <v>41703</v>
      </c>
      <c r="C16" s="8" t="s">
        <v>8</v>
      </c>
      <c r="D16" s="8" t="s">
        <v>30</v>
      </c>
      <c r="E16" s="8">
        <v>6350</v>
      </c>
      <c r="F16" s="8">
        <v>6430</v>
      </c>
      <c r="G16" s="8">
        <v>80</v>
      </c>
      <c r="H16" s="8">
        <v>40000</v>
      </c>
    </row>
    <row r="17" spans="2:8" ht="25.8" x14ac:dyDescent="0.5">
      <c r="B17" s="7">
        <v>41705</v>
      </c>
      <c r="C17" s="8" t="s">
        <v>8</v>
      </c>
      <c r="D17" s="8" t="s">
        <v>30</v>
      </c>
      <c r="E17" s="8">
        <v>6500</v>
      </c>
      <c r="F17" s="8">
        <v>6560</v>
      </c>
      <c r="G17" s="8">
        <v>60</v>
      </c>
      <c r="H17" s="8">
        <v>30000</v>
      </c>
    </row>
    <row r="18" spans="2:8" ht="25.8" x14ac:dyDescent="0.5">
      <c r="B18" s="7">
        <v>41711</v>
      </c>
      <c r="C18" s="8" t="s">
        <v>13</v>
      </c>
      <c r="D18" s="8" t="s">
        <v>30</v>
      </c>
      <c r="E18" s="8">
        <v>6580</v>
      </c>
      <c r="F18" s="8">
        <v>6500</v>
      </c>
      <c r="G18" s="8">
        <v>80</v>
      </c>
      <c r="H18" s="8">
        <v>40000</v>
      </c>
    </row>
    <row r="19" spans="2:8" ht="25.8" x14ac:dyDescent="0.5">
      <c r="B19" s="7">
        <v>41719</v>
      </c>
      <c r="C19" s="8" t="s">
        <v>8</v>
      </c>
      <c r="D19" s="8" t="s">
        <v>30</v>
      </c>
      <c r="E19" s="8">
        <v>6530</v>
      </c>
      <c r="F19" s="8">
        <v>6600</v>
      </c>
      <c r="G19" s="8">
        <v>70</v>
      </c>
      <c r="H19" s="8">
        <v>35000</v>
      </c>
    </row>
    <row r="20" spans="2:8" ht="25.8" x14ac:dyDescent="0.5">
      <c r="B20" s="7"/>
      <c r="C20" s="8"/>
      <c r="D20" s="8"/>
      <c r="E20" s="8"/>
      <c r="F20" s="8"/>
      <c r="G20" s="8"/>
      <c r="H20" s="9">
        <v>145000</v>
      </c>
    </row>
    <row r="21" spans="2:8" ht="25.8" x14ac:dyDescent="0.5">
      <c r="B21" s="7"/>
      <c r="C21" s="8"/>
      <c r="D21" s="8"/>
      <c r="E21" s="8"/>
      <c r="F21" s="8"/>
      <c r="G21" s="8"/>
      <c r="H21" s="9"/>
    </row>
    <row r="23" spans="2:8" ht="15" thickBot="1" x14ac:dyDescent="0.35"/>
    <row r="24" spans="2:8" ht="16.2" thickBot="1" x14ac:dyDescent="0.35">
      <c r="B24" s="158" t="s">
        <v>154</v>
      </c>
      <c r="C24" s="158"/>
      <c r="D24" s="158"/>
      <c r="E24" s="158"/>
      <c r="F24" s="158"/>
      <c r="G24" s="158"/>
      <c r="H24" s="158"/>
    </row>
    <row r="25" spans="2:8" x14ac:dyDescent="0.3">
      <c r="B25" s="1" t="s">
        <v>1</v>
      </c>
      <c r="C25" s="2" t="s">
        <v>2</v>
      </c>
      <c r="D25" s="2" t="s">
        <v>3</v>
      </c>
      <c r="E25" s="3" t="s">
        <v>4</v>
      </c>
      <c r="F25" s="3" t="s">
        <v>5</v>
      </c>
      <c r="G25" s="3" t="s">
        <v>6</v>
      </c>
      <c r="H25" s="3" t="s">
        <v>89</v>
      </c>
    </row>
    <row r="26" spans="2:8" ht="25.8" x14ac:dyDescent="0.5">
      <c r="B26" s="7">
        <v>41702</v>
      </c>
      <c r="C26" s="8" t="s">
        <v>20</v>
      </c>
      <c r="D26" s="8" t="s">
        <v>155</v>
      </c>
      <c r="E26" s="8">
        <v>4</v>
      </c>
      <c r="F26" s="8">
        <v>7</v>
      </c>
      <c r="G26" s="8">
        <v>4000</v>
      </c>
      <c r="H26" s="8">
        <v>12000</v>
      </c>
    </row>
    <row r="27" spans="2:8" ht="25.8" x14ac:dyDescent="0.5">
      <c r="B27" s="7">
        <v>41708</v>
      </c>
      <c r="C27" s="8" t="s">
        <v>8</v>
      </c>
      <c r="D27" s="8" t="s">
        <v>156</v>
      </c>
      <c r="E27" s="8">
        <v>5</v>
      </c>
      <c r="F27" s="8">
        <v>8</v>
      </c>
      <c r="G27" s="8">
        <v>4000</v>
      </c>
      <c r="H27" s="8">
        <v>12000</v>
      </c>
    </row>
    <row r="28" spans="2:8" ht="25.8" x14ac:dyDescent="0.5">
      <c r="B28" s="7">
        <v>41712</v>
      </c>
      <c r="C28" s="8" t="s">
        <v>8</v>
      </c>
      <c r="D28" s="8" t="s">
        <v>129</v>
      </c>
      <c r="E28" s="8">
        <v>2.5</v>
      </c>
      <c r="F28" s="8">
        <v>4.5</v>
      </c>
      <c r="G28" s="8">
        <v>8000</v>
      </c>
      <c r="H28" s="8">
        <v>16000</v>
      </c>
    </row>
    <row r="29" spans="2:8" ht="25.8" x14ac:dyDescent="0.5">
      <c r="B29" s="13">
        <v>41723</v>
      </c>
      <c r="C29" s="8" t="s">
        <v>8</v>
      </c>
      <c r="D29" s="8" t="s">
        <v>157</v>
      </c>
      <c r="E29" s="8">
        <v>19</v>
      </c>
      <c r="F29" s="8">
        <v>40</v>
      </c>
      <c r="G29" s="8">
        <v>1000</v>
      </c>
      <c r="H29" s="8">
        <v>21000</v>
      </c>
    </row>
    <row r="30" spans="2:8" ht="25.8" x14ac:dyDescent="0.5">
      <c r="B30" s="7"/>
      <c r="C30" s="8"/>
      <c r="D30" s="8"/>
      <c r="E30" s="8"/>
      <c r="F30" s="8"/>
      <c r="G30" s="8"/>
      <c r="H30" s="16" t="s">
        <v>159</v>
      </c>
    </row>
    <row r="31" spans="2:8" ht="25.8" x14ac:dyDescent="0.5">
      <c r="B31" s="13"/>
      <c r="C31" s="8"/>
      <c r="D31" s="8"/>
      <c r="E31" s="8"/>
      <c r="F31" s="8"/>
      <c r="G31" s="8"/>
      <c r="H31" s="9"/>
    </row>
    <row r="32" spans="2:8" ht="25.8" x14ac:dyDescent="0.5">
      <c r="B32" s="13"/>
      <c r="C32" s="8"/>
      <c r="D32" s="8"/>
      <c r="E32" s="8"/>
      <c r="F32" s="8"/>
      <c r="G32" s="8"/>
      <c r="H32" s="8"/>
    </row>
    <row r="33" spans="2:8" ht="25.8" x14ac:dyDescent="0.5">
      <c r="B33" s="13"/>
      <c r="C33" s="8"/>
      <c r="D33" s="8"/>
      <c r="E33" s="8"/>
      <c r="F33" s="8"/>
      <c r="G33" s="8"/>
      <c r="H33" s="8"/>
    </row>
    <row r="34" spans="2:8" ht="25.8" x14ac:dyDescent="0.5">
      <c r="B34" s="13"/>
      <c r="C34" s="8"/>
      <c r="D34" s="8"/>
      <c r="E34" s="8"/>
      <c r="F34" s="8"/>
      <c r="G34" s="8"/>
      <c r="H34" s="8"/>
    </row>
    <row r="35" spans="2:8" ht="25.8" x14ac:dyDescent="0.5">
      <c r="H35" s="9"/>
    </row>
  </sheetData>
  <mergeCells count="5">
    <mergeCell ref="B1:H1"/>
    <mergeCell ref="B2:H2"/>
    <mergeCell ref="B3:H3"/>
    <mergeCell ref="B14:H14"/>
    <mergeCell ref="B24:H24"/>
  </mergeCells>
  <hyperlinks>
    <hyperlink ref="J2" location="'Home Page'!A1" display="Back" xr:uid="{00000000-0004-0000-0C00-000000000000}"/>
  </hyperlinks>
  <pageMargins left="0.7" right="0.7" top="0.75" bottom="0.75" header="0.3" footer="0.3"/>
  <pageSetup orientation="portrait" horizontalDpi="300" verticalDpi="0" r:id="rId1"/>
  <ignoredErrors>
    <ignoredError sqref="H30" numberStoredAsText="1"/>
  </ignoredError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Y54"/>
  <sheetViews>
    <sheetView topLeftCell="A37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45261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8</v>
      </c>
      <c r="Q4" s="221">
        <f>X16</f>
        <v>7</v>
      </c>
      <c r="R4" s="208">
        <f>Y16</f>
        <v>1</v>
      </c>
      <c r="S4" s="209">
        <f>P4-Q4-R4</f>
        <v>0</v>
      </c>
      <c r="T4" s="195">
        <f>Q4/P4</f>
        <v>0.875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45261</v>
      </c>
      <c r="D6" s="35" t="s">
        <v>8</v>
      </c>
      <c r="E6" s="35" t="s">
        <v>1036</v>
      </c>
      <c r="F6" s="126">
        <v>1990</v>
      </c>
      <c r="G6" s="126">
        <v>2020</v>
      </c>
      <c r="H6" s="34">
        <v>45264</v>
      </c>
      <c r="I6" s="36">
        <v>734</v>
      </c>
      <c r="J6" s="129">
        <f>2020-1990</f>
        <v>30</v>
      </c>
      <c r="K6" s="41">
        <f>J6*I6</f>
        <v>22020</v>
      </c>
      <c r="L6" s="42" t="s">
        <v>642</v>
      </c>
      <c r="M6" s="32"/>
      <c r="O6" s="231" t="s">
        <v>599</v>
      </c>
      <c r="P6" s="199">
        <f>COUNT(C24:C33)</f>
        <v>10</v>
      </c>
      <c r="Q6" s="221">
        <f>X35</f>
        <v>10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45264</v>
      </c>
      <c r="D7" s="40" t="s">
        <v>8</v>
      </c>
      <c r="E7" s="40" t="s">
        <v>827</v>
      </c>
      <c r="F7" s="126">
        <v>1930</v>
      </c>
      <c r="G7" s="126">
        <v>1954</v>
      </c>
      <c r="H7" s="39">
        <v>45264</v>
      </c>
      <c r="I7" s="41">
        <v>1000</v>
      </c>
      <c r="J7" s="130">
        <f>1954-1930</f>
        <v>24</v>
      </c>
      <c r="K7" s="41">
        <f t="shared" ref="K7:K14" si="1">J7*I7</f>
        <v>24000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45265</v>
      </c>
      <c r="D8" s="40" t="s">
        <v>8</v>
      </c>
      <c r="E8" s="40" t="s">
        <v>28</v>
      </c>
      <c r="F8" s="128">
        <v>1015</v>
      </c>
      <c r="G8" s="126">
        <v>1019</v>
      </c>
      <c r="H8" s="39">
        <v>45266</v>
      </c>
      <c r="I8" s="41">
        <v>1400</v>
      </c>
      <c r="J8" s="130">
        <f>1019-1015</f>
        <v>4</v>
      </c>
      <c r="K8" s="41">
        <f t="shared" si="1"/>
        <v>5600</v>
      </c>
      <c r="L8" s="42" t="s">
        <v>646</v>
      </c>
      <c r="M8" s="32"/>
      <c r="O8" s="231" t="s">
        <v>600</v>
      </c>
      <c r="P8" s="199">
        <f>COUNT(C43:C52)</f>
        <v>10</v>
      </c>
      <c r="Q8" s="200">
        <f>X53</f>
        <v>8</v>
      </c>
      <c r="R8" s="200">
        <f>Y53</f>
        <v>2</v>
      </c>
      <c r="S8" s="201">
        <v>0</v>
      </c>
      <c r="T8" s="197">
        <f t="shared" ref="T8:T10" si="5">Q8/P8</f>
        <v>0.8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45271</v>
      </c>
      <c r="D9" s="40" t="s">
        <v>8</v>
      </c>
      <c r="E9" s="40" t="s">
        <v>1042</v>
      </c>
      <c r="F9" s="126">
        <v>4800</v>
      </c>
      <c r="G9" s="126">
        <v>4845</v>
      </c>
      <c r="H9" s="39">
        <v>45272</v>
      </c>
      <c r="I9" s="41">
        <v>250</v>
      </c>
      <c r="J9" s="130">
        <v>45</v>
      </c>
      <c r="K9" s="41">
        <f t="shared" si="1"/>
        <v>11250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45275</v>
      </c>
      <c r="D10" s="40" t="s">
        <v>8</v>
      </c>
      <c r="E10" s="40" t="s">
        <v>106</v>
      </c>
      <c r="F10" s="126">
        <v>730</v>
      </c>
      <c r="G10" s="126">
        <v>737.5</v>
      </c>
      <c r="H10" s="39">
        <v>45275</v>
      </c>
      <c r="I10" s="41">
        <v>2850</v>
      </c>
      <c r="J10" s="130">
        <v>7.5</v>
      </c>
      <c r="K10" s="41">
        <f t="shared" si="1"/>
        <v>21375</v>
      </c>
      <c r="L10" s="42" t="s">
        <v>646</v>
      </c>
      <c r="M10" s="32"/>
      <c r="O10" s="171" t="s">
        <v>575</v>
      </c>
      <c r="P10" s="173">
        <f>SUM(P4:P9)</f>
        <v>28</v>
      </c>
      <c r="Q10" s="173">
        <f>SUM(Q4:Q9)</f>
        <v>25</v>
      </c>
      <c r="R10" s="173">
        <f>SUM(R4:R9)</f>
        <v>3</v>
      </c>
      <c r="S10" s="193">
        <f>SUM(S4:S9)</f>
        <v>0</v>
      </c>
      <c r="T10" s="195">
        <f t="shared" si="5"/>
        <v>0.8928571428571429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45279</v>
      </c>
      <c r="D11" s="40" t="s">
        <v>8</v>
      </c>
      <c r="E11" s="40" t="s">
        <v>1045</v>
      </c>
      <c r="F11" s="126">
        <v>205</v>
      </c>
      <c r="G11" s="126">
        <v>212</v>
      </c>
      <c r="H11" s="39">
        <v>45280</v>
      </c>
      <c r="I11" s="41">
        <v>10600</v>
      </c>
      <c r="J11" s="130">
        <f>212-205</f>
        <v>7</v>
      </c>
      <c r="K11" s="41">
        <f t="shared" si="1"/>
        <v>74200</v>
      </c>
      <c r="L11" s="42" t="s">
        <v>642</v>
      </c>
      <c r="M11" s="32"/>
      <c r="O11" s="172"/>
      <c r="P11" s="174"/>
      <c r="Q11" s="174"/>
      <c r="R11" s="174"/>
      <c r="S11" s="194"/>
      <c r="T11" s="196"/>
      <c r="X11" s="29">
        <f t="shared" si="2"/>
        <v>1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>
        <v>45280</v>
      </c>
      <c r="D12" s="40" t="s">
        <v>8</v>
      </c>
      <c r="E12" s="40" t="s">
        <v>1046</v>
      </c>
      <c r="F12" s="126">
        <v>750</v>
      </c>
      <c r="G12" s="126">
        <v>740</v>
      </c>
      <c r="H12" s="39">
        <v>45280</v>
      </c>
      <c r="I12" s="41">
        <v>2600</v>
      </c>
      <c r="J12" s="85">
        <v>-10</v>
      </c>
      <c r="K12" s="41">
        <f t="shared" si="1"/>
        <v>-26000</v>
      </c>
      <c r="L12" s="42" t="s">
        <v>197</v>
      </c>
      <c r="M12" s="32"/>
      <c r="O12" s="175" t="s">
        <v>576</v>
      </c>
      <c r="P12" s="176"/>
      <c r="Q12" s="177"/>
      <c r="R12" s="184">
        <f>T10</f>
        <v>0.8928571428571429</v>
      </c>
      <c r="S12" s="185"/>
      <c r="T12" s="186"/>
      <c r="X12" s="29">
        <f t="shared" si="2"/>
        <v>0</v>
      </c>
      <c r="Y12" s="29">
        <f t="shared" si="3"/>
        <v>1</v>
      </c>
    </row>
    <row r="13" spans="1:25" ht="15" customHeight="1" x14ac:dyDescent="0.3">
      <c r="A13" s="31"/>
      <c r="B13" s="38">
        <f t="shared" si="4"/>
        <v>8</v>
      </c>
      <c r="C13" s="39">
        <v>45286</v>
      </c>
      <c r="D13" s="40" t="s">
        <v>8</v>
      </c>
      <c r="E13" s="40" t="s">
        <v>877</v>
      </c>
      <c r="F13" s="126">
        <v>2820</v>
      </c>
      <c r="G13" s="126">
        <v>2860</v>
      </c>
      <c r="H13" s="39">
        <v>45286</v>
      </c>
      <c r="I13" s="41">
        <v>600</v>
      </c>
      <c r="J13" s="85">
        <v>40</v>
      </c>
      <c r="K13" s="41">
        <f t="shared" si="1"/>
        <v>24000</v>
      </c>
      <c r="L13" s="42" t="s">
        <v>646</v>
      </c>
      <c r="M13" s="32"/>
      <c r="O13" s="178"/>
      <c r="P13" s="179"/>
      <c r="Q13" s="180"/>
      <c r="R13" s="187"/>
      <c r="S13" s="188"/>
      <c r="T13" s="189"/>
      <c r="X13" s="29">
        <f t="shared" si="2"/>
        <v>1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156445</v>
      </c>
      <c r="L16" s="86"/>
      <c r="M16" s="32"/>
      <c r="X16" s="29">
        <f>SUM(X6:X15)</f>
        <v>7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45261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45261</v>
      </c>
      <c r="D24" s="40" t="s">
        <v>8</v>
      </c>
      <c r="E24" s="35" t="s">
        <v>30</v>
      </c>
      <c r="F24" s="36">
        <v>20350</v>
      </c>
      <c r="G24" s="36">
        <v>20674</v>
      </c>
      <c r="H24" s="39">
        <v>45264</v>
      </c>
      <c r="I24" s="41">
        <v>250</v>
      </c>
      <c r="J24" s="41">
        <f>20674-20350</f>
        <v>324</v>
      </c>
      <c r="K24" s="41">
        <f>J24*I24</f>
        <v>81000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45265</v>
      </c>
      <c r="D25" s="40" t="s">
        <v>8</v>
      </c>
      <c r="E25" s="40" t="s">
        <v>30</v>
      </c>
      <c r="F25" s="41">
        <v>20820</v>
      </c>
      <c r="G25" s="41">
        <v>21020</v>
      </c>
      <c r="H25" s="39">
        <v>45266</v>
      </c>
      <c r="I25" s="41">
        <v>250</v>
      </c>
      <c r="J25" s="41">
        <f>21020-20820</f>
        <v>200</v>
      </c>
      <c r="K25" s="41">
        <f t="shared" ref="K25:K29" si="8">J25*I25</f>
        <v>50000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45266</v>
      </c>
      <c r="D26" s="40" t="s">
        <v>8</v>
      </c>
      <c r="E26" s="40" t="s">
        <v>30</v>
      </c>
      <c r="F26" s="41">
        <v>21000</v>
      </c>
      <c r="G26" s="41">
        <v>21089</v>
      </c>
      <c r="H26" s="39">
        <v>45268</v>
      </c>
      <c r="I26" s="41">
        <v>250</v>
      </c>
      <c r="J26" s="42">
        <f>21050-21000</f>
        <v>50</v>
      </c>
      <c r="K26" s="42">
        <f t="shared" si="8"/>
        <v>12500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45268</v>
      </c>
      <c r="D27" s="40" t="s">
        <v>8</v>
      </c>
      <c r="E27" s="40" t="s">
        <v>30</v>
      </c>
      <c r="F27" s="41">
        <v>21000</v>
      </c>
      <c r="G27" s="41">
        <v>21100</v>
      </c>
      <c r="H27" s="39">
        <v>45271</v>
      </c>
      <c r="I27" s="41">
        <v>250</v>
      </c>
      <c r="J27" s="85">
        <v>100</v>
      </c>
      <c r="K27" s="41">
        <f t="shared" si="8"/>
        <v>25000</v>
      </c>
      <c r="L27" s="42" t="s">
        <v>642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45272</v>
      </c>
      <c r="D28" s="40" t="s">
        <v>8</v>
      </c>
      <c r="E28" s="40" t="s">
        <v>30</v>
      </c>
      <c r="F28" s="41">
        <v>21000</v>
      </c>
      <c r="G28" s="41">
        <v>21200</v>
      </c>
      <c r="H28" s="39">
        <v>45274</v>
      </c>
      <c r="I28" s="41">
        <v>250</v>
      </c>
      <c r="J28" s="85">
        <v>200</v>
      </c>
      <c r="K28" s="41">
        <f t="shared" si="8"/>
        <v>50000</v>
      </c>
      <c r="L28" s="42" t="s">
        <v>647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45273</v>
      </c>
      <c r="D29" s="40" t="s">
        <v>8</v>
      </c>
      <c r="E29" s="40" t="s">
        <v>619</v>
      </c>
      <c r="F29" s="126">
        <v>47200</v>
      </c>
      <c r="G29" s="41">
        <v>47900</v>
      </c>
      <c r="H29" s="39">
        <v>45274</v>
      </c>
      <c r="I29" s="41">
        <v>75</v>
      </c>
      <c r="J29" s="85">
        <f>47900-47200</f>
        <v>700</v>
      </c>
      <c r="K29" s="41">
        <f t="shared" si="8"/>
        <v>52500</v>
      </c>
      <c r="L29" s="42" t="s">
        <v>647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45274</v>
      </c>
      <c r="D30" s="40" t="s">
        <v>8</v>
      </c>
      <c r="E30" s="40" t="s">
        <v>30</v>
      </c>
      <c r="F30" s="41">
        <v>21300</v>
      </c>
      <c r="G30" s="41">
        <v>21450</v>
      </c>
      <c r="H30" s="39">
        <v>45275</v>
      </c>
      <c r="I30" s="41">
        <v>250</v>
      </c>
      <c r="J30" s="85">
        <v>150</v>
      </c>
      <c r="K30" s="41">
        <f>J30*I30</f>
        <v>37500</v>
      </c>
      <c r="L30" s="42" t="s">
        <v>651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>
        <v>45275</v>
      </c>
      <c r="D31" s="40" t="s">
        <v>8</v>
      </c>
      <c r="E31" s="40" t="s">
        <v>619</v>
      </c>
      <c r="F31" s="41">
        <v>47950</v>
      </c>
      <c r="G31" s="41">
        <v>48350</v>
      </c>
      <c r="H31" s="39">
        <v>45275</v>
      </c>
      <c r="I31" s="41">
        <v>75</v>
      </c>
      <c r="J31" s="85">
        <f>48350-47950</f>
        <v>400</v>
      </c>
      <c r="K31" s="41">
        <f>J31*I31</f>
        <v>30000</v>
      </c>
      <c r="L31" s="42" t="s">
        <v>651</v>
      </c>
      <c r="M31" s="32"/>
      <c r="X31" s="29">
        <f t="shared" si="6"/>
        <v>1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>
        <v>45279</v>
      </c>
      <c r="D32" s="40" t="s">
        <v>8</v>
      </c>
      <c r="E32" s="40" t="s">
        <v>619</v>
      </c>
      <c r="F32" s="41">
        <v>48150</v>
      </c>
      <c r="G32" s="41">
        <v>48250</v>
      </c>
      <c r="H32" s="39">
        <v>45280</v>
      </c>
      <c r="I32" s="41">
        <v>75</v>
      </c>
      <c r="J32" s="85">
        <v>100</v>
      </c>
      <c r="K32" s="41">
        <f t="shared" ref="K32:K34" si="10">J32*I32</f>
        <v>7500</v>
      </c>
      <c r="L32" s="42" t="s">
        <v>646</v>
      </c>
      <c r="M32" s="32"/>
      <c r="X32" s="29">
        <f t="shared" si="6"/>
        <v>1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>
        <v>45286</v>
      </c>
      <c r="D33" s="40" t="s">
        <v>8</v>
      </c>
      <c r="E33" s="40" t="s">
        <v>30</v>
      </c>
      <c r="F33" s="41">
        <v>21480</v>
      </c>
      <c r="G33" s="41">
        <v>21580</v>
      </c>
      <c r="H33" s="39">
        <v>45287</v>
      </c>
      <c r="I33" s="41">
        <v>250</v>
      </c>
      <c r="J33" s="85">
        <v>100</v>
      </c>
      <c r="K33" s="41">
        <f t="shared" si="10"/>
        <v>25000</v>
      </c>
      <c r="L33" s="42" t="s">
        <v>642</v>
      </c>
      <c r="M33" s="32"/>
    </row>
    <row r="34" spans="1:25" ht="15" thickBot="1" x14ac:dyDescent="0.35">
      <c r="A34" s="31"/>
      <c r="B34" s="38">
        <f t="shared" si="9"/>
        <v>11</v>
      </c>
      <c r="C34" s="39">
        <v>45287</v>
      </c>
      <c r="D34" s="40" t="s">
        <v>8</v>
      </c>
      <c r="E34" s="40" t="s">
        <v>619</v>
      </c>
      <c r="F34" s="41">
        <v>48000</v>
      </c>
      <c r="G34" s="41">
        <v>48500</v>
      </c>
      <c r="H34" s="39">
        <v>45287</v>
      </c>
      <c r="I34" s="41">
        <v>75</v>
      </c>
      <c r="J34" s="85">
        <v>500</v>
      </c>
      <c r="K34" s="41">
        <f t="shared" si="10"/>
        <v>37500</v>
      </c>
      <c r="L34" s="42" t="s">
        <v>647</v>
      </c>
      <c r="M34" s="32"/>
      <c r="X34" s="29">
        <f t="shared" si="6"/>
        <v>1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408500</v>
      </c>
      <c r="L35" s="86"/>
      <c r="M35" s="32"/>
      <c r="X35" s="29">
        <f>SUM(X24:X34)</f>
        <v>10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45261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45261</v>
      </c>
      <c r="D43" s="40" t="s">
        <v>8</v>
      </c>
      <c r="E43" s="40" t="s">
        <v>1037</v>
      </c>
      <c r="F43" s="126">
        <v>12</v>
      </c>
      <c r="G43" s="126">
        <v>17.25</v>
      </c>
      <c r="H43" s="39">
        <v>45264</v>
      </c>
      <c r="I43" s="41">
        <v>2500</v>
      </c>
      <c r="J43" s="126">
        <f>17.25-12</f>
        <v>5.25</v>
      </c>
      <c r="K43" s="41">
        <f>J43*I43</f>
        <v>13125</v>
      </c>
      <c r="L43" s="37" t="s">
        <v>646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45261</v>
      </c>
      <c r="D44" s="40" t="s">
        <v>8</v>
      </c>
      <c r="E44" s="40" t="s">
        <v>1038</v>
      </c>
      <c r="F44" s="126">
        <v>210</v>
      </c>
      <c r="G44" s="126">
        <v>150</v>
      </c>
      <c r="H44" s="39">
        <v>45264</v>
      </c>
      <c r="I44" s="41">
        <v>200</v>
      </c>
      <c r="J44" s="126">
        <v>-60</v>
      </c>
      <c r="K44" s="41">
        <f t="shared" ref="K44:K50" si="13">J44*I44</f>
        <v>-12000</v>
      </c>
      <c r="L44" s="124" t="s">
        <v>197</v>
      </c>
      <c r="M44" s="32"/>
      <c r="X44" s="29">
        <f t="shared" si="11"/>
        <v>0</v>
      </c>
      <c r="Y44" s="29">
        <f t="shared" si="12"/>
        <v>1</v>
      </c>
    </row>
    <row r="45" spans="1:25" x14ac:dyDescent="0.3">
      <c r="A45" s="31"/>
      <c r="B45" s="38">
        <v>3</v>
      </c>
      <c r="C45" s="39">
        <v>45265</v>
      </c>
      <c r="D45" s="40" t="s">
        <v>8</v>
      </c>
      <c r="E45" s="40" t="s">
        <v>1039</v>
      </c>
      <c r="F45" s="126">
        <v>130</v>
      </c>
      <c r="G45" s="126">
        <v>270</v>
      </c>
      <c r="H45" s="39">
        <v>45266</v>
      </c>
      <c r="I45" s="41">
        <v>250</v>
      </c>
      <c r="J45" s="126">
        <f>270-130</f>
        <v>140</v>
      </c>
      <c r="K45" s="41">
        <f t="shared" si="13"/>
        <v>35000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45265</v>
      </c>
      <c r="D46" s="40" t="s">
        <v>20</v>
      </c>
      <c r="E46" s="40" t="s">
        <v>1040</v>
      </c>
      <c r="F46" s="126">
        <v>150</v>
      </c>
      <c r="G46" s="126">
        <v>172</v>
      </c>
      <c r="H46" s="39">
        <v>45266</v>
      </c>
      <c r="I46" s="41">
        <v>250</v>
      </c>
      <c r="J46" s="126">
        <f>172-150</f>
        <v>22</v>
      </c>
      <c r="K46" s="41">
        <f t="shared" si="13"/>
        <v>5500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45266</v>
      </c>
      <c r="D47" s="40" t="s">
        <v>8</v>
      </c>
      <c r="E47" s="40" t="s">
        <v>1041</v>
      </c>
      <c r="F47" s="126">
        <v>90</v>
      </c>
      <c r="G47" s="126">
        <v>40</v>
      </c>
      <c r="H47" s="39">
        <v>45268</v>
      </c>
      <c r="I47" s="41">
        <v>250</v>
      </c>
      <c r="J47" s="126">
        <v>-50</v>
      </c>
      <c r="K47" s="41">
        <f t="shared" si="13"/>
        <v>-12500</v>
      </c>
      <c r="L47" s="42" t="s">
        <v>197</v>
      </c>
      <c r="M47" s="32"/>
      <c r="X47" s="29">
        <f t="shared" si="11"/>
        <v>0</v>
      </c>
      <c r="Y47" s="29">
        <f t="shared" si="12"/>
        <v>1</v>
      </c>
    </row>
    <row r="48" spans="1:25" x14ac:dyDescent="0.3">
      <c r="A48" s="31"/>
      <c r="B48" s="38">
        <f t="shared" si="14"/>
        <v>6</v>
      </c>
      <c r="C48" s="39">
        <v>45273</v>
      </c>
      <c r="D48" s="40" t="s">
        <v>8</v>
      </c>
      <c r="E48" s="40" t="s">
        <v>1043</v>
      </c>
      <c r="F48" s="126">
        <v>190</v>
      </c>
      <c r="G48" s="126">
        <v>280</v>
      </c>
      <c r="H48" s="39">
        <v>45274</v>
      </c>
      <c r="I48" s="126">
        <v>200</v>
      </c>
      <c r="J48" s="126">
        <f>280-190</f>
        <v>90</v>
      </c>
      <c r="K48" s="41">
        <f t="shared" si="13"/>
        <v>18000</v>
      </c>
      <c r="L48" s="42" t="s">
        <v>651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45275</v>
      </c>
      <c r="D49" s="40" t="s">
        <v>8</v>
      </c>
      <c r="E49" s="40" t="s">
        <v>1044</v>
      </c>
      <c r="F49" s="126">
        <v>90</v>
      </c>
      <c r="G49" s="126">
        <v>200</v>
      </c>
      <c r="H49" s="39">
        <v>45275</v>
      </c>
      <c r="I49" s="41">
        <v>250</v>
      </c>
      <c r="J49" s="130">
        <f>200-90</f>
        <v>110</v>
      </c>
      <c r="K49" s="41">
        <f t="shared" si="13"/>
        <v>27500</v>
      </c>
      <c r="L49" s="42" t="s">
        <v>647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45275</v>
      </c>
      <c r="D50" s="40" t="s">
        <v>8</v>
      </c>
      <c r="E50" s="40" t="s">
        <v>1047</v>
      </c>
      <c r="F50" s="126">
        <v>110</v>
      </c>
      <c r="G50" s="126">
        <v>135</v>
      </c>
      <c r="H50" s="39">
        <v>45275</v>
      </c>
      <c r="I50" s="41">
        <v>600</v>
      </c>
      <c r="J50" s="130">
        <f>135-110</f>
        <v>25</v>
      </c>
      <c r="K50" s="41">
        <f t="shared" si="13"/>
        <v>15000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>
        <v>45279</v>
      </c>
      <c r="D51" s="40" t="s">
        <v>8</v>
      </c>
      <c r="E51" s="40" t="s">
        <v>1048</v>
      </c>
      <c r="F51" s="126">
        <v>190</v>
      </c>
      <c r="G51" s="126">
        <v>260</v>
      </c>
      <c r="H51" s="39">
        <v>45280</v>
      </c>
      <c r="I51" s="41">
        <v>200</v>
      </c>
      <c r="J51" s="130">
        <f>260-190</f>
        <v>70</v>
      </c>
      <c r="K51" s="85">
        <f t="shared" ref="K51:K52" si="15">I51*J51</f>
        <v>14000</v>
      </c>
      <c r="L51" s="42" t="s">
        <v>651</v>
      </c>
      <c r="M51" s="32"/>
      <c r="X51" s="29">
        <f t="shared" si="11"/>
        <v>1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>
        <v>45286</v>
      </c>
      <c r="D52" s="40" t="s">
        <v>8</v>
      </c>
      <c r="E52" s="40" t="s">
        <v>1049</v>
      </c>
      <c r="F52" s="126">
        <v>60</v>
      </c>
      <c r="G52" s="126">
        <v>110</v>
      </c>
      <c r="H52" s="39">
        <v>45287</v>
      </c>
      <c r="I52" s="41">
        <v>250</v>
      </c>
      <c r="J52" s="130">
        <v>50</v>
      </c>
      <c r="K52" s="85">
        <f t="shared" si="15"/>
        <v>12500</v>
      </c>
      <c r="L52" s="42" t="s">
        <v>642</v>
      </c>
      <c r="M52" s="32"/>
      <c r="X52" s="29">
        <f t="shared" si="11"/>
        <v>1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116125</v>
      </c>
      <c r="L53" s="86"/>
      <c r="M53" s="32"/>
      <c r="X53" s="29">
        <f>SUM(X43:X52)</f>
        <v>8</v>
      </c>
      <c r="Y53" s="29">
        <f>SUM(Y43:Y52)</f>
        <v>2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3:I53"/>
  </mergeCells>
  <hyperlinks>
    <hyperlink ref="B16" r:id="rId1" xr:uid="{00000000-0004-0000-8100-000000000000}"/>
    <hyperlink ref="O1" location="'Home Page'!A1" display="Back" xr:uid="{00000000-0004-0000-8100-000001000000}"/>
    <hyperlink ref="B53" r:id="rId2" xr:uid="{00000000-0004-0000-8100-000002000000}"/>
    <hyperlink ref="O4:O5" location="'DEC 2023'!A1" display="PREMIUM STOCK FUTURE" xr:uid="{00000000-0004-0000-8100-000003000000}"/>
    <hyperlink ref="O6:O7" location="'DEC 2023'!A1" display="PREMIUM NIFTY FUTURE" xr:uid="{00000000-0004-0000-8100-000004000000}"/>
    <hyperlink ref="O8:O9" location="'AUGUST 2023'!A1" display="PREMIUM OPTOIN" xr:uid="{00000000-0004-0000-8100-000005000000}"/>
  </hyperlinks>
  <pageMargins left="0" right="0" top="0" bottom="0" header="0" footer="0"/>
  <pageSetup paperSize="9" orientation="portrait" r:id="rId3"/>
  <drawing r:id="rId4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Y54"/>
  <sheetViews>
    <sheetView tabSelected="1" workbookViewId="0">
      <selection activeCell="T17" sqref="T17"/>
    </sheetView>
  </sheetViews>
  <sheetFormatPr defaultColWidth="9.109375" defaultRowHeight="14.4" x14ac:dyDescent="0.3"/>
  <cols>
    <col min="1" max="1" width="4.44140625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0.109375" style="29" customWidth="1"/>
    <col min="6" max="6" width="8.88671875" style="29" customWidth="1"/>
    <col min="7" max="7" width="8" style="29" customWidth="1"/>
    <col min="8" max="8" width="11.6640625" style="29" customWidth="1"/>
    <col min="9" max="9" width="10.44140625" style="29" customWidth="1"/>
    <col min="10" max="10" width="8.88671875" style="29" customWidth="1"/>
    <col min="11" max="11" width="10.44140625" style="29" customWidth="1"/>
    <col min="12" max="12" width="12.5546875" style="29" customWidth="1"/>
    <col min="13" max="13" width="7" style="29" customWidth="1"/>
    <col min="14" max="14" width="4.5546875" style="29" customWidth="1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45292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3</v>
      </c>
      <c r="R4" s="208">
        <f>Y16</f>
        <v>1</v>
      </c>
      <c r="S4" s="209">
        <f>P4-Q4-R4</f>
        <v>0</v>
      </c>
      <c r="T4" s="195">
        <f>Q4/P4</f>
        <v>0.75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45293</v>
      </c>
      <c r="D6" s="35" t="s">
        <v>8</v>
      </c>
      <c r="E6" s="35" t="s">
        <v>380</v>
      </c>
      <c r="F6" s="126">
        <v>4030</v>
      </c>
      <c r="G6" s="126">
        <v>4080</v>
      </c>
      <c r="H6" s="34">
        <v>45294</v>
      </c>
      <c r="I6" s="36">
        <v>400</v>
      </c>
      <c r="J6" s="129">
        <v>50</v>
      </c>
      <c r="K6" s="41">
        <f>J6*I6</f>
        <v>20000</v>
      </c>
      <c r="L6" s="42" t="s">
        <v>646</v>
      </c>
      <c r="M6" s="32"/>
      <c r="O6" s="231" t="s">
        <v>599</v>
      </c>
      <c r="P6" s="199">
        <f>COUNT(C24:C33)</f>
        <v>9</v>
      </c>
      <c r="Q6" s="221">
        <f>X35</f>
        <v>8</v>
      </c>
      <c r="R6" s="200">
        <f>Y35</f>
        <v>1</v>
      </c>
      <c r="S6" s="201">
        <v>0</v>
      </c>
      <c r="T6" s="197">
        <f t="shared" ref="T6" si="0">Q6/P6</f>
        <v>0.88888888888888884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45296</v>
      </c>
      <c r="D7" s="40" t="s">
        <v>8</v>
      </c>
      <c r="E7" s="40" t="s">
        <v>812</v>
      </c>
      <c r="F7" s="126">
        <v>6440</v>
      </c>
      <c r="G7" s="126">
        <v>6480</v>
      </c>
      <c r="H7" s="39">
        <v>45296</v>
      </c>
      <c r="I7" s="41">
        <v>200</v>
      </c>
      <c r="J7" s="130">
        <v>40</v>
      </c>
      <c r="K7" s="41">
        <f t="shared" ref="K7:K14" si="1">J7*I7</f>
        <v>8000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45300</v>
      </c>
      <c r="D8" s="40" t="s">
        <v>8</v>
      </c>
      <c r="E8" s="40" t="s">
        <v>366</v>
      </c>
      <c r="F8" s="128">
        <v>1220</v>
      </c>
      <c r="G8" s="126">
        <v>1200</v>
      </c>
      <c r="H8" s="39">
        <v>45301</v>
      </c>
      <c r="I8" s="41">
        <v>600</v>
      </c>
      <c r="J8" s="130">
        <v>-20</v>
      </c>
      <c r="K8" s="41">
        <f t="shared" si="1"/>
        <v>-12000</v>
      </c>
      <c r="L8" s="42" t="s">
        <v>197</v>
      </c>
      <c r="M8" s="32"/>
      <c r="O8" s="231" t="s">
        <v>600</v>
      </c>
      <c r="P8" s="199">
        <f>COUNT(C43:C52)</f>
        <v>8</v>
      </c>
      <c r="Q8" s="200">
        <f>X53</f>
        <v>8</v>
      </c>
      <c r="R8" s="200">
        <f>Y53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1</v>
      </c>
    </row>
    <row r="9" spans="1:25" ht="15" thickBot="1" x14ac:dyDescent="0.35">
      <c r="A9" s="31"/>
      <c r="B9" s="38">
        <f t="shared" si="4"/>
        <v>4</v>
      </c>
      <c r="C9" s="39">
        <v>45321</v>
      </c>
      <c r="D9" s="40" t="s">
        <v>8</v>
      </c>
      <c r="E9" s="40" t="s">
        <v>812</v>
      </c>
      <c r="F9" s="126">
        <v>5950</v>
      </c>
      <c r="G9" s="126">
        <v>6327</v>
      </c>
      <c r="H9" s="39">
        <v>45323</v>
      </c>
      <c r="I9" s="41">
        <v>200</v>
      </c>
      <c r="J9" s="130">
        <f>6327-5950</f>
        <v>377</v>
      </c>
      <c r="K9" s="41">
        <f t="shared" si="1"/>
        <v>75400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>B9+1</f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21</v>
      </c>
      <c r="Q10" s="173">
        <f>SUM(Q4:Q9)</f>
        <v>19</v>
      </c>
      <c r="R10" s="173">
        <f>SUM(R4:R9)</f>
        <v>2</v>
      </c>
      <c r="S10" s="193">
        <f>SUM(S4:S9)</f>
        <v>0</v>
      </c>
      <c r="T10" s="195">
        <f t="shared" si="5"/>
        <v>0.90476190476190477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130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0.90476190476190477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91400</v>
      </c>
      <c r="L16" s="86"/>
      <c r="M16" s="32"/>
      <c r="X16" s="29">
        <f>SUM(X6:X15)</f>
        <v>3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45292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45293</v>
      </c>
      <c r="D24" s="40" t="s">
        <v>13</v>
      </c>
      <c r="E24" s="35" t="s">
        <v>30</v>
      </c>
      <c r="F24" s="36">
        <v>21740</v>
      </c>
      <c r="G24" s="36">
        <v>21640</v>
      </c>
      <c r="H24" s="39">
        <v>45294</v>
      </c>
      <c r="I24" s="41">
        <v>250</v>
      </c>
      <c r="J24" s="41">
        <f>21740-21640</f>
        <v>100</v>
      </c>
      <c r="K24" s="41">
        <f>J24*I24</f>
        <v>25000</v>
      </c>
      <c r="L24" s="37" t="s">
        <v>642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45294</v>
      </c>
      <c r="D25" s="40" t="s">
        <v>13</v>
      </c>
      <c r="E25" s="40" t="s">
        <v>30</v>
      </c>
      <c r="F25" s="41">
        <v>21650</v>
      </c>
      <c r="G25" s="41">
        <v>21580</v>
      </c>
      <c r="H25" s="39">
        <v>45295</v>
      </c>
      <c r="I25" s="41">
        <v>250</v>
      </c>
      <c r="J25" s="41">
        <v>70</v>
      </c>
      <c r="K25" s="41">
        <f t="shared" ref="K25:K29" si="8">J25*I25</f>
        <v>17500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45295</v>
      </c>
      <c r="D26" s="40" t="s">
        <v>8</v>
      </c>
      <c r="E26" s="40" t="s">
        <v>30</v>
      </c>
      <c r="F26" s="41">
        <v>21750</v>
      </c>
      <c r="G26" s="41">
        <v>21830</v>
      </c>
      <c r="H26" s="39">
        <v>45296</v>
      </c>
      <c r="I26" s="41">
        <v>250</v>
      </c>
      <c r="J26" s="42">
        <f>21830-21750</f>
        <v>80</v>
      </c>
      <c r="K26" s="42">
        <f t="shared" si="8"/>
        <v>20000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45300</v>
      </c>
      <c r="D27" s="40" t="s">
        <v>8</v>
      </c>
      <c r="E27" s="40" t="s">
        <v>30</v>
      </c>
      <c r="F27" s="41">
        <v>21760</v>
      </c>
      <c r="G27" s="41">
        <v>21807</v>
      </c>
      <c r="H27" s="39">
        <v>45300</v>
      </c>
      <c r="I27" s="41">
        <v>250</v>
      </c>
      <c r="J27" s="85">
        <f>21807-21760</f>
        <v>47</v>
      </c>
      <c r="K27" s="41">
        <f t="shared" si="8"/>
        <v>11750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45302</v>
      </c>
      <c r="D28" s="40" t="s">
        <v>8</v>
      </c>
      <c r="E28" s="40" t="s">
        <v>619</v>
      </c>
      <c r="F28" s="41">
        <v>47500</v>
      </c>
      <c r="G28" s="41">
        <v>48000</v>
      </c>
      <c r="H28" s="39">
        <v>45303</v>
      </c>
      <c r="I28" s="41">
        <v>75</v>
      </c>
      <c r="J28" s="85">
        <f>48000-47500</f>
        <v>500</v>
      </c>
      <c r="K28" s="41">
        <f t="shared" si="8"/>
        <v>37500</v>
      </c>
      <c r="L28" s="42" t="s">
        <v>647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45309</v>
      </c>
      <c r="D29" s="40" t="s">
        <v>13</v>
      </c>
      <c r="E29" s="40" t="s">
        <v>619</v>
      </c>
      <c r="F29" s="126">
        <v>45850</v>
      </c>
      <c r="G29" s="41">
        <v>46150</v>
      </c>
      <c r="H29" s="39">
        <v>45310</v>
      </c>
      <c r="I29" s="41">
        <v>75</v>
      </c>
      <c r="J29" s="85">
        <v>-300</v>
      </c>
      <c r="K29" s="41">
        <f t="shared" si="8"/>
        <v>-22500</v>
      </c>
      <c r="L29" s="42" t="s">
        <v>197</v>
      </c>
      <c r="M29" s="32"/>
      <c r="X29" s="29">
        <f t="shared" si="6"/>
        <v>0</v>
      </c>
      <c r="Y29" s="29">
        <f t="shared" si="7"/>
        <v>1</v>
      </c>
    </row>
    <row r="30" spans="1:25" x14ac:dyDescent="0.3">
      <c r="A30" s="31"/>
      <c r="B30" s="38">
        <f t="shared" si="9"/>
        <v>7</v>
      </c>
      <c r="C30" s="39">
        <v>45320</v>
      </c>
      <c r="D30" s="40" t="s">
        <v>8</v>
      </c>
      <c r="E30" s="40" t="s">
        <v>30</v>
      </c>
      <c r="F30" s="41">
        <v>21780</v>
      </c>
      <c r="G30" s="41">
        <v>21938</v>
      </c>
      <c r="H30" s="39">
        <v>45321</v>
      </c>
      <c r="I30" s="41">
        <v>250</v>
      </c>
      <c r="J30" s="85">
        <f>21938-21780</f>
        <v>158</v>
      </c>
      <c r="K30" s="41">
        <f>J30*I30</f>
        <v>39500</v>
      </c>
      <c r="L30" s="42" t="s">
        <v>651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>
        <v>45321</v>
      </c>
      <c r="D31" s="40" t="s">
        <v>8</v>
      </c>
      <c r="E31" s="40" t="s">
        <v>619</v>
      </c>
      <c r="F31" s="41">
        <v>45700</v>
      </c>
      <c r="G31" s="41">
        <v>46300</v>
      </c>
      <c r="H31" s="39">
        <v>45322</v>
      </c>
      <c r="I31" s="41">
        <v>75</v>
      </c>
      <c r="J31" s="85">
        <f>46300-45700</f>
        <v>600</v>
      </c>
      <c r="K31" s="41">
        <f>J31*I31</f>
        <v>45000</v>
      </c>
      <c r="L31" s="42" t="s">
        <v>647</v>
      </c>
      <c r="M31" s="32"/>
      <c r="X31" s="29">
        <f t="shared" si="6"/>
        <v>1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>
        <v>45322</v>
      </c>
      <c r="D32" s="40" t="s">
        <v>8</v>
      </c>
      <c r="E32" s="40" t="s">
        <v>30</v>
      </c>
      <c r="F32" s="41">
        <v>21800</v>
      </c>
      <c r="G32" s="41">
        <v>22000</v>
      </c>
      <c r="H32" s="39">
        <v>45323</v>
      </c>
      <c r="I32" s="41">
        <v>250</v>
      </c>
      <c r="J32" s="85">
        <f>22000-21800</f>
        <v>200</v>
      </c>
      <c r="K32" s="41">
        <f t="shared" ref="K32:K34" si="10">J32*I32</f>
        <v>50000</v>
      </c>
      <c r="L32" s="42" t="s">
        <v>647</v>
      </c>
      <c r="M32" s="32"/>
      <c r="X32" s="29">
        <f t="shared" si="6"/>
        <v>1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223750</v>
      </c>
      <c r="L35" s="86"/>
      <c r="M35" s="32"/>
      <c r="X35" s="29">
        <f>SUM(X24:X34)</f>
        <v>8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45292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45294</v>
      </c>
      <c r="D43" s="40" t="s">
        <v>8</v>
      </c>
      <c r="E43" s="40" t="s">
        <v>1050</v>
      </c>
      <c r="F43" s="126">
        <v>200</v>
      </c>
      <c r="G43" s="126">
        <v>250</v>
      </c>
      <c r="H43" s="39">
        <v>45295</v>
      </c>
      <c r="I43" s="41">
        <v>200</v>
      </c>
      <c r="J43" s="126">
        <v>50</v>
      </c>
      <c r="K43" s="41">
        <f>J43*I43</f>
        <v>10000</v>
      </c>
      <c r="L43" s="37" t="s">
        <v>642</v>
      </c>
      <c r="M43" s="32"/>
      <c r="X43" s="29">
        <f t="shared" ref="X43:X52" si="11">IF($K43&gt;0,1,0)</f>
        <v>1</v>
      </c>
      <c r="Y43" s="29">
        <f t="shared" ref="Y43:Y52" si="12">IF($K43&lt;0,1,0)</f>
        <v>0</v>
      </c>
    </row>
    <row r="44" spans="1:25" x14ac:dyDescent="0.3">
      <c r="A44" s="31"/>
      <c r="B44" s="119">
        <v>2</v>
      </c>
      <c r="C44" s="39">
        <v>45295</v>
      </c>
      <c r="D44" s="40" t="s">
        <v>8</v>
      </c>
      <c r="E44" s="40" t="s">
        <v>1051</v>
      </c>
      <c r="F44" s="126">
        <v>120</v>
      </c>
      <c r="G44" s="126">
        <v>150</v>
      </c>
      <c r="H44" s="39">
        <v>45296</v>
      </c>
      <c r="I44" s="41">
        <v>250</v>
      </c>
      <c r="J44" s="126">
        <v>30</v>
      </c>
      <c r="K44" s="41">
        <f t="shared" ref="K44:K50" si="13">J44*I44</f>
        <v>7500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45299</v>
      </c>
      <c r="D45" s="40" t="s">
        <v>8</v>
      </c>
      <c r="E45" s="40" t="s">
        <v>1052</v>
      </c>
      <c r="F45" s="126">
        <v>130</v>
      </c>
      <c r="G45" s="126">
        <v>210</v>
      </c>
      <c r="H45" s="39">
        <v>45299</v>
      </c>
      <c r="I45" s="41">
        <v>250</v>
      </c>
      <c r="J45" s="126">
        <f>210-130</f>
        <v>80</v>
      </c>
      <c r="K45" s="41">
        <f t="shared" si="13"/>
        <v>20000</v>
      </c>
      <c r="L45" s="42" t="s">
        <v>651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2" si="14">B45+1</f>
        <v>4</v>
      </c>
      <c r="C46" s="39">
        <v>45300</v>
      </c>
      <c r="D46" s="40" t="s">
        <v>8</v>
      </c>
      <c r="E46" s="40" t="s">
        <v>1053</v>
      </c>
      <c r="F46" s="126">
        <v>25</v>
      </c>
      <c r="G46" s="126">
        <v>29</v>
      </c>
      <c r="H46" s="39">
        <v>45302</v>
      </c>
      <c r="I46" s="41">
        <v>2850</v>
      </c>
      <c r="J46" s="126">
        <v>4</v>
      </c>
      <c r="K46" s="41">
        <f t="shared" si="13"/>
        <v>11400</v>
      </c>
      <c r="L46" s="42" t="s">
        <v>646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45320</v>
      </c>
      <c r="D47" s="40" t="s">
        <v>8</v>
      </c>
      <c r="E47" s="40" t="s">
        <v>1054</v>
      </c>
      <c r="F47" s="126">
        <v>100</v>
      </c>
      <c r="G47" s="126">
        <v>172</v>
      </c>
      <c r="H47" s="39">
        <v>45321</v>
      </c>
      <c r="I47" s="41">
        <v>250</v>
      </c>
      <c r="J47" s="126">
        <v>72</v>
      </c>
      <c r="K47" s="41">
        <f t="shared" si="13"/>
        <v>18000</v>
      </c>
      <c r="L47" s="42" t="s">
        <v>651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45320</v>
      </c>
      <c r="D48" s="40" t="s">
        <v>8</v>
      </c>
      <c r="E48" s="40" t="s">
        <v>1055</v>
      </c>
      <c r="F48" s="126">
        <v>110</v>
      </c>
      <c r="G48" s="126">
        <v>145</v>
      </c>
      <c r="H48" s="39">
        <v>45321</v>
      </c>
      <c r="I48" s="126">
        <v>600</v>
      </c>
      <c r="J48" s="126">
        <f>145-110</f>
        <v>35</v>
      </c>
      <c r="K48" s="41">
        <f t="shared" si="13"/>
        <v>21000</v>
      </c>
      <c r="L48" s="42" t="s">
        <v>646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45322</v>
      </c>
      <c r="D49" s="40" t="s">
        <v>8</v>
      </c>
      <c r="E49" s="40" t="s">
        <v>1056</v>
      </c>
      <c r="F49" s="126">
        <v>120</v>
      </c>
      <c r="G49" s="126">
        <v>214</v>
      </c>
      <c r="H49" s="39">
        <v>45323</v>
      </c>
      <c r="I49" s="41">
        <v>250</v>
      </c>
      <c r="J49" s="130">
        <f>214-120</f>
        <v>94</v>
      </c>
      <c r="K49" s="41">
        <f t="shared" si="13"/>
        <v>23500</v>
      </c>
      <c r="L49" s="42" t="s">
        <v>651</v>
      </c>
      <c r="M49" s="32"/>
      <c r="X49" s="29">
        <f t="shared" si="11"/>
        <v>1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>
        <v>45322</v>
      </c>
      <c r="D50" s="40" t="s">
        <v>8</v>
      </c>
      <c r="E50" s="40" t="s">
        <v>1057</v>
      </c>
      <c r="F50" s="126">
        <v>340</v>
      </c>
      <c r="G50" s="126">
        <v>440</v>
      </c>
      <c r="H50" s="39">
        <v>45327</v>
      </c>
      <c r="I50" s="41">
        <v>200</v>
      </c>
      <c r="J50" s="130">
        <f>405-340</f>
        <v>65</v>
      </c>
      <c r="K50" s="41">
        <f t="shared" si="13"/>
        <v>13000</v>
      </c>
      <c r="L50" s="42" t="s">
        <v>646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2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SUM(K43:K52)</f>
        <v>124400</v>
      </c>
      <c r="L53" s="86"/>
      <c r="M53" s="32"/>
      <c r="X53" s="29">
        <f>SUM(X43:X52)</f>
        <v>8</v>
      </c>
      <c r="Y53" s="29">
        <f>SUM(Y43:Y52)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5:I35"/>
    <mergeCell ref="B39:L39"/>
    <mergeCell ref="B40:L40"/>
    <mergeCell ref="B41:L41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8200-000000000000}"/>
    <hyperlink ref="O1" location="'Home Page'!A1" display="Back" xr:uid="{00000000-0004-0000-8200-000001000000}"/>
    <hyperlink ref="B53" r:id="rId2" xr:uid="{00000000-0004-0000-8200-000002000000}"/>
    <hyperlink ref="O4:O5" location="'DEC 2023'!A1" display="PREMIUM STOCK FUTURE" xr:uid="{00000000-0004-0000-8200-000003000000}"/>
    <hyperlink ref="O6:O7" location="'DEC 2023'!A1" display="PREMIUM NIFTY FUTURE" xr:uid="{00000000-0004-0000-8200-000004000000}"/>
    <hyperlink ref="O8:O9" location="'AUGUST 2023'!A1" display="PREMIUM OPTOIN" xr:uid="{00000000-0004-0000-8200-000005000000}"/>
  </hyperlinks>
  <pageMargins left="0" right="0" top="0" bottom="0" header="0" footer="0"/>
  <pageSetup paperSize="9" orientation="portrait" r:id="rId3"/>
  <drawing r:id="rId4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C0C9-0425-4AEE-9844-953B5F8E90BE}">
  <dimension ref="A1:Y58"/>
  <sheetViews>
    <sheetView workbookViewId="0">
      <selection activeCell="S8" sqref="S8:S9"/>
    </sheetView>
  </sheetViews>
  <sheetFormatPr defaultColWidth="9.109375" defaultRowHeight="14.4" x14ac:dyDescent="0.3"/>
  <cols>
    <col min="1" max="1" width="4.44140625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0.109375" style="29" customWidth="1"/>
    <col min="6" max="6" width="8.88671875" style="29" customWidth="1"/>
    <col min="7" max="7" width="8" style="29" customWidth="1"/>
    <col min="8" max="8" width="11.6640625" style="29" customWidth="1"/>
    <col min="9" max="9" width="10.44140625" style="29" customWidth="1"/>
    <col min="10" max="10" width="8.88671875" style="29" customWidth="1"/>
    <col min="11" max="11" width="10.44140625" style="29" customWidth="1"/>
    <col min="12" max="12" width="12.5546875" style="29" customWidth="1"/>
    <col min="13" max="13" width="7" style="29" customWidth="1"/>
    <col min="14" max="14" width="4.5546875" style="29" customWidth="1"/>
    <col min="15" max="15" width="16.6640625" style="29" customWidth="1"/>
    <col min="16" max="19" width="9.109375" style="29"/>
    <col min="20" max="20" width="10.6640625" style="29" bestFit="1" customWidth="1"/>
    <col min="21" max="22" width="9.109375" style="29"/>
    <col min="23" max="23" width="0" style="29" hidden="1" customWidth="1"/>
    <col min="24" max="25" width="9.109375" style="29" hidden="1" customWidth="1"/>
    <col min="26" max="26" width="0" style="29" hidden="1" customWidth="1"/>
    <col min="27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45323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21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45328</v>
      </c>
      <c r="D6" s="35" t="s">
        <v>8</v>
      </c>
      <c r="E6" s="35" t="s">
        <v>812</v>
      </c>
      <c r="F6" s="126">
        <v>6380</v>
      </c>
      <c r="G6" s="126">
        <v>6432</v>
      </c>
      <c r="H6" s="34">
        <v>45329</v>
      </c>
      <c r="I6" s="36">
        <v>200</v>
      </c>
      <c r="J6" s="129">
        <f>6432-6380</f>
        <v>52</v>
      </c>
      <c r="K6" s="41">
        <f>J6*I6</f>
        <v>10400</v>
      </c>
      <c r="L6" s="42" t="s">
        <v>646</v>
      </c>
      <c r="M6" s="32"/>
      <c r="O6" s="231" t="s">
        <v>599</v>
      </c>
      <c r="P6" s="199">
        <f>COUNT(C24:C33)</f>
        <v>9</v>
      </c>
      <c r="Q6" s="221">
        <f>X35</f>
        <v>8</v>
      </c>
      <c r="R6" s="200">
        <f>Y35</f>
        <v>1</v>
      </c>
      <c r="S6" s="201">
        <v>0</v>
      </c>
      <c r="T6" s="197">
        <f t="shared" ref="T6" si="0">Q6/P6</f>
        <v>0.88888888888888884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45334</v>
      </c>
      <c r="D7" s="40" t="s">
        <v>8</v>
      </c>
      <c r="E7" s="40" t="s">
        <v>812</v>
      </c>
      <c r="F7" s="126">
        <v>6320</v>
      </c>
      <c r="G7" s="126">
        <v>6420</v>
      </c>
      <c r="H7" s="39">
        <v>45335</v>
      </c>
      <c r="I7" s="41">
        <v>200</v>
      </c>
      <c r="J7" s="130">
        <f>6420-6320</f>
        <v>100</v>
      </c>
      <c r="K7" s="41">
        <f t="shared" ref="K7:K14" si="1">J7*I7</f>
        <v>20000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45337</v>
      </c>
      <c r="D8" s="40" t="s">
        <v>8</v>
      </c>
      <c r="E8" s="40" t="s">
        <v>826</v>
      </c>
      <c r="F8" s="128">
        <v>4540</v>
      </c>
      <c r="G8" s="126">
        <v>4630</v>
      </c>
      <c r="H8" s="39">
        <v>45337</v>
      </c>
      <c r="I8" s="41">
        <v>200</v>
      </c>
      <c r="J8" s="130">
        <f>4630-4540</f>
        <v>90</v>
      </c>
      <c r="K8" s="41">
        <f t="shared" si="1"/>
        <v>18000</v>
      </c>
      <c r="L8" s="42" t="s">
        <v>647</v>
      </c>
      <c r="M8" s="32"/>
      <c r="O8" s="231" t="s">
        <v>600</v>
      </c>
      <c r="P8" s="199">
        <f>COUNT(C43:C56)</f>
        <v>14</v>
      </c>
      <c r="Q8" s="200">
        <v>12</v>
      </c>
      <c r="R8" s="200">
        <f>Y57</f>
        <v>2</v>
      </c>
      <c r="S8" s="201">
        <v>0</v>
      </c>
      <c r="T8" s="197">
        <f t="shared" ref="T8:T10" si="5">Q8/P8</f>
        <v>0.8571428571428571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45338</v>
      </c>
      <c r="D9" s="40" t="s">
        <v>8</v>
      </c>
      <c r="E9" s="40" t="s">
        <v>1065</v>
      </c>
      <c r="F9" s="126">
        <v>276</v>
      </c>
      <c r="G9" s="126">
        <v>288</v>
      </c>
      <c r="H9" s="39">
        <v>45342</v>
      </c>
      <c r="I9" s="41">
        <v>7200</v>
      </c>
      <c r="J9" s="130">
        <f>288-276</f>
        <v>12</v>
      </c>
      <c r="K9" s="41">
        <f t="shared" si="1"/>
        <v>86400</v>
      </c>
      <c r="L9" s="42" t="s">
        <v>647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>B9+1</f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27</v>
      </c>
      <c r="Q10" s="173">
        <f>SUM(Q4:Q9)</f>
        <v>24</v>
      </c>
      <c r="R10" s="173">
        <f>SUM(R4:R9)</f>
        <v>3</v>
      </c>
      <c r="S10" s="193">
        <f>SUM(S4:S9)</f>
        <v>0</v>
      </c>
      <c r="T10" s="195">
        <f t="shared" si="5"/>
        <v>0.88888888888888884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130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0.88888888888888884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>B13+1</f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134800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45323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45327</v>
      </c>
      <c r="D24" s="40" t="s">
        <v>8</v>
      </c>
      <c r="E24" s="35" t="s">
        <v>30</v>
      </c>
      <c r="F24" s="36">
        <v>22000</v>
      </c>
      <c r="G24" s="36">
        <v>21900</v>
      </c>
      <c r="H24" s="39">
        <v>45327</v>
      </c>
      <c r="I24" s="41">
        <v>250</v>
      </c>
      <c r="J24" s="41">
        <v>-100</v>
      </c>
      <c r="K24" s="41">
        <f>J24*I24</f>
        <v>-25000</v>
      </c>
      <c r="L24" s="37" t="s">
        <v>197</v>
      </c>
      <c r="M24" s="32"/>
      <c r="X24" s="29">
        <f t="shared" ref="X24:X34" si="6">IF($K24&gt;0,1,0)</f>
        <v>0</v>
      </c>
      <c r="Y24" s="29">
        <f t="shared" ref="Y24:Y34" si="7">IF($K24&lt;0,1,0)</f>
        <v>1</v>
      </c>
    </row>
    <row r="25" spans="1:25" x14ac:dyDescent="0.3">
      <c r="A25" s="31"/>
      <c r="B25" s="38">
        <f>B24+1</f>
        <v>2</v>
      </c>
      <c r="C25" s="39">
        <v>45328</v>
      </c>
      <c r="D25" s="40" t="s">
        <v>8</v>
      </c>
      <c r="E25" s="40" t="s">
        <v>30</v>
      </c>
      <c r="F25" s="41">
        <v>21950</v>
      </c>
      <c r="G25" s="41">
        <v>22100</v>
      </c>
      <c r="H25" s="39">
        <v>45329</v>
      </c>
      <c r="I25" s="41">
        <v>250</v>
      </c>
      <c r="J25" s="41">
        <f>22100-21950</f>
        <v>150</v>
      </c>
      <c r="K25" s="41">
        <f t="shared" ref="K25:K29" si="8">J25*I25</f>
        <v>37500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45334</v>
      </c>
      <c r="D26" s="40" t="s">
        <v>8</v>
      </c>
      <c r="E26" s="40" t="s">
        <v>30</v>
      </c>
      <c r="F26" s="41">
        <v>21720</v>
      </c>
      <c r="G26" s="41">
        <v>21844</v>
      </c>
      <c r="H26" s="39">
        <v>45335</v>
      </c>
      <c r="I26" s="41">
        <v>250</v>
      </c>
      <c r="J26" s="42">
        <f>21844-21720</f>
        <v>124</v>
      </c>
      <c r="K26" s="42">
        <f t="shared" si="8"/>
        <v>31000</v>
      </c>
      <c r="L26" s="42" t="s">
        <v>651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45338</v>
      </c>
      <c r="D27" s="40" t="s">
        <v>8</v>
      </c>
      <c r="E27" s="40" t="s">
        <v>30</v>
      </c>
      <c r="F27" s="41">
        <v>22100</v>
      </c>
      <c r="G27" s="41">
        <v>22240</v>
      </c>
      <c r="H27" s="39">
        <v>45341</v>
      </c>
      <c r="I27" s="41">
        <v>250</v>
      </c>
      <c r="J27" s="85">
        <f>22240-22100</f>
        <v>140</v>
      </c>
      <c r="K27" s="41">
        <f t="shared" si="8"/>
        <v>35000</v>
      </c>
      <c r="L27" s="42" t="s">
        <v>651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45341</v>
      </c>
      <c r="D28" s="40" t="s">
        <v>8</v>
      </c>
      <c r="E28" s="40" t="s">
        <v>619</v>
      </c>
      <c r="F28" s="41">
        <v>46650</v>
      </c>
      <c r="G28" s="41">
        <v>47154</v>
      </c>
      <c r="H28" s="39">
        <v>45342</v>
      </c>
      <c r="I28" s="41">
        <v>75</v>
      </c>
      <c r="J28" s="85">
        <f>47154-46650</f>
        <v>504</v>
      </c>
      <c r="K28" s="41">
        <f t="shared" si="8"/>
        <v>37800</v>
      </c>
      <c r="L28" s="42" t="s">
        <v>651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45342</v>
      </c>
      <c r="D29" s="40" t="s">
        <v>8</v>
      </c>
      <c r="E29" s="40" t="s">
        <v>30</v>
      </c>
      <c r="F29" s="126">
        <v>22140</v>
      </c>
      <c r="G29" s="41">
        <v>22240</v>
      </c>
      <c r="H29" s="39">
        <v>45343</v>
      </c>
      <c r="I29" s="41">
        <v>250</v>
      </c>
      <c r="J29" s="85">
        <v>100</v>
      </c>
      <c r="K29" s="41">
        <f t="shared" si="8"/>
        <v>25000</v>
      </c>
      <c r="L29" s="42" t="s">
        <v>642</v>
      </c>
      <c r="M29" s="32"/>
      <c r="X29" s="29">
        <f t="shared" si="6"/>
        <v>1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>
        <v>45343</v>
      </c>
      <c r="D30" s="40" t="s">
        <v>8</v>
      </c>
      <c r="E30" s="40" t="s">
        <v>30</v>
      </c>
      <c r="F30" s="41">
        <v>22050</v>
      </c>
      <c r="G30" s="41">
        <v>22119</v>
      </c>
      <c r="H30" s="39">
        <v>45344</v>
      </c>
      <c r="I30" s="41">
        <v>250</v>
      </c>
      <c r="J30" s="85">
        <f>22119-22050</f>
        <v>69</v>
      </c>
      <c r="K30" s="41">
        <f>J30*I30</f>
        <v>17250</v>
      </c>
      <c r="L30" s="42" t="s">
        <v>646</v>
      </c>
      <c r="M30" s="32"/>
      <c r="X30" s="29">
        <f t="shared" si="6"/>
        <v>1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>
        <v>45348</v>
      </c>
      <c r="D31" s="40" t="s">
        <v>8</v>
      </c>
      <c r="E31" s="40" t="s">
        <v>30</v>
      </c>
      <c r="F31" s="41">
        <v>22150</v>
      </c>
      <c r="G31" s="41">
        <v>22229</v>
      </c>
      <c r="H31" s="39">
        <v>45349</v>
      </c>
      <c r="I31" s="41">
        <v>250</v>
      </c>
      <c r="J31" s="85">
        <f>22229-22150</f>
        <v>79</v>
      </c>
      <c r="K31" s="41">
        <f>J31*I31</f>
        <v>19750</v>
      </c>
      <c r="L31" s="42" t="s">
        <v>646</v>
      </c>
      <c r="M31" s="32"/>
      <c r="X31" s="29">
        <f t="shared" si="6"/>
        <v>1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>
        <v>45349</v>
      </c>
      <c r="D32" s="40" t="s">
        <v>8</v>
      </c>
      <c r="E32" s="40" t="s">
        <v>619</v>
      </c>
      <c r="F32" s="41">
        <v>46600</v>
      </c>
      <c r="G32" s="41">
        <v>46767</v>
      </c>
      <c r="H32" s="39">
        <v>45350</v>
      </c>
      <c r="I32" s="41">
        <v>75</v>
      </c>
      <c r="J32" s="85">
        <f>46767-46600</f>
        <v>167</v>
      </c>
      <c r="K32" s="41">
        <f t="shared" ref="K32:K34" si="10">J32*I32</f>
        <v>12525</v>
      </c>
      <c r="L32" s="42" t="s">
        <v>646</v>
      </c>
      <c r="M32" s="32"/>
      <c r="X32" s="29">
        <f t="shared" si="6"/>
        <v>1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190825</v>
      </c>
      <c r="L35" s="86"/>
      <c r="M35" s="32"/>
      <c r="X35" s="29">
        <f>SUM(X24:X34)</f>
        <v>8</v>
      </c>
      <c r="Y35" s="29">
        <f>SUM(Y24:Y34)</f>
        <v>1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45323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45327</v>
      </c>
      <c r="D43" s="40" t="s">
        <v>8</v>
      </c>
      <c r="E43" s="40" t="s">
        <v>1058</v>
      </c>
      <c r="F43" s="126">
        <v>120</v>
      </c>
      <c r="G43" s="126">
        <v>60</v>
      </c>
      <c r="H43" s="39">
        <v>45327</v>
      </c>
      <c r="I43" s="41">
        <v>250</v>
      </c>
      <c r="J43" s="126">
        <v>-60</v>
      </c>
      <c r="K43" s="41">
        <f>J43*I43</f>
        <v>-15000</v>
      </c>
      <c r="L43" s="37" t="s">
        <v>197</v>
      </c>
      <c r="M43" s="32"/>
      <c r="X43" s="29">
        <f t="shared" ref="X43:X56" si="11">IF($K43&gt;0,1,0)</f>
        <v>0</v>
      </c>
      <c r="Y43" s="29">
        <f t="shared" ref="Y43:Y56" si="12">IF($K43&lt;0,1,0)</f>
        <v>1</v>
      </c>
    </row>
    <row r="44" spans="1:25" x14ac:dyDescent="0.3">
      <c r="A44" s="31"/>
      <c r="B44" s="119">
        <v>2</v>
      </c>
      <c r="C44" s="39">
        <v>45329</v>
      </c>
      <c r="D44" s="40" t="s">
        <v>8</v>
      </c>
      <c r="E44" s="40" t="s">
        <v>1059</v>
      </c>
      <c r="F44" s="126">
        <v>260</v>
      </c>
      <c r="G44" s="126">
        <v>277</v>
      </c>
      <c r="H44" s="39">
        <v>45330</v>
      </c>
      <c r="I44" s="41">
        <v>200</v>
      </c>
      <c r="J44" s="126">
        <f>277-260</f>
        <v>17</v>
      </c>
      <c r="K44" s="41">
        <f t="shared" ref="K44:K50" si="13">J44*I44</f>
        <v>3400</v>
      </c>
      <c r="L44" s="124" t="s">
        <v>646</v>
      </c>
      <c r="M44" s="32"/>
      <c r="X44" s="29">
        <f t="shared" si="11"/>
        <v>1</v>
      </c>
      <c r="Y44" s="29">
        <f t="shared" si="12"/>
        <v>0</v>
      </c>
    </row>
    <row r="45" spans="1:25" x14ac:dyDescent="0.3">
      <c r="A45" s="31"/>
      <c r="B45" s="38">
        <v>3</v>
      </c>
      <c r="C45" s="39">
        <v>45334</v>
      </c>
      <c r="D45" s="40" t="s">
        <v>8</v>
      </c>
      <c r="E45" s="40" t="s">
        <v>1060</v>
      </c>
      <c r="F45" s="126">
        <v>180</v>
      </c>
      <c r="G45" s="126">
        <v>500</v>
      </c>
      <c r="H45" s="39">
        <v>45335</v>
      </c>
      <c r="I45" s="41">
        <v>75</v>
      </c>
      <c r="J45" s="126">
        <v>320</v>
      </c>
      <c r="K45" s="41">
        <f t="shared" si="13"/>
        <v>24000</v>
      </c>
      <c r="L45" s="42" t="s">
        <v>647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4" si="14">B45+1</f>
        <v>4</v>
      </c>
      <c r="C46" s="39">
        <v>45337</v>
      </c>
      <c r="D46" s="40" t="s">
        <v>8</v>
      </c>
      <c r="E46" s="40" t="s">
        <v>1061</v>
      </c>
      <c r="F46" s="126">
        <v>3.5</v>
      </c>
      <c r="G46" s="126">
        <v>6.5</v>
      </c>
      <c r="H46" s="39">
        <v>45338</v>
      </c>
      <c r="I46" s="41">
        <v>8000</v>
      </c>
      <c r="J46" s="126">
        <v>3</v>
      </c>
      <c r="K46" s="41">
        <f t="shared" si="13"/>
        <v>24000</v>
      </c>
      <c r="L46" s="42" t="s">
        <v>651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45337</v>
      </c>
      <c r="D47" s="40" t="s">
        <v>8</v>
      </c>
      <c r="E47" s="40" t="s">
        <v>1062</v>
      </c>
      <c r="F47" s="126">
        <v>80</v>
      </c>
      <c r="G47" s="126">
        <v>120</v>
      </c>
      <c r="H47" s="39">
        <v>45341</v>
      </c>
      <c r="I47" s="41">
        <v>175</v>
      </c>
      <c r="J47" s="126">
        <f>120-80</f>
        <v>40</v>
      </c>
      <c r="K47" s="41">
        <f t="shared" si="13"/>
        <v>7000</v>
      </c>
      <c r="L47" s="42" t="s">
        <v>651</v>
      </c>
      <c r="M47" s="32"/>
      <c r="X47" s="29">
        <f t="shared" si="11"/>
        <v>1</v>
      </c>
      <c r="Y47" s="29">
        <f t="shared" si="12"/>
        <v>0</v>
      </c>
    </row>
    <row r="48" spans="1:25" x14ac:dyDescent="0.3">
      <c r="A48" s="31"/>
      <c r="B48" s="38">
        <f t="shared" si="14"/>
        <v>6</v>
      </c>
      <c r="C48" s="39">
        <v>45338</v>
      </c>
      <c r="D48" s="40" t="s">
        <v>8</v>
      </c>
      <c r="E48" s="40" t="s">
        <v>1063</v>
      </c>
      <c r="F48" s="126">
        <v>6.5</v>
      </c>
      <c r="G48" s="126">
        <v>11.5</v>
      </c>
      <c r="H48" s="39">
        <v>45342</v>
      </c>
      <c r="I48" s="126">
        <v>3600</v>
      </c>
      <c r="J48" s="126">
        <f>11.5-6.5</f>
        <v>5</v>
      </c>
      <c r="K48" s="41">
        <f t="shared" si="13"/>
        <v>18000</v>
      </c>
      <c r="L48" s="42" t="s">
        <v>647</v>
      </c>
      <c r="M48" s="32"/>
      <c r="X48" s="29">
        <f t="shared" si="11"/>
        <v>1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>
        <v>45341</v>
      </c>
      <c r="D49" s="40" t="s">
        <v>8</v>
      </c>
      <c r="E49" s="40" t="s">
        <v>1064</v>
      </c>
      <c r="F49" s="126">
        <v>180</v>
      </c>
      <c r="G49" s="126">
        <v>140</v>
      </c>
      <c r="H49" s="39">
        <v>45341</v>
      </c>
      <c r="I49" s="41">
        <v>150</v>
      </c>
      <c r="J49" s="130">
        <v>-40</v>
      </c>
      <c r="K49" s="41">
        <f t="shared" si="13"/>
        <v>-6000</v>
      </c>
      <c r="L49" s="42" t="s">
        <v>197</v>
      </c>
      <c r="M49" s="32"/>
      <c r="X49" s="29">
        <f t="shared" si="11"/>
        <v>0</v>
      </c>
      <c r="Y49" s="29">
        <f t="shared" si="12"/>
        <v>1</v>
      </c>
    </row>
    <row r="50" spans="1:25" x14ac:dyDescent="0.3">
      <c r="A50" s="31"/>
      <c r="B50" s="38">
        <f t="shared" si="14"/>
        <v>8</v>
      </c>
      <c r="C50" s="39">
        <v>45341</v>
      </c>
      <c r="D50" s="40" t="s">
        <v>8</v>
      </c>
      <c r="E50" s="40" t="s">
        <v>1066</v>
      </c>
      <c r="F50" s="126">
        <v>180</v>
      </c>
      <c r="G50" s="126">
        <v>400</v>
      </c>
      <c r="H50" s="39">
        <v>45343</v>
      </c>
      <c r="I50" s="41">
        <v>75</v>
      </c>
      <c r="J50" s="130">
        <v>220</v>
      </c>
      <c r="K50" s="41">
        <f t="shared" si="13"/>
        <v>16500</v>
      </c>
      <c r="L50" s="42" t="s">
        <v>651</v>
      </c>
      <c r="M50" s="32"/>
      <c r="X50" s="29">
        <f t="shared" si="11"/>
        <v>1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>
        <v>45342</v>
      </c>
      <c r="D51" s="40" t="s">
        <v>8</v>
      </c>
      <c r="E51" s="40" t="s">
        <v>1067</v>
      </c>
      <c r="F51" s="126">
        <v>90</v>
      </c>
      <c r="G51" s="126">
        <v>150</v>
      </c>
      <c r="H51" s="39">
        <v>45343</v>
      </c>
      <c r="I51" s="41">
        <v>250</v>
      </c>
      <c r="J51" s="130">
        <f>150-90</f>
        <v>60</v>
      </c>
      <c r="K51" s="85">
        <f t="shared" ref="K51:K56" si="15">I51*J51</f>
        <v>15000</v>
      </c>
      <c r="L51" s="42" t="s">
        <v>642</v>
      </c>
      <c r="M51" s="32"/>
      <c r="X51" s="29">
        <f t="shared" si="11"/>
        <v>1</v>
      </c>
      <c r="Y51" s="29">
        <f t="shared" si="12"/>
        <v>0</v>
      </c>
    </row>
    <row r="52" spans="1:25" x14ac:dyDescent="0.3">
      <c r="A52" s="31"/>
      <c r="B52" s="38">
        <f t="shared" si="14"/>
        <v>10</v>
      </c>
      <c r="C52" s="39">
        <v>45343</v>
      </c>
      <c r="D52" s="40" t="s">
        <v>8</v>
      </c>
      <c r="E52" s="40" t="s">
        <v>1067</v>
      </c>
      <c r="F52" s="126">
        <v>90</v>
      </c>
      <c r="G52" s="126">
        <v>130</v>
      </c>
      <c r="H52" s="39">
        <v>45343</v>
      </c>
      <c r="I52" s="41">
        <v>250</v>
      </c>
      <c r="J52" s="130">
        <f>130-90</f>
        <v>40</v>
      </c>
      <c r="K52" s="85">
        <f t="shared" si="15"/>
        <v>10000</v>
      </c>
      <c r="L52" s="42" t="s">
        <v>646</v>
      </c>
      <c r="M52" s="32"/>
      <c r="X52" s="29">
        <f t="shared" si="11"/>
        <v>1</v>
      </c>
      <c r="Y52" s="29">
        <f t="shared" si="12"/>
        <v>0</v>
      </c>
    </row>
    <row r="53" spans="1:25" x14ac:dyDescent="0.3">
      <c r="A53" s="31"/>
      <c r="B53" s="38">
        <f t="shared" si="14"/>
        <v>11</v>
      </c>
      <c r="C53" s="39">
        <v>45344</v>
      </c>
      <c r="D53" s="40" t="s">
        <v>8</v>
      </c>
      <c r="E53" s="40" t="s">
        <v>1068</v>
      </c>
      <c r="F53" s="126">
        <v>180</v>
      </c>
      <c r="G53" s="126">
        <v>300</v>
      </c>
      <c r="H53" s="39">
        <v>45348</v>
      </c>
      <c r="I53" s="41">
        <v>200</v>
      </c>
      <c r="J53" s="130">
        <f>300-180</f>
        <v>120</v>
      </c>
      <c r="K53" s="85">
        <f t="shared" si="15"/>
        <v>24000</v>
      </c>
      <c r="L53" s="42" t="s">
        <v>647</v>
      </c>
      <c r="M53" s="32"/>
      <c r="X53" s="29">
        <f t="shared" si="11"/>
        <v>1</v>
      </c>
      <c r="Y53" s="29">
        <f t="shared" si="12"/>
        <v>0</v>
      </c>
    </row>
    <row r="54" spans="1:25" x14ac:dyDescent="0.3">
      <c r="A54" s="31"/>
      <c r="B54" s="38">
        <f t="shared" si="14"/>
        <v>12</v>
      </c>
      <c r="C54" s="39">
        <v>45348</v>
      </c>
      <c r="D54" s="40" t="s">
        <v>8</v>
      </c>
      <c r="E54" s="40" t="s">
        <v>917</v>
      </c>
      <c r="F54" s="126">
        <v>60</v>
      </c>
      <c r="G54" s="126">
        <v>78</v>
      </c>
      <c r="H54" s="39">
        <v>45348</v>
      </c>
      <c r="I54" s="41">
        <v>600</v>
      </c>
      <c r="J54" s="130">
        <v>18</v>
      </c>
      <c r="K54" s="85">
        <f t="shared" si="15"/>
        <v>10800</v>
      </c>
      <c r="L54" s="42" t="s">
        <v>646</v>
      </c>
      <c r="M54" s="32"/>
      <c r="X54" s="29">
        <f t="shared" si="11"/>
        <v>1</v>
      </c>
      <c r="Y54" s="29">
        <f t="shared" si="12"/>
        <v>0</v>
      </c>
    </row>
    <row r="55" spans="1:25" x14ac:dyDescent="0.3">
      <c r="A55" s="31"/>
      <c r="B55" s="38">
        <v>13</v>
      </c>
      <c r="C55" s="39">
        <v>45349</v>
      </c>
      <c r="D55" s="40" t="s">
        <v>8</v>
      </c>
      <c r="E55" s="40" t="s">
        <v>1069</v>
      </c>
      <c r="F55" s="126">
        <v>90</v>
      </c>
      <c r="G55" s="126">
        <v>122</v>
      </c>
      <c r="H55" s="39">
        <v>45349</v>
      </c>
      <c r="I55" s="41">
        <v>250</v>
      </c>
      <c r="J55" s="130">
        <f>122-90</f>
        <v>32</v>
      </c>
      <c r="K55" s="85">
        <f t="shared" si="15"/>
        <v>8000</v>
      </c>
      <c r="L55" s="42" t="s">
        <v>646</v>
      </c>
      <c r="M55" s="32"/>
    </row>
    <row r="56" spans="1:25" ht="15" thickBot="1" x14ac:dyDescent="0.35">
      <c r="A56" s="31"/>
      <c r="B56" s="38">
        <v>14</v>
      </c>
      <c r="C56" s="39">
        <v>45350</v>
      </c>
      <c r="D56" s="40" t="s">
        <v>8</v>
      </c>
      <c r="E56" s="40" t="s">
        <v>1070</v>
      </c>
      <c r="F56" s="126">
        <v>180</v>
      </c>
      <c r="G56" s="126">
        <v>407</v>
      </c>
      <c r="H56" s="39">
        <v>45351</v>
      </c>
      <c r="I56" s="41">
        <v>75</v>
      </c>
      <c r="J56" s="130">
        <f>407-180</f>
        <v>227</v>
      </c>
      <c r="K56" s="85">
        <f t="shared" si="15"/>
        <v>17025</v>
      </c>
      <c r="L56" s="42" t="s">
        <v>651</v>
      </c>
      <c r="M56" s="32"/>
      <c r="X56" s="29">
        <f t="shared" si="11"/>
        <v>1</v>
      </c>
      <c r="Y56" s="29">
        <f t="shared" si="12"/>
        <v>0</v>
      </c>
    </row>
    <row r="57" spans="1:25" ht="24" thickBot="1" x14ac:dyDescent="0.5">
      <c r="A57" s="31"/>
      <c r="B57" s="159" t="s">
        <v>577</v>
      </c>
      <c r="C57" s="160"/>
      <c r="D57" s="160"/>
      <c r="E57" s="160"/>
      <c r="F57" s="160"/>
      <c r="G57" s="160"/>
      <c r="H57" s="160"/>
      <c r="I57" s="161"/>
      <c r="J57" s="44" t="s">
        <v>578</v>
      </c>
      <c r="K57" s="87">
        <f>SUM(K43:K56)</f>
        <v>156725</v>
      </c>
      <c r="L57" s="86"/>
      <c r="M57" s="32"/>
      <c r="X57" s="29">
        <f>SUM(X43:X56)</f>
        <v>11</v>
      </c>
      <c r="Y57" s="29">
        <f>SUM(Y43:Y56)</f>
        <v>2</v>
      </c>
    </row>
    <row r="58" spans="1:25" ht="30" customHeight="1" thickBot="1" x14ac:dyDescent="0.3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7:I57"/>
  </mergeCells>
  <hyperlinks>
    <hyperlink ref="B16" r:id="rId1" xr:uid="{EAD86000-D105-4FD8-8FBB-D22F2AA9729C}"/>
    <hyperlink ref="O1" location="'Home Page'!A1" display="Back" xr:uid="{585FAFF0-1DCA-42EA-81F8-CFE152DB243F}"/>
    <hyperlink ref="B57" r:id="rId2" xr:uid="{7DDCEEA2-4F19-49EE-8E10-B7CBF92037E7}"/>
    <hyperlink ref="O4:O5" location="'FEB 2024'!A1" display="PREMIUM STOCK FUTURE" xr:uid="{2740E564-7D5F-4ADB-AF12-3B1D8DCB3CCC}"/>
    <hyperlink ref="O6:O7" location="'FEB 2024'!A1" display="PREMIUM NIFTY FUTURE" xr:uid="{A18A385A-0B76-408F-AE8B-5D631B306710}"/>
    <hyperlink ref="O8:O9" location="'FEB 2024'!A1" display="PREMIUM OPTOIN" xr:uid="{02A2B8B9-E026-4D50-A45C-48429A69D4B2}"/>
  </hyperlinks>
  <pageMargins left="0" right="0" top="0" bottom="0" header="0" footer="0"/>
  <pageSetup paperSize="9" orientation="portrait" r:id="rId3"/>
  <drawing r:id="rId4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AB2F-0E3C-4396-B581-0B97670B9134}">
  <dimension ref="A1:Y58"/>
  <sheetViews>
    <sheetView topLeftCell="A7" workbookViewId="0">
      <selection activeCell="L48" sqref="L48"/>
    </sheetView>
  </sheetViews>
  <sheetFormatPr defaultColWidth="9.109375" defaultRowHeight="14.4" x14ac:dyDescent="0.3"/>
  <cols>
    <col min="1" max="1" width="4.44140625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0.109375" style="29" customWidth="1"/>
    <col min="6" max="6" width="8.88671875" style="29" customWidth="1"/>
    <col min="7" max="7" width="8" style="29" customWidth="1"/>
    <col min="8" max="8" width="11.6640625" style="29" customWidth="1"/>
    <col min="9" max="9" width="10.44140625" style="29" customWidth="1"/>
    <col min="10" max="10" width="8.88671875" style="29" customWidth="1"/>
    <col min="11" max="11" width="10.44140625" style="29" customWidth="1"/>
    <col min="12" max="12" width="12.5546875" style="29" customWidth="1"/>
    <col min="13" max="13" width="7" style="29" customWidth="1"/>
    <col min="14" max="14" width="4.5546875" style="29" customWidth="1"/>
    <col min="15" max="15" width="16.6640625" style="29" customWidth="1"/>
    <col min="16" max="19" width="9.109375" style="29"/>
    <col min="20" max="20" width="10.6640625" style="29" bestFit="1" customWidth="1"/>
    <col min="21" max="22" width="9.109375" style="29"/>
    <col min="23" max="23" width="0" style="29" hidden="1" customWidth="1"/>
    <col min="24" max="25" width="9.109375" style="29" hidden="1" customWidth="1"/>
    <col min="26" max="26" width="0" style="29" hidden="1" customWidth="1"/>
    <col min="27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33" t="s">
        <v>569</v>
      </c>
      <c r="Q2" s="235" t="s">
        <v>570</v>
      </c>
      <c r="R2" s="237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45352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34"/>
      <c r="Q3" s="236"/>
      <c r="R3" s="238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2</v>
      </c>
      <c r="Q4" s="221">
        <f>X16</f>
        <v>2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45355</v>
      </c>
      <c r="D6" s="35" t="s">
        <v>8</v>
      </c>
      <c r="E6" s="35" t="s">
        <v>67</v>
      </c>
      <c r="F6" s="126">
        <v>3020</v>
      </c>
      <c r="G6" s="126">
        <v>3035</v>
      </c>
      <c r="H6" s="34">
        <v>45355</v>
      </c>
      <c r="I6" s="36">
        <v>500</v>
      </c>
      <c r="J6" s="129">
        <f>3035-3020</f>
        <v>15</v>
      </c>
      <c r="K6" s="41">
        <f>J6*I6</f>
        <v>7500</v>
      </c>
      <c r="L6" s="42" t="s">
        <v>646</v>
      </c>
      <c r="M6" s="32"/>
      <c r="O6" s="231" t="s">
        <v>599</v>
      </c>
      <c r="P6" s="199">
        <f>COUNT(C24:C33)</f>
        <v>5</v>
      </c>
      <c r="Q6" s="221">
        <f>X35</f>
        <v>5</v>
      </c>
      <c r="R6" s="200">
        <f>Y35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45370</v>
      </c>
      <c r="D7" s="40" t="s">
        <v>8</v>
      </c>
      <c r="E7" s="40" t="s">
        <v>845</v>
      </c>
      <c r="F7" s="126">
        <v>1750</v>
      </c>
      <c r="G7" s="126">
        <v>1790</v>
      </c>
      <c r="H7" s="39">
        <v>45372</v>
      </c>
      <c r="I7" s="41">
        <v>800</v>
      </c>
      <c r="J7" s="130">
        <v>40</v>
      </c>
      <c r="K7" s="41">
        <f t="shared" ref="K7:K14" si="1">J7*I7</f>
        <v>32000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231" t="s">
        <v>600</v>
      </c>
      <c r="P8" s="199">
        <f>COUNT(C43:C56)</f>
        <v>5</v>
      </c>
      <c r="Q8" s="200">
        <f>X57</f>
        <v>3</v>
      </c>
      <c r="R8" s="200">
        <f>Y57</f>
        <v>2</v>
      </c>
      <c r="S8" s="201">
        <v>0</v>
      </c>
      <c r="T8" s="197">
        <f t="shared" ref="T8:T10" si="5">Q8/P8</f>
        <v>0.6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>B9+1</f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12</v>
      </c>
      <c r="Q10" s="173">
        <f>SUM(Q4:Q9)</f>
        <v>10</v>
      </c>
      <c r="R10" s="173">
        <f>SUM(R4:R9)</f>
        <v>2</v>
      </c>
      <c r="S10" s="193">
        <f>SUM(S4:S9)</f>
        <v>0</v>
      </c>
      <c r="T10" s="195">
        <f t="shared" si="5"/>
        <v>0.83333333333333337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26"/>
      <c r="G11" s="126"/>
      <c r="H11" s="39"/>
      <c r="I11" s="41"/>
      <c r="J11" s="130"/>
      <c r="K11" s="41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26"/>
      <c r="G12" s="126"/>
      <c r="H12" s="39"/>
      <c r="I12" s="41"/>
      <c r="J12" s="85"/>
      <c r="K12" s="41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0.83333333333333337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26"/>
      <c r="G13" s="126"/>
      <c r="H13" s="39"/>
      <c r="I13" s="41"/>
      <c r="J13" s="85"/>
      <c r="K13" s="41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>B13+1</f>
        <v>9</v>
      </c>
      <c r="C14" s="39"/>
      <c r="D14" s="40"/>
      <c r="E14" s="40"/>
      <c r="F14" s="41"/>
      <c r="G14" s="41"/>
      <c r="H14" s="39"/>
      <c r="I14" s="41"/>
      <c r="J14" s="85"/>
      <c r="K14" s="41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39500</v>
      </c>
      <c r="L16" s="86"/>
      <c r="M16" s="32"/>
      <c r="X16" s="29">
        <f>SUM(X6:X15)</f>
        <v>2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45352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45355</v>
      </c>
      <c r="D24" s="40" t="s">
        <v>8</v>
      </c>
      <c r="E24" s="35" t="s">
        <v>619</v>
      </c>
      <c r="F24" s="36">
        <v>47600</v>
      </c>
      <c r="G24" s="36">
        <v>48200</v>
      </c>
      <c r="H24" s="39">
        <v>45357</v>
      </c>
      <c r="I24" s="41">
        <v>75</v>
      </c>
      <c r="J24" s="41">
        <v>600</v>
      </c>
      <c r="K24" s="41">
        <f>J24*I24</f>
        <v>45000</v>
      </c>
      <c r="L24" s="37" t="s">
        <v>647</v>
      </c>
      <c r="M24" s="32"/>
      <c r="X24" s="29">
        <f t="shared" ref="X24:X34" si="6">IF($K24&gt;0,1,0)</f>
        <v>1</v>
      </c>
      <c r="Y24" s="29">
        <f t="shared" ref="Y24:Y34" si="7">IF($K24&lt;0,1,0)</f>
        <v>0</v>
      </c>
    </row>
    <row r="25" spans="1:25" x14ac:dyDescent="0.3">
      <c r="A25" s="31"/>
      <c r="B25" s="38">
        <f>B24+1</f>
        <v>2</v>
      </c>
      <c r="C25" s="39">
        <v>45357</v>
      </c>
      <c r="D25" s="40" t="s">
        <v>8</v>
      </c>
      <c r="E25" s="40" t="s">
        <v>30</v>
      </c>
      <c r="F25" s="41">
        <v>22430</v>
      </c>
      <c r="G25" s="41">
        <v>22603</v>
      </c>
      <c r="H25" s="39">
        <v>45357</v>
      </c>
      <c r="I25" s="41">
        <v>250</v>
      </c>
      <c r="J25" s="41">
        <f>22603-22430</f>
        <v>173</v>
      </c>
      <c r="K25" s="41">
        <f t="shared" ref="K25:K29" si="8">J25*I25</f>
        <v>43250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4" si="9">B25+1</f>
        <v>3</v>
      </c>
      <c r="C26" s="39">
        <v>45370</v>
      </c>
      <c r="D26" s="40" t="s">
        <v>13</v>
      </c>
      <c r="E26" s="40" t="s">
        <v>619</v>
      </c>
      <c r="F26" s="41">
        <v>46550</v>
      </c>
      <c r="G26" s="41">
        <v>46002</v>
      </c>
      <c r="H26" s="39">
        <v>45371</v>
      </c>
      <c r="I26" s="41">
        <v>75</v>
      </c>
      <c r="J26" s="42">
        <v>548</v>
      </c>
      <c r="K26" s="42">
        <f t="shared" si="8"/>
        <v>41100</v>
      </c>
      <c r="L26" s="42" t="s">
        <v>651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45371</v>
      </c>
      <c r="D27" s="40" t="s">
        <v>13</v>
      </c>
      <c r="E27" s="40" t="s">
        <v>30</v>
      </c>
      <c r="F27" s="41">
        <v>21950</v>
      </c>
      <c r="G27" s="41">
        <v>21900</v>
      </c>
      <c r="H27" s="39">
        <v>45371</v>
      </c>
      <c r="I27" s="41">
        <v>250</v>
      </c>
      <c r="J27" s="85">
        <v>50</v>
      </c>
      <c r="K27" s="41">
        <f t="shared" si="8"/>
        <v>12500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45372</v>
      </c>
      <c r="D28" s="40" t="s">
        <v>8</v>
      </c>
      <c r="E28" s="40" t="s">
        <v>30</v>
      </c>
      <c r="F28" s="41">
        <v>22060</v>
      </c>
      <c r="G28" s="41">
        <v>22112</v>
      </c>
      <c r="H28" s="39">
        <v>45372</v>
      </c>
      <c r="I28" s="41">
        <v>250</v>
      </c>
      <c r="J28" s="85">
        <f>22112-22060</f>
        <v>52</v>
      </c>
      <c r="K28" s="41">
        <f t="shared" si="8"/>
        <v>13000</v>
      </c>
      <c r="L28" s="42" t="s">
        <v>646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126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41">
        <f>J31*I31</f>
        <v>0</v>
      </c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39"/>
      <c r="I32" s="41"/>
      <c r="J32" s="85"/>
      <c r="K32" s="41">
        <f t="shared" ref="K32:K34" si="10">J32*I32</f>
        <v>0</v>
      </c>
      <c r="L32" s="42"/>
      <c r="M32" s="32"/>
      <c r="X32" s="29">
        <f t="shared" si="6"/>
        <v>0</v>
      </c>
      <c r="Y32" s="29">
        <f t="shared" si="7"/>
        <v>0</v>
      </c>
    </row>
    <row r="33" spans="1:25" x14ac:dyDescent="0.3">
      <c r="A33" s="31"/>
      <c r="B33" s="38">
        <f t="shared" si="9"/>
        <v>10</v>
      </c>
      <c r="C33" s="39"/>
      <c r="D33" s="40"/>
      <c r="E33" s="40"/>
      <c r="F33" s="41"/>
      <c r="G33" s="41"/>
      <c r="H33" s="39"/>
      <c r="I33" s="41"/>
      <c r="J33" s="85"/>
      <c r="K33" s="41">
        <f t="shared" si="10"/>
        <v>0</v>
      </c>
      <c r="L33" s="42"/>
      <c r="M33" s="32"/>
    </row>
    <row r="34" spans="1:25" ht="15" thickBot="1" x14ac:dyDescent="0.35">
      <c r="A34" s="31"/>
      <c r="B34" s="38">
        <f t="shared" si="9"/>
        <v>11</v>
      </c>
      <c r="C34" s="39"/>
      <c r="D34" s="40"/>
      <c r="E34" s="40"/>
      <c r="F34" s="41"/>
      <c r="G34" s="41"/>
      <c r="H34" s="39"/>
      <c r="I34" s="41"/>
      <c r="J34" s="85"/>
      <c r="K34" s="41">
        <f t="shared" si="10"/>
        <v>0</v>
      </c>
      <c r="L34" s="42"/>
      <c r="M34" s="32"/>
      <c r="X34" s="29">
        <f t="shared" si="6"/>
        <v>0</v>
      </c>
      <c r="Y34" s="29">
        <f t="shared" si="7"/>
        <v>0</v>
      </c>
    </row>
    <row r="35" spans="1:25" ht="24" thickBot="1" x14ac:dyDescent="0.5">
      <c r="A35" s="31"/>
      <c r="B35" s="159"/>
      <c r="C35" s="160"/>
      <c r="D35" s="160"/>
      <c r="E35" s="160"/>
      <c r="F35" s="160"/>
      <c r="G35" s="160"/>
      <c r="H35" s="160"/>
      <c r="I35" s="161"/>
      <c r="J35" s="44" t="s">
        <v>578</v>
      </c>
      <c r="K35" s="87">
        <f>SUM(K24:K34)</f>
        <v>154850</v>
      </c>
      <c r="L35" s="86"/>
      <c r="M35" s="32"/>
      <c r="X35" s="29">
        <f>SUM(X24:X34)</f>
        <v>5</v>
      </c>
      <c r="Y35" s="29">
        <f>SUM(Y24:Y34)</f>
        <v>0</v>
      </c>
    </row>
    <row r="36" spans="1:25" ht="30" customHeight="1" thickBot="1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25" ht="15" thickBot="1" x14ac:dyDescent="0.35"/>
    <row r="38" spans="1:25" ht="30" customHeight="1" thickBot="1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25" ht="25.2" thickBot="1" x14ac:dyDescent="0.35">
      <c r="A39" s="31" t="s">
        <v>0</v>
      </c>
      <c r="B39" s="162" t="s">
        <v>567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32"/>
    </row>
    <row r="40" spans="1:25" ht="16.2" thickBot="1" x14ac:dyDescent="0.35">
      <c r="A40" s="31"/>
      <c r="B40" s="165">
        <v>45352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2"/>
    </row>
    <row r="41" spans="1:25" ht="16.2" thickBot="1" x14ac:dyDescent="0.35">
      <c r="A41" s="31"/>
      <c r="B41" s="168" t="s">
        <v>579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32"/>
      <c r="N41" s="43"/>
    </row>
    <row r="42" spans="1:25" ht="27" thickBot="1" x14ac:dyDescent="0.35">
      <c r="A42" s="48"/>
      <c r="B42" s="91" t="s">
        <v>574</v>
      </c>
      <c r="C42" s="131" t="s">
        <v>1</v>
      </c>
      <c r="D42" s="132" t="s">
        <v>601</v>
      </c>
      <c r="E42" s="132" t="s">
        <v>3</v>
      </c>
      <c r="F42" s="116" t="s">
        <v>4</v>
      </c>
      <c r="G42" s="116" t="s">
        <v>5</v>
      </c>
      <c r="H42" s="116" t="s">
        <v>528</v>
      </c>
      <c r="I42" s="116" t="s">
        <v>6</v>
      </c>
      <c r="J42" s="114" t="s">
        <v>381</v>
      </c>
      <c r="K42" s="114" t="s">
        <v>10</v>
      </c>
      <c r="L42" s="96" t="s">
        <v>200</v>
      </c>
      <c r="M42" s="49"/>
      <c r="X42" s="29" t="s">
        <v>570</v>
      </c>
      <c r="Y42" s="29" t="s">
        <v>571</v>
      </c>
    </row>
    <row r="43" spans="1:25" x14ac:dyDescent="0.3">
      <c r="A43" s="31"/>
      <c r="B43" s="33">
        <v>1</v>
      </c>
      <c r="C43" s="39">
        <v>45355</v>
      </c>
      <c r="D43" s="40" t="s">
        <v>8</v>
      </c>
      <c r="E43" s="40" t="s">
        <v>1071</v>
      </c>
      <c r="F43" s="126">
        <v>250</v>
      </c>
      <c r="G43" s="126">
        <v>434</v>
      </c>
      <c r="H43" s="39">
        <v>45356</v>
      </c>
      <c r="I43" s="41">
        <f>434-250</f>
        <v>184</v>
      </c>
      <c r="J43" s="126">
        <v>75</v>
      </c>
      <c r="K43" s="41">
        <f>J43*I43</f>
        <v>13800</v>
      </c>
      <c r="L43" s="37" t="s">
        <v>646</v>
      </c>
      <c r="M43" s="32"/>
      <c r="X43" s="29">
        <f t="shared" ref="X43:X56" si="11">IF($K43&gt;0,1,0)</f>
        <v>1</v>
      </c>
      <c r="Y43" s="29">
        <f t="shared" ref="Y43:Y56" si="12">IF($K43&lt;0,1,0)</f>
        <v>0</v>
      </c>
    </row>
    <row r="44" spans="1:25" x14ac:dyDescent="0.3">
      <c r="A44" s="31"/>
      <c r="B44" s="119">
        <v>2</v>
      </c>
      <c r="C44" s="39">
        <v>45355</v>
      </c>
      <c r="D44" s="40" t="s">
        <v>8</v>
      </c>
      <c r="E44" s="40" t="s">
        <v>1072</v>
      </c>
      <c r="F44" s="126">
        <v>18</v>
      </c>
      <c r="G44" s="126">
        <v>12</v>
      </c>
      <c r="H44" s="39">
        <v>45357</v>
      </c>
      <c r="I44" s="41">
        <v>-6</v>
      </c>
      <c r="J44" s="126">
        <v>1250</v>
      </c>
      <c r="K44" s="41">
        <f t="shared" ref="K44:K50" si="13">J44*I44</f>
        <v>-7500</v>
      </c>
      <c r="L44" s="124" t="s">
        <v>197</v>
      </c>
      <c r="M44" s="32"/>
      <c r="X44" s="29">
        <f t="shared" si="11"/>
        <v>0</v>
      </c>
      <c r="Y44" s="29">
        <f t="shared" si="12"/>
        <v>1</v>
      </c>
    </row>
    <row r="45" spans="1:25" x14ac:dyDescent="0.3">
      <c r="A45" s="31"/>
      <c r="B45" s="38">
        <v>3</v>
      </c>
      <c r="C45" s="39">
        <v>45370</v>
      </c>
      <c r="D45" s="40" t="s">
        <v>8</v>
      </c>
      <c r="E45" s="40" t="s">
        <v>1073</v>
      </c>
      <c r="F45" s="126">
        <v>120</v>
      </c>
      <c r="G45" s="126">
        <v>200</v>
      </c>
      <c r="H45" s="39">
        <v>45361</v>
      </c>
      <c r="I45" s="41">
        <f>200-120</f>
        <v>80</v>
      </c>
      <c r="J45" s="126">
        <v>200</v>
      </c>
      <c r="K45" s="41">
        <f t="shared" si="13"/>
        <v>16000</v>
      </c>
      <c r="L45" s="42" t="s">
        <v>651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ref="B46:B54" si="14">B45+1</f>
        <v>4</v>
      </c>
      <c r="C46" s="39">
        <v>45370</v>
      </c>
      <c r="D46" s="40" t="s">
        <v>8</v>
      </c>
      <c r="E46" s="40" t="s">
        <v>1074</v>
      </c>
      <c r="F46" s="126">
        <v>170</v>
      </c>
      <c r="G46" s="126">
        <v>236</v>
      </c>
      <c r="H46" s="39">
        <v>45371</v>
      </c>
      <c r="I46" s="41">
        <v>200</v>
      </c>
      <c r="J46" s="126">
        <f>236-170</f>
        <v>66</v>
      </c>
      <c r="K46" s="41">
        <f t="shared" si="13"/>
        <v>13200</v>
      </c>
      <c r="L46" s="42" t="s">
        <v>651</v>
      </c>
      <c r="M46" s="32"/>
      <c r="X46" s="29">
        <f t="shared" si="11"/>
        <v>1</v>
      </c>
      <c r="Y46" s="29">
        <f t="shared" si="12"/>
        <v>0</v>
      </c>
    </row>
    <row r="47" spans="1:25" x14ac:dyDescent="0.3">
      <c r="A47" s="31"/>
      <c r="B47" s="38">
        <f t="shared" si="14"/>
        <v>5</v>
      </c>
      <c r="C47" s="39">
        <v>45372</v>
      </c>
      <c r="D47" s="40" t="s">
        <v>8</v>
      </c>
      <c r="E47" s="40" t="s">
        <v>1075</v>
      </c>
      <c r="F47" s="126">
        <v>12</v>
      </c>
      <c r="G47" s="126">
        <v>4</v>
      </c>
      <c r="H47" s="39">
        <v>45372</v>
      </c>
      <c r="I47" s="41">
        <v>-8</v>
      </c>
      <c r="J47" s="126">
        <v>625</v>
      </c>
      <c r="K47" s="41">
        <f t="shared" si="13"/>
        <v>-5000</v>
      </c>
      <c r="L47" s="42" t="s">
        <v>197</v>
      </c>
      <c r="M47" s="32"/>
      <c r="X47" s="29">
        <f t="shared" si="11"/>
        <v>0</v>
      </c>
      <c r="Y47" s="29">
        <f t="shared" si="12"/>
        <v>1</v>
      </c>
    </row>
    <row r="48" spans="1:25" x14ac:dyDescent="0.3">
      <c r="A48" s="31"/>
      <c r="B48" s="38">
        <f t="shared" si="14"/>
        <v>6</v>
      </c>
      <c r="C48" s="39"/>
      <c r="D48" s="40"/>
      <c r="E48" s="40"/>
      <c r="F48" s="126"/>
      <c r="G48" s="126"/>
      <c r="H48" s="39"/>
      <c r="I48" s="126"/>
      <c r="J48" s="126"/>
      <c r="K48" s="41">
        <f t="shared" si="13"/>
        <v>0</v>
      </c>
      <c r="L48" s="42"/>
      <c r="M48" s="32"/>
      <c r="X48" s="29">
        <f t="shared" si="11"/>
        <v>0</v>
      </c>
      <c r="Y48" s="29">
        <f t="shared" si="12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126"/>
      <c r="G49" s="126"/>
      <c r="H49" s="39"/>
      <c r="I49" s="41"/>
      <c r="J49" s="130"/>
      <c r="K49" s="41">
        <f t="shared" si="13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126"/>
      <c r="G50" s="126"/>
      <c r="H50" s="39"/>
      <c r="I50" s="41"/>
      <c r="J50" s="130"/>
      <c r="K50" s="41">
        <f t="shared" si="13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126"/>
      <c r="G51" s="126"/>
      <c r="H51" s="39"/>
      <c r="I51" s="41"/>
      <c r="J51" s="130"/>
      <c r="K51" s="85">
        <f t="shared" ref="K51:K56" si="15">I51*J51</f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x14ac:dyDescent="0.3">
      <c r="A52" s="31"/>
      <c r="B52" s="38">
        <f t="shared" si="14"/>
        <v>10</v>
      </c>
      <c r="C52" s="39"/>
      <c r="D52" s="40"/>
      <c r="E52" s="40"/>
      <c r="F52" s="126"/>
      <c r="G52" s="126"/>
      <c r="H52" s="39"/>
      <c r="I52" s="41"/>
      <c r="J52" s="130"/>
      <c r="K52" s="85">
        <f t="shared" si="15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x14ac:dyDescent="0.3">
      <c r="A53" s="31"/>
      <c r="B53" s="38">
        <f t="shared" si="14"/>
        <v>11</v>
      </c>
      <c r="C53" s="39"/>
      <c r="D53" s="40"/>
      <c r="E53" s="40"/>
      <c r="F53" s="126"/>
      <c r="G53" s="126"/>
      <c r="H53" s="39"/>
      <c r="I53" s="41"/>
      <c r="J53" s="130"/>
      <c r="K53" s="85">
        <f t="shared" si="15"/>
        <v>0</v>
      </c>
      <c r="L53" s="42"/>
      <c r="M53" s="32"/>
      <c r="X53" s="29">
        <f t="shared" si="11"/>
        <v>0</v>
      </c>
      <c r="Y53" s="29">
        <f t="shared" si="12"/>
        <v>0</v>
      </c>
    </row>
    <row r="54" spans="1:25" x14ac:dyDescent="0.3">
      <c r="A54" s="31"/>
      <c r="B54" s="38">
        <f t="shared" si="14"/>
        <v>12</v>
      </c>
      <c r="C54" s="39"/>
      <c r="D54" s="40"/>
      <c r="E54" s="40"/>
      <c r="F54" s="126"/>
      <c r="G54" s="126"/>
      <c r="H54" s="39"/>
      <c r="I54" s="41"/>
      <c r="J54" s="130"/>
      <c r="K54" s="85">
        <f t="shared" si="15"/>
        <v>0</v>
      </c>
      <c r="L54" s="42"/>
      <c r="M54" s="32"/>
      <c r="X54" s="29">
        <f t="shared" si="11"/>
        <v>0</v>
      </c>
      <c r="Y54" s="29">
        <f t="shared" si="12"/>
        <v>0</v>
      </c>
    </row>
    <row r="55" spans="1:25" x14ac:dyDescent="0.3">
      <c r="A55" s="31"/>
      <c r="B55" s="38">
        <v>13</v>
      </c>
      <c r="C55" s="39"/>
      <c r="D55" s="40"/>
      <c r="E55" s="40"/>
      <c r="F55" s="126"/>
      <c r="G55" s="126"/>
      <c r="H55" s="39"/>
      <c r="I55" s="41"/>
      <c r="J55" s="130"/>
      <c r="K55" s="85">
        <f t="shared" si="15"/>
        <v>0</v>
      </c>
      <c r="L55" s="42"/>
      <c r="M55" s="32"/>
    </row>
    <row r="56" spans="1:25" ht="15" thickBot="1" x14ac:dyDescent="0.35">
      <c r="A56" s="31"/>
      <c r="B56" s="38">
        <v>14</v>
      </c>
      <c r="C56" s="39"/>
      <c r="D56" s="40"/>
      <c r="E56" s="40"/>
      <c r="F56" s="126"/>
      <c r="G56" s="126"/>
      <c r="H56" s="39"/>
      <c r="I56" s="41"/>
      <c r="J56" s="130"/>
      <c r="K56" s="85">
        <f t="shared" si="15"/>
        <v>0</v>
      </c>
      <c r="L56" s="42"/>
      <c r="M56" s="32"/>
      <c r="X56" s="29">
        <f t="shared" si="11"/>
        <v>0</v>
      </c>
      <c r="Y56" s="29">
        <f t="shared" si="12"/>
        <v>0</v>
      </c>
    </row>
    <row r="57" spans="1:25" ht="24" thickBot="1" x14ac:dyDescent="0.5">
      <c r="A57" s="31"/>
      <c r="B57" s="159" t="s">
        <v>577</v>
      </c>
      <c r="C57" s="160"/>
      <c r="D57" s="160"/>
      <c r="E57" s="160"/>
      <c r="F57" s="160"/>
      <c r="G57" s="160"/>
      <c r="H57" s="160"/>
      <c r="I57" s="161"/>
      <c r="J57" s="44" t="s">
        <v>578</v>
      </c>
      <c r="K57" s="87">
        <f>SUM(K43:K56)</f>
        <v>30500</v>
      </c>
      <c r="L57" s="86"/>
      <c r="M57" s="32"/>
      <c r="X57" s="29">
        <f>SUM(X43:X56)</f>
        <v>3</v>
      </c>
      <c r="Y57" s="29">
        <f>SUM(Y43:Y56)</f>
        <v>2</v>
      </c>
    </row>
    <row r="58" spans="1:25" ht="30" customHeight="1" thickBot="1" x14ac:dyDescent="0.3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5:I35"/>
    <mergeCell ref="B39:L39"/>
    <mergeCell ref="B40:L40"/>
    <mergeCell ref="B41:L41"/>
    <mergeCell ref="B57:I57"/>
  </mergeCells>
  <hyperlinks>
    <hyperlink ref="B16" r:id="rId1" xr:uid="{E2C486E6-27AC-4630-BC85-51C3F95734F3}"/>
    <hyperlink ref="O1" location="'Home Page'!A1" display="Back" xr:uid="{77B9C4FE-95C7-43A0-B611-571F6841E97E}"/>
    <hyperlink ref="B57" r:id="rId2" xr:uid="{16805765-E3BC-4881-B1CA-1D72525AC9E5}"/>
    <hyperlink ref="O4:O5" location="'MARCH 2024'!A1" display="PREMIUM STOCK FUTURE" xr:uid="{28DBB02A-B9B8-49D9-99EB-4DBC3A281312}"/>
    <hyperlink ref="O6:O7" location="'MARCH 2024'!A1" display="PREMIUM NIFTY FUTURE" xr:uid="{19E62FAE-BD98-4BBD-B11D-3372677C7589}"/>
    <hyperlink ref="O8:O9" location="'MARCH 2024'!A1" display="PREMIUM OPTOIN" xr:uid="{BB162F82-69AF-47B1-AAE4-5CA7BC2A156D}"/>
  </hyperlinks>
  <pageMargins left="0" right="0" top="0" bottom="0" header="0" footer="0"/>
  <pageSetup paperSize="9" orientation="portrait" r:id="rId3"/>
  <drawing r:id="rId4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Sheet109"/>
  <dimension ref="B1:U42"/>
  <sheetViews>
    <sheetView topLeftCell="A22" zoomScale="90" zoomScaleNormal="90" workbookViewId="0">
      <selection activeCell="O31" sqref="O31"/>
    </sheetView>
  </sheetViews>
  <sheetFormatPr defaultColWidth="9.109375" defaultRowHeight="14.4" x14ac:dyDescent="0.3"/>
  <cols>
    <col min="1" max="1" width="15.88671875" style="51" customWidth="1"/>
    <col min="2" max="2" width="6.44140625" style="50" customWidth="1"/>
    <col min="3" max="3" width="16" style="50" customWidth="1"/>
    <col min="4" max="4" width="1.44140625" style="50" customWidth="1"/>
    <col min="5" max="5" width="6.44140625" style="51" customWidth="1"/>
    <col min="6" max="6" width="16" style="51" customWidth="1"/>
    <col min="7" max="7" width="1.44140625" style="51" customWidth="1"/>
    <col min="8" max="8" width="6.44140625" style="51" customWidth="1"/>
    <col min="9" max="9" width="16" style="51" customWidth="1"/>
    <col min="10" max="10" width="1.44140625" style="51" customWidth="1"/>
    <col min="11" max="11" width="6.44140625" style="51" customWidth="1"/>
    <col min="12" max="12" width="16" style="51" customWidth="1"/>
    <col min="13" max="13" width="1.44140625" style="51" customWidth="1"/>
    <col min="14" max="14" width="6.44140625" style="51" customWidth="1"/>
    <col min="15" max="15" width="16" style="51" customWidth="1"/>
    <col min="16" max="16" width="1.33203125" style="51" customWidth="1"/>
    <col min="17" max="17" width="6.44140625" style="51" customWidth="1"/>
    <col min="18" max="18" width="16" style="51" customWidth="1"/>
    <col min="19" max="19" width="1.33203125" style="51" customWidth="1"/>
    <col min="20" max="20" width="6.44140625" style="51" customWidth="1"/>
    <col min="21" max="21" width="16" style="51" customWidth="1"/>
    <col min="22" max="16384" width="9.109375" style="51"/>
  </cols>
  <sheetData>
    <row r="1" spans="2:21" ht="15" thickBot="1" x14ac:dyDescent="0.35"/>
    <row r="2" spans="2:21" ht="14.25" customHeight="1" x14ac:dyDescent="0.3">
      <c r="B2" s="239"/>
      <c r="C2" s="240"/>
      <c r="D2" s="240"/>
      <c r="E2" s="240"/>
      <c r="F2" s="240"/>
      <c r="G2" s="241"/>
      <c r="H2" s="135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</row>
    <row r="3" spans="2:21" ht="14.25" customHeight="1" x14ac:dyDescent="0.3">
      <c r="B3" s="242"/>
      <c r="C3" s="243"/>
      <c r="D3" s="243"/>
      <c r="E3" s="243"/>
      <c r="F3" s="243"/>
      <c r="G3" s="244"/>
      <c r="H3" s="138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</row>
    <row r="4" spans="2:21" ht="14.25" customHeight="1" x14ac:dyDescent="0.3">
      <c r="B4" s="242"/>
      <c r="C4" s="243"/>
      <c r="D4" s="243"/>
      <c r="E4" s="243"/>
      <c r="F4" s="243"/>
      <c r="G4" s="244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</row>
    <row r="5" spans="2:21" ht="14.25" customHeight="1" x14ac:dyDescent="0.3">
      <c r="B5" s="242"/>
      <c r="C5" s="243"/>
      <c r="D5" s="243"/>
      <c r="E5" s="243"/>
      <c r="F5" s="243"/>
      <c r="G5" s="244"/>
      <c r="H5" s="138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14.25" customHeight="1" x14ac:dyDescent="0.3">
      <c r="B6" s="242"/>
      <c r="C6" s="243"/>
      <c r="D6" s="243"/>
      <c r="E6" s="243"/>
      <c r="F6" s="243"/>
      <c r="G6" s="244"/>
      <c r="H6" s="138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</row>
    <row r="7" spans="2:21" ht="14.25" customHeight="1" x14ac:dyDescent="0.3">
      <c r="B7" s="242"/>
      <c r="C7" s="243"/>
      <c r="D7" s="243"/>
      <c r="E7" s="243"/>
      <c r="F7" s="243"/>
      <c r="G7" s="244"/>
      <c r="H7" s="13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</row>
    <row r="8" spans="2:21" ht="14.25" customHeight="1" x14ac:dyDescent="0.3">
      <c r="B8" s="242"/>
      <c r="C8" s="243"/>
      <c r="D8" s="243"/>
      <c r="E8" s="243"/>
      <c r="F8" s="243"/>
      <c r="G8" s="244"/>
      <c r="H8" s="138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</row>
    <row r="9" spans="2:21" ht="14.25" customHeight="1" x14ac:dyDescent="0.3">
      <c r="B9" s="242"/>
      <c r="C9" s="243"/>
      <c r="D9" s="243"/>
      <c r="E9" s="243"/>
      <c r="F9" s="243"/>
      <c r="G9" s="244"/>
      <c r="H9" s="138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40"/>
    </row>
    <row r="10" spans="2:21" ht="14.25" customHeight="1" x14ac:dyDescent="0.3">
      <c r="B10" s="242"/>
      <c r="C10" s="243"/>
      <c r="D10" s="243"/>
      <c r="E10" s="243"/>
      <c r="F10" s="243"/>
      <c r="G10" s="244"/>
      <c r="H10" s="138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</row>
    <row r="11" spans="2:21" ht="14.25" customHeight="1" thickBot="1" x14ac:dyDescent="0.35">
      <c r="B11" s="245"/>
      <c r="C11" s="246"/>
      <c r="D11" s="246"/>
      <c r="E11" s="246"/>
      <c r="F11" s="246"/>
      <c r="G11" s="247"/>
      <c r="H11" s="141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3"/>
    </row>
    <row r="12" spans="2:21" ht="15" thickBot="1" x14ac:dyDescent="0.35"/>
    <row r="13" spans="2:21" ht="15" customHeight="1" x14ac:dyDescent="0.3">
      <c r="B13" s="250" t="s">
        <v>582</v>
      </c>
      <c r="C13" s="251"/>
      <c r="D13" s="251"/>
      <c r="E13" s="251"/>
      <c r="F13" s="251"/>
      <c r="G13" s="134"/>
      <c r="H13" s="248" t="s">
        <v>663</v>
      </c>
      <c r="I13" s="248"/>
      <c r="J13" s="248"/>
      <c r="K13" s="248"/>
      <c r="L13" s="248"/>
      <c r="M13" s="248"/>
      <c r="N13" s="248"/>
      <c r="O13" s="248"/>
      <c r="P13" s="134"/>
      <c r="Q13" s="251" t="s">
        <v>582</v>
      </c>
      <c r="R13" s="251"/>
      <c r="S13" s="251"/>
      <c r="T13" s="251"/>
      <c r="U13" s="254"/>
    </row>
    <row r="14" spans="2:21" ht="15.75" customHeight="1" thickBot="1" x14ac:dyDescent="0.35">
      <c r="B14" s="252"/>
      <c r="C14" s="253"/>
      <c r="D14" s="253"/>
      <c r="E14" s="253"/>
      <c r="F14" s="253"/>
      <c r="G14" s="144"/>
      <c r="H14" s="249"/>
      <c r="I14" s="249"/>
      <c r="J14" s="249"/>
      <c r="K14" s="249"/>
      <c r="L14" s="249"/>
      <c r="M14" s="249"/>
      <c r="N14" s="249"/>
      <c r="O14" s="249"/>
      <c r="P14" s="144"/>
      <c r="Q14" s="253"/>
      <c r="R14" s="253"/>
      <c r="S14" s="253"/>
      <c r="T14" s="253"/>
      <c r="U14" s="255"/>
    </row>
    <row r="15" spans="2:21" ht="15" thickBot="1" x14ac:dyDescent="0.35"/>
    <row r="16" spans="2:21" ht="15" thickBot="1" x14ac:dyDescent="0.35">
      <c r="B16" s="52" t="s">
        <v>583</v>
      </c>
      <c r="C16" s="53" t="s">
        <v>584</v>
      </c>
      <c r="E16" s="52" t="s">
        <v>583</v>
      </c>
      <c r="F16" s="53" t="s">
        <v>584</v>
      </c>
      <c r="G16" s="50"/>
      <c r="H16" s="52" t="s">
        <v>583</v>
      </c>
      <c r="I16" s="53" t="s">
        <v>584</v>
      </c>
      <c r="K16" s="52" t="s">
        <v>583</v>
      </c>
      <c r="L16" s="53" t="s">
        <v>584</v>
      </c>
      <c r="N16" s="52" t="s">
        <v>583</v>
      </c>
      <c r="O16" s="53" t="s">
        <v>584</v>
      </c>
      <c r="Q16" s="52" t="s">
        <v>583</v>
      </c>
      <c r="R16" s="53" t="s">
        <v>584</v>
      </c>
      <c r="T16" s="52" t="s">
        <v>583</v>
      </c>
      <c r="U16" s="53" t="s">
        <v>584</v>
      </c>
    </row>
    <row r="17" spans="2:21" x14ac:dyDescent="0.3">
      <c r="B17" s="54"/>
      <c r="C17" s="55"/>
      <c r="E17" s="56">
        <v>2014</v>
      </c>
      <c r="F17" s="57" t="s">
        <v>585</v>
      </c>
      <c r="G17" s="50"/>
      <c r="H17" s="58">
        <v>2015</v>
      </c>
      <c r="I17" s="59" t="s">
        <v>585</v>
      </c>
      <c r="K17" s="60">
        <v>2016</v>
      </c>
      <c r="L17" s="61" t="s">
        <v>585</v>
      </c>
      <c r="N17" s="62">
        <v>2017</v>
      </c>
      <c r="O17" s="63" t="s">
        <v>585</v>
      </c>
      <c r="Q17" s="110">
        <v>2018</v>
      </c>
      <c r="R17" s="118" t="s">
        <v>585</v>
      </c>
      <c r="T17" s="145">
        <v>2019</v>
      </c>
      <c r="U17" s="148" t="s">
        <v>585</v>
      </c>
    </row>
    <row r="18" spans="2:21" x14ac:dyDescent="0.3">
      <c r="B18" s="64"/>
      <c r="C18" s="65"/>
      <c r="E18" s="66">
        <v>2014</v>
      </c>
      <c r="F18" s="67" t="s">
        <v>586</v>
      </c>
      <c r="G18" s="50"/>
      <c r="H18" s="68">
        <v>2015</v>
      </c>
      <c r="I18" s="69" t="s">
        <v>586</v>
      </c>
      <c r="K18" s="70">
        <v>2016</v>
      </c>
      <c r="L18" s="71" t="s">
        <v>586</v>
      </c>
      <c r="N18" s="72">
        <v>2017</v>
      </c>
      <c r="O18" s="73" t="s">
        <v>586</v>
      </c>
      <c r="Q18" s="111">
        <v>2018</v>
      </c>
      <c r="R18" s="125" t="s">
        <v>586</v>
      </c>
      <c r="T18" s="146">
        <v>2019</v>
      </c>
      <c r="U18" s="149" t="s">
        <v>586</v>
      </c>
    </row>
    <row r="19" spans="2:21" x14ac:dyDescent="0.3">
      <c r="B19" s="64">
        <v>2013</v>
      </c>
      <c r="C19" s="74" t="s">
        <v>587</v>
      </c>
      <c r="E19" s="66">
        <v>2014</v>
      </c>
      <c r="F19" s="67" t="s">
        <v>587</v>
      </c>
      <c r="G19" s="50"/>
      <c r="H19" s="68">
        <v>2015</v>
      </c>
      <c r="I19" s="69" t="s">
        <v>587</v>
      </c>
      <c r="K19" s="70">
        <v>2016</v>
      </c>
      <c r="L19" s="71" t="s">
        <v>587</v>
      </c>
      <c r="N19" s="72">
        <v>2017</v>
      </c>
      <c r="O19" s="73" t="s">
        <v>587</v>
      </c>
      <c r="Q19" s="111">
        <v>2018</v>
      </c>
      <c r="R19" s="125" t="s">
        <v>587</v>
      </c>
      <c r="T19" s="146">
        <v>2019</v>
      </c>
      <c r="U19" s="149" t="s">
        <v>587</v>
      </c>
    </row>
    <row r="20" spans="2:21" x14ac:dyDescent="0.3">
      <c r="B20" s="64">
        <v>2013</v>
      </c>
      <c r="C20" s="74" t="s">
        <v>588</v>
      </c>
      <c r="E20" s="66">
        <v>2014</v>
      </c>
      <c r="F20" s="67" t="s">
        <v>588</v>
      </c>
      <c r="G20" s="50"/>
      <c r="H20" s="68">
        <v>2015</v>
      </c>
      <c r="I20" s="69" t="s">
        <v>588</v>
      </c>
      <c r="K20" s="70">
        <v>2016</v>
      </c>
      <c r="L20" s="71" t="s">
        <v>588</v>
      </c>
      <c r="N20" s="72">
        <v>2017</v>
      </c>
      <c r="O20" s="73" t="s">
        <v>588</v>
      </c>
      <c r="Q20" s="111">
        <v>2018</v>
      </c>
      <c r="R20" s="125" t="s">
        <v>588</v>
      </c>
      <c r="T20" s="146">
        <v>2019</v>
      </c>
      <c r="U20" s="149" t="s">
        <v>588</v>
      </c>
    </row>
    <row r="21" spans="2:21" x14ac:dyDescent="0.3">
      <c r="B21" s="64">
        <v>2013</v>
      </c>
      <c r="C21" s="74" t="s">
        <v>589</v>
      </c>
      <c r="E21" s="66">
        <v>2014</v>
      </c>
      <c r="F21" s="67" t="s">
        <v>589</v>
      </c>
      <c r="G21" s="50"/>
      <c r="H21" s="68">
        <v>2015</v>
      </c>
      <c r="I21" s="69" t="s">
        <v>589</v>
      </c>
      <c r="K21" s="70">
        <v>2016</v>
      </c>
      <c r="L21" s="71" t="s">
        <v>589</v>
      </c>
      <c r="N21" s="72">
        <v>2017</v>
      </c>
      <c r="O21" s="73" t="s">
        <v>589</v>
      </c>
      <c r="Q21" s="111">
        <v>2018</v>
      </c>
      <c r="R21" s="125" t="s">
        <v>589</v>
      </c>
      <c r="S21" s="51" t="s">
        <v>421</v>
      </c>
      <c r="T21" s="146">
        <v>2019</v>
      </c>
      <c r="U21" s="149" t="s">
        <v>589</v>
      </c>
    </row>
    <row r="22" spans="2:21" x14ac:dyDescent="0.3">
      <c r="B22" s="64">
        <v>2013</v>
      </c>
      <c r="C22" s="74" t="s">
        <v>590</v>
      </c>
      <c r="E22" s="66">
        <v>2014</v>
      </c>
      <c r="F22" s="67" t="s">
        <v>590</v>
      </c>
      <c r="G22" s="50"/>
      <c r="H22" s="68">
        <v>2015</v>
      </c>
      <c r="I22" s="69" t="s">
        <v>590</v>
      </c>
      <c r="K22" s="70">
        <v>2016</v>
      </c>
      <c r="L22" s="71" t="s">
        <v>590</v>
      </c>
      <c r="N22" s="72">
        <v>2017</v>
      </c>
      <c r="O22" s="73" t="s">
        <v>590</v>
      </c>
      <c r="Q22" s="111">
        <v>2018</v>
      </c>
      <c r="R22" s="125" t="s">
        <v>590</v>
      </c>
      <c r="T22" s="146">
        <v>2019</v>
      </c>
      <c r="U22" s="149" t="s">
        <v>590</v>
      </c>
    </row>
    <row r="23" spans="2:21" x14ac:dyDescent="0.3">
      <c r="B23" s="64">
        <v>2013</v>
      </c>
      <c r="C23" s="74" t="s">
        <v>591</v>
      </c>
      <c r="E23" s="66">
        <v>2014</v>
      </c>
      <c r="F23" s="67" t="s">
        <v>591</v>
      </c>
      <c r="G23" s="50"/>
      <c r="H23" s="68">
        <v>2015</v>
      </c>
      <c r="I23" s="69" t="s">
        <v>591</v>
      </c>
      <c r="K23" s="70">
        <v>2016</v>
      </c>
      <c r="L23" s="71" t="s">
        <v>591</v>
      </c>
      <c r="N23" s="72">
        <v>2017</v>
      </c>
      <c r="O23" s="73" t="s">
        <v>591</v>
      </c>
      <c r="Q23" s="111">
        <v>2018</v>
      </c>
      <c r="R23" s="125" t="s">
        <v>591</v>
      </c>
      <c r="T23" s="146">
        <v>2019</v>
      </c>
      <c r="U23" s="149" t="s">
        <v>591</v>
      </c>
    </row>
    <row r="24" spans="2:21" x14ac:dyDescent="0.3">
      <c r="B24" s="64">
        <v>2013</v>
      </c>
      <c r="C24" s="74" t="s">
        <v>592</v>
      </c>
      <c r="E24" s="66">
        <v>2014</v>
      </c>
      <c r="F24" s="67" t="s">
        <v>592</v>
      </c>
      <c r="G24" s="50"/>
      <c r="H24" s="68">
        <v>2015</v>
      </c>
      <c r="I24" s="69" t="s">
        <v>592</v>
      </c>
      <c r="K24" s="70">
        <v>2016</v>
      </c>
      <c r="L24" s="71" t="s">
        <v>592</v>
      </c>
      <c r="N24" s="72">
        <v>2017</v>
      </c>
      <c r="O24" s="73" t="s">
        <v>593</v>
      </c>
      <c r="Q24" s="111">
        <v>2018</v>
      </c>
      <c r="R24" s="125" t="s">
        <v>592</v>
      </c>
      <c r="T24" s="146">
        <v>2019</v>
      </c>
      <c r="U24" s="149" t="s">
        <v>592</v>
      </c>
    </row>
    <row r="25" spans="2:21" x14ac:dyDescent="0.3">
      <c r="B25" s="64">
        <v>2013</v>
      </c>
      <c r="C25" s="74" t="s">
        <v>594</v>
      </c>
      <c r="E25" s="66">
        <v>2014</v>
      </c>
      <c r="F25" s="67" t="s">
        <v>594</v>
      </c>
      <c r="G25" s="50"/>
      <c r="H25" s="68">
        <v>2015</v>
      </c>
      <c r="I25" s="69" t="s">
        <v>594</v>
      </c>
      <c r="K25" s="70">
        <v>2016</v>
      </c>
      <c r="L25" s="71" t="s">
        <v>594</v>
      </c>
      <c r="N25" s="72">
        <v>2017</v>
      </c>
      <c r="O25" s="113" t="s">
        <v>605</v>
      </c>
      <c r="Q25" s="111">
        <v>2018</v>
      </c>
      <c r="R25" s="125" t="s">
        <v>594</v>
      </c>
      <c r="T25" s="146">
        <v>2019</v>
      </c>
      <c r="U25" s="149" t="s">
        <v>594</v>
      </c>
    </row>
    <row r="26" spans="2:21" x14ac:dyDescent="0.3">
      <c r="B26" s="64">
        <v>2013</v>
      </c>
      <c r="C26" s="74" t="s">
        <v>595</v>
      </c>
      <c r="E26" s="66">
        <v>2014</v>
      </c>
      <c r="F26" s="67" t="s">
        <v>595</v>
      </c>
      <c r="G26" s="50"/>
      <c r="H26" s="68">
        <v>2015</v>
      </c>
      <c r="I26" s="69" t="s">
        <v>595</v>
      </c>
      <c r="K26" s="70">
        <v>2016</v>
      </c>
      <c r="L26" s="71" t="s">
        <v>595</v>
      </c>
      <c r="N26" s="72">
        <v>2017</v>
      </c>
      <c r="O26" s="73" t="s">
        <v>611</v>
      </c>
      <c r="Q26" s="111">
        <v>2018</v>
      </c>
      <c r="R26" s="125" t="s">
        <v>595</v>
      </c>
      <c r="T26" s="146">
        <v>2019</v>
      </c>
      <c r="U26" s="149" t="s">
        <v>595</v>
      </c>
    </row>
    <row r="27" spans="2:21" x14ac:dyDescent="0.3">
      <c r="B27" s="64">
        <v>2013</v>
      </c>
      <c r="C27" s="74" t="s">
        <v>596</v>
      </c>
      <c r="E27" s="66">
        <v>2014</v>
      </c>
      <c r="F27" s="67" t="s">
        <v>596</v>
      </c>
      <c r="G27" s="50"/>
      <c r="H27" s="68">
        <v>2015</v>
      </c>
      <c r="I27" s="69" t="s">
        <v>596</v>
      </c>
      <c r="K27" s="70">
        <v>2016</v>
      </c>
      <c r="L27" s="71" t="s">
        <v>596</v>
      </c>
      <c r="N27" s="72">
        <v>2017</v>
      </c>
      <c r="O27" s="73" t="s">
        <v>612</v>
      </c>
      <c r="Q27" s="111">
        <v>2018</v>
      </c>
      <c r="R27" s="125" t="s">
        <v>596</v>
      </c>
      <c r="T27" s="146">
        <v>2019</v>
      </c>
      <c r="U27" s="149" t="s">
        <v>596</v>
      </c>
    </row>
    <row r="28" spans="2:21" ht="15" thickBot="1" x14ac:dyDescent="0.35">
      <c r="B28" s="75">
        <v>2013</v>
      </c>
      <c r="C28" s="76" t="s">
        <v>597</v>
      </c>
      <c r="E28" s="77">
        <v>2014</v>
      </c>
      <c r="F28" s="78" t="s">
        <v>597</v>
      </c>
      <c r="G28" s="50"/>
      <c r="H28" s="79">
        <v>2015</v>
      </c>
      <c r="I28" s="80" t="s">
        <v>597</v>
      </c>
      <c r="K28" s="81">
        <v>2016</v>
      </c>
      <c r="L28" s="82" t="s">
        <v>597</v>
      </c>
      <c r="N28" s="83">
        <v>2017</v>
      </c>
      <c r="O28" s="109" t="s">
        <v>618</v>
      </c>
      <c r="Q28" s="112">
        <v>2018</v>
      </c>
      <c r="R28" s="150" t="s">
        <v>597</v>
      </c>
      <c r="T28" s="147">
        <v>2019</v>
      </c>
      <c r="U28" s="151" t="s">
        <v>597</v>
      </c>
    </row>
    <row r="29" spans="2:21" ht="15" thickBot="1" x14ac:dyDescent="0.35">
      <c r="G29" s="50"/>
    </row>
    <row r="30" spans="2:21" ht="15" thickBot="1" x14ac:dyDescent="0.35">
      <c r="B30" s="52" t="s">
        <v>583</v>
      </c>
      <c r="C30" s="53" t="s">
        <v>584</v>
      </c>
      <c r="E30" s="52" t="s">
        <v>583</v>
      </c>
      <c r="F30" s="53" t="s">
        <v>584</v>
      </c>
      <c r="G30" s="50"/>
      <c r="H30" s="52" t="s">
        <v>583</v>
      </c>
      <c r="I30" s="53" t="s">
        <v>584</v>
      </c>
      <c r="K30" s="52" t="s">
        <v>583</v>
      </c>
      <c r="L30" s="53" t="s">
        <v>584</v>
      </c>
      <c r="N30" s="52" t="s">
        <v>583</v>
      </c>
      <c r="O30" s="53" t="s">
        <v>584</v>
      </c>
    </row>
    <row r="31" spans="2:21" x14ac:dyDescent="0.3">
      <c r="B31" s="54">
        <v>2020</v>
      </c>
      <c r="C31" s="152" t="s">
        <v>585</v>
      </c>
      <c r="E31" s="54">
        <v>2021</v>
      </c>
      <c r="F31" s="152" t="s">
        <v>585</v>
      </c>
      <c r="H31" s="54">
        <v>2022</v>
      </c>
      <c r="I31" s="153" t="s">
        <v>585</v>
      </c>
      <c r="K31" s="54">
        <v>2023</v>
      </c>
      <c r="L31" s="153" t="s">
        <v>946</v>
      </c>
      <c r="N31" s="54">
        <v>2024</v>
      </c>
      <c r="O31" s="155" t="s">
        <v>946</v>
      </c>
    </row>
    <row r="32" spans="2:21" x14ac:dyDescent="0.3">
      <c r="B32" s="64">
        <v>2020</v>
      </c>
      <c r="C32" s="74" t="s">
        <v>586</v>
      </c>
      <c r="E32" s="64">
        <v>2021</v>
      </c>
      <c r="F32" s="74" t="s">
        <v>586</v>
      </c>
      <c r="H32" s="64">
        <v>2022</v>
      </c>
      <c r="I32" s="153" t="s">
        <v>586</v>
      </c>
      <c r="K32" s="64">
        <v>2023</v>
      </c>
      <c r="L32" s="153" t="s">
        <v>947</v>
      </c>
      <c r="N32" s="64">
        <v>2024</v>
      </c>
      <c r="O32" s="155" t="s">
        <v>947</v>
      </c>
    </row>
    <row r="33" spans="2:15" x14ac:dyDescent="0.3">
      <c r="B33" s="64">
        <v>2020</v>
      </c>
      <c r="C33" s="74" t="s">
        <v>587</v>
      </c>
      <c r="E33" s="64">
        <v>2021</v>
      </c>
      <c r="F33" s="74" t="s">
        <v>587</v>
      </c>
      <c r="H33" s="64">
        <v>2022</v>
      </c>
      <c r="I33" s="153" t="s">
        <v>587</v>
      </c>
      <c r="K33" s="64">
        <v>2023</v>
      </c>
      <c r="L33" s="153" t="s">
        <v>948</v>
      </c>
      <c r="N33" s="64">
        <v>2024</v>
      </c>
      <c r="O33" s="155" t="s">
        <v>948</v>
      </c>
    </row>
    <row r="34" spans="2:15" x14ac:dyDescent="0.3">
      <c r="B34" s="64">
        <v>2020</v>
      </c>
      <c r="C34" s="74" t="s">
        <v>588</v>
      </c>
      <c r="E34" s="64">
        <v>2021</v>
      </c>
      <c r="F34" s="74" t="s">
        <v>588</v>
      </c>
      <c r="H34" s="64">
        <v>2022</v>
      </c>
      <c r="I34" s="153" t="s">
        <v>588</v>
      </c>
      <c r="K34" s="64">
        <v>2023</v>
      </c>
      <c r="L34" s="153" t="s">
        <v>949</v>
      </c>
      <c r="N34" s="64">
        <v>2024</v>
      </c>
      <c r="O34" s="155" t="s">
        <v>949</v>
      </c>
    </row>
    <row r="35" spans="2:15" x14ac:dyDescent="0.3">
      <c r="B35" s="64">
        <v>2020</v>
      </c>
      <c r="C35" s="74" t="s">
        <v>589</v>
      </c>
      <c r="E35" s="64">
        <v>2021</v>
      </c>
      <c r="F35" s="74" t="s">
        <v>589</v>
      </c>
      <c r="H35" s="64">
        <v>2022</v>
      </c>
      <c r="I35" s="153" t="s">
        <v>589</v>
      </c>
      <c r="K35" s="64">
        <v>2023</v>
      </c>
      <c r="L35" s="153" t="s">
        <v>950</v>
      </c>
      <c r="N35" s="64">
        <v>2024</v>
      </c>
      <c r="O35" s="155" t="s">
        <v>950</v>
      </c>
    </row>
    <row r="36" spans="2:15" x14ac:dyDescent="0.3">
      <c r="B36" s="64">
        <v>2020</v>
      </c>
      <c r="C36" s="74" t="s">
        <v>590</v>
      </c>
      <c r="E36" s="64">
        <v>2021</v>
      </c>
      <c r="F36" s="74" t="s">
        <v>590</v>
      </c>
      <c r="H36" s="64">
        <v>2022</v>
      </c>
      <c r="I36" s="153" t="s">
        <v>590</v>
      </c>
      <c r="K36" s="64">
        <v>2023</v>
      </c>
      <c r="L36" s="153" t="s">
        <v>951</v>
      </c>
      <c r="N36" s="64">
        <v>2024</v>
      </c>
      <c r="O36" s="155" t="s">
        <v>951</v>
      </c>
    </row>
    <row r="37" spans="2:15" x14ac:dyDescent="0.3">
      <c r="B37" s="64">
        <v>2020</v>
      </c>
      <c r="C37" s="74" t="s">
        <v>591</v>
      </c>
      <c r="E37" s="64">
        <v>2021</v>
      </c>
      <c r="F37" s="74" t="s">
        <v>591</v>
      </c>
      <c r="H37" s="64">
        <v>2022</v>
      </c>
      <c r="I37" s="153" t="s">
        <v>591</v>
      </c>
      <c r="K37" s="64">
        <v>2023</v>
      </c>
      <c r="L37" s="153" t="s">
        <v>952</v>
      </c>
      <c r="N37" s="64">
        <v>2024</v>
      </c>
      <c r="O37" s="155" t="s">
        <v>952</v>
      </c>
    </row>
    <row r="38" spans="2:15" x14ac:dyDescent="0.3">
      <c r="B38" s="64">
        <v>2020</v>
      </c>
      <c r="C38" s="74" t="s">
        <v>592</v>
      </c>
      <c r="E38" s="64">
        <v>2021</v>
      </c>
      <c r="F38" s="74" t="s">
        <v>592</v>
      </c>
      <c r="H38" s="64">
        <v>2022</v>
      </c>
      <c r="I38" s="153" t="s">
        <v>592</v>
      </c>
      <c r="K38" s="64">
        <v>2023</v>
      </c>
      <c r="L38" s="153" t="s">
        <v>593</v>
      </c>
      <c r="N38" s="64">
        <v>2024</v>
      </c>
      <c r="O38" s="155" t="s">
        <v>593</v>
      </c>
    </row>
    <row r="39" spans="2:15" x14ac:dyDescent="0.3">
      <c r="B39" s="64">
        <v>2020</v>
      </c>
      <c r="C39" s="74" t="s">
        <v>594</v>
      </c>
      <c r="E39" s="64">
        <v>2021</v>
      </c>
      <c r="F39" s="74" t="s">
        <v>594</v>
      </c>
      <c r="H39" s="64">
        <v>2022</v>
      </c>
      <c r="I39" s="153" t="s">
        <v>594</v>
      </c>
      <c r="K39" s="64">
        <v>2023</v>
      </c>
      <c r="L39" s="153" t="s">
        <v>605</v>
      </c>
      <c r="N39" s="64">
        <v>2024</v>
      </c>
      <c r="O39" s="155" t="s">
        <v>605</v>
      </c>
    </row>
    <row r="40" spans="2:15" x14ac:dyDescent="0.3">
      <c r="B40" s="64">
        <v>2020</v>
      </c>
      <c r="C40" s="74" t="s">
        <v>595</v>
      </c>
      <c r="E40" s="64">
        <v>2021</v>
      </c>
      <c r="F40" s="74" t="s">
        <v>595</v>
      </c>
      <c r="H40" s="64">
        <v>2022</v>
      </c>
      <c r="I40" s="153" t="s">
        <v>595</v>
      </c>
      <c r="K40" s="64">
        <v>2023</v>
      </c>
      <c r="L40" s="153" t="s">
        <v>611</v>
      </c>
      <c r="N40" s="64">
        <v>2024</v>
      </c>
      <c r="O40" s="155" t="s">
        <v>611</v>
      </c>
    </row>
    <row r="41" spans="2:15" x14ac:dyDescent="0.3">
      <c r="B41" s="64">
        <v>2020</v>
      </c>
      <c r="C41" s="74" t="s">
        <v>596</v>
      </c>
      <c r="E41" s="64">
        <v>2021</v>
      </c>
      <c r="F41" s="74" t="s">
        <v>596</v>
      </c>
      <c r="H41" s="64">
        <v>2022</v>
      </c>
      <c r="I41" s="153" t="s">
        <v>596</v>
      </c>
      <c r="K41" s="64">
        <v>2023</v>
      </c>
      <c r="L41" s="153" t="s">
        <v>612</v>
      </c>
      <c r="N41" s="64">
        <v>2024</v>
      </c>
      <c r="O41" s="155" t="s">
        <v>612</v>
      </c>
    </row>
    <row r="42" spans="2:15" ht="15" thickBot="1" x14ac:dyDescent="0.35">
      <c r="B42" s="64">
        <v>2020</v>
      </c>
      <c r="C42" s="74" t="s">
        <v>597</v>
      </c>
      <c r="E42" s="75">
        <v>2021</v>
      </c>
      <c r="F42" s="76" t="s">
        <v>597</v>
      </c>
      <c r="H42" s="64">
        <v>2022</v>
      </c>
      <c r="I42" s="153" t="s">
        <v>597</v>
      </c>
      <c r="K42" s="64">
        <v>2023</v>
      </c>
      <c r="L42" s="153" t="s">
        <v>618</v>
      </c>
      <c r="N42" s="64">
        <v>2024</v>
      </c>
      <c r="O42" s="155" t="s">
        <v>618</v>
      </c>
    </row>
  </sheetData>
  <mergeCells count="4">
    <mergeCell ref="B2:G11"/>
    <mergeCell ref="H13:O14"/>
    <mergeCell ref="B13:F14"/>
    <mergeCell ref="Q13:U14"/>
  </mergeCells>
  <hyperlinks>
    <hyperlink ref="O22" location="'JUNE 2017'!A1" display="June" xr:uid="{00000000-0004-0000-8300-000000000000}"/>
    <hyperlink ref="O21" location="'MAY 2017'!A1" display="May" xr:uid="{00000000-0004-0000-8300-000001000000}"/>
    <hyperlink ref="O20" location="'APRIL 2017'!A1" display="April" xr:uid="{00000000-0004-0000-8300-000002000000}"/>
    <hyperlink ref="O19" location="'MARCH 2017'!A1" display="March" xr:uid="{00000000-0004-0000-8300-000003000000}"/>
    <hyperlink ref="O18" location="'FEB 2017'!A1" display="February" xr:uid="{00000000-0004-0000-8300-000004000000}"/>
    <hyperlink ref="O17" location="'JAN 2017'!A1" display="January" xr:uid="{00000000-0004-0000-8300-000005000000}"/>
    <hyperlink ref="L28" location="'DEC 2016'!A1" display="December" xr:uid="{00000000-0004-0000-8300-000006000000}"/>
    <hyperlink ref="L27" location="'NOV 2016'!A1" display="November" xr:uid="{00000000-0004-0000-8300-000007000000}"/>
    <hyperlink ref="L26" location="'OCT 2016'!A1" display="October" xr:uid="{00000000-0004-0000-8300-000008000000}"/>
    <hyperlink ref="L25" location="'SEP 2016'!A1" display="September" xr:uid="{00000000-0004-0000-8300-000009000000}"/>
    <hyperlink ref="L24" location="'AUG 2016'!A1" display="August" xr:uid="{00000000-0004-0000-8300-00000A000000}"/>
    <hyperlink ref="O23" location="'JULY 2017'!A1" display="July" xr:uid="{00000000-0004-0000-8300-00000B000000}"/>
    <hyperlink ref="L23" location="'JULY 2016'!A1" display="July" xr:uid="{00000000-0004-0000-8300-00000C000000}"/>
    <hyperlink ref="L22" location="'JUNE 2016'!A1" display="June" xr:uid="{00000000-0004-0000-8300-00000D000000}"/>
    <hyperlink ref="L21" location="'MAY 2016'!A1" display="May" xr:uid="{00000000-0004-0000-8300-00000E000000}"/>
    <hyperlink ref="L20" location="'APRIL 2016'!A1" display="April" xr:uid="{00000000-0004-0000-8300-00000F000000}"/>
    <hyperlink ref="L19" location="'MARCH 2016'!A1" display="March" xr:uid="{00000000-0004-0000-8300-000010000000}"/>
    <hyperlink ref="L18" location="'FEB 2016'!A1" display="February" xr:uid="{00000000-0004-0000-8300-000011000000}"/>
    <hyperlink ref="L17" location="'JAN 2016'!A1" display="January" xr:uid="{00000000-0004-0000-8300-000012000000}"/>
    <hyperlink ref="I28" location="'DEC 2015'!A1" display="December" xr:uid="{00000000-0004-0000-8300-000013000000}"/>
    <hyperlink ref="I27" location="'NOV 2015'!A1" display="November" xr:uid="{00000000-0004-0000-8300-000014000000}"/>
    <hyperlink ref="C20" location="'APRIL 2013'!A1" display="April" xr:uid="{00000000-0004-0000-8300-000015000000}"/>
    <hyperlink ref="C21" location="'MAY 2013'!A1" display="May" xr:uid="{00000000-0004-0000-8300-000016000000}"/>
    <hyperlink ref="C22" location="'JUNE 2013'!A1" display="June" xr:uid="{00000000-0004-0000-8300-000017000000}"/>
    <hyperlink ref="C23" location="'JULY 2013'!A1" display="July" xr:uid="{00000000-0004-0000-8300-000018000000}"/>
    <hyperlink ref="C24" location="'AUG 2013'!A1" display="August" xr:uid="{00000000-0004-0000-8300-000019000000}"/>
    <hyperlink ref="C25" location="'SEP 2013'!A1" display="September" xr:uid="{00000000-0004-0000-8300-00001A000000}"/>
    <hyperlink ref="C26" location="'OCT 2013'!A1" display="October" xr:uid="{00000000-0004-0000-8300-00001B000000}"/>
    <hyperlink ref="C27" location="'NOV 2013'!A1" display="November" xr:uid="{00000000-0004-0000-8300-00001C000000}"/>
    <hyperlink ref="C28" location="'DEC 2013'!A1" display="December" xr:uid="{00000000-0004-0000-8300-00001D000000}"/>
    <hyperlink ref="F17" location="'JAN 2014'!A1" display="January" xr:uid="{00000000-0004-0000-8300-00001E000000}"/>
    <hyperlink ref="F18" location="'FEB 2014'!A1" display="February" xr:uid="{00000000-0004-0000-8300-00001F000000}"/>
    <hyperlink ref="F19" location="'APRIL 2014'!A1" display="March" xr:uid="{00000000-0004-0000-8300-000020000000}"/>
    <hyperlink ref="F20" location="'APRIL 2014'!A1" display="April" xr:uid="{00000000-0004-0000-8300-000021000000}"/>
    <hyperlink ref="F22" location="'JUNE 2014'!A1" display="June" xr:uid="{00000000-0004-0000-8300-000022000000}"/>
    <hyperlink ref="F21" location="'MAY 2014'!A1" display="May" xr:uid="{00000000-0004-0000-8300-000023000000}"/>
    <hyperlink ref="F23" location="'JULY 2014'!A1" display="July" xr:uid="{00000000-0004-0000-8300-000024000000}"/>
    <hyperlink ref="F24" location="'AUG 2014'!A1" display="August" xr:uid="{00000000-0004-0000-8300-000025000000}"/>
    <hyperlink ref="F25" location="'SEP 2014'!A1" display="September" xr:uid="{00000000-0004-0000-8300-000026000000}"/>
    <hyperlink ref="F26" location="'OCT 2014'!A1" display="October" xr:uid="{00000000-0004-0000-8300-000027000000}"/>
    <hyperlink ref="F27" location="'NOV 2014'!A1" display="November" xr:uid="{00000000-0004-0000-8300-000028000000}"/>
    <hyperlink ref="F28" location="'DEC 2014'!A1" display="December" xr:uid="{00000000-0004-0000-8300-000029000000}"/>
    <hyperlink ref="I17" location="'JAN 2015'!A1" display="January" xr:uid="{00000000-0004-0000-8300-00002A000000}"/>
    <hyperlink ref="I18" location="'FEB 2015'!A1" display="February" xr:uid="{00000000-0004-0000-8300-00002B000000}"/>
    <hyperlink ref="I19" location="'MARCH 2015'!A1" display="March" xr:uid="{00000000-0004-0000-8300-00002C000000}"/>
    <hyperlink ref="I20" location="'APRIL 2015'!A1" display="April" xr:uid="{00000000-0004-0000-8300-00002D000000}"/>
    <hyperlink ref="I21" location="'MAY 2015'!A1" display="May" xr:uid="{00000000-0004-0000-8300-00002E000000}"/>
    <hyperlink ref="I22" location="'JUNE 2015'!A1" display="June" xr:uid="{00000000-0004-0000-8300-00002F000000}"/>
    <hyperlink ref="I23" location="'JULY 2015'!A1" display="July" xr:uid="{00000000-0004-0000-8300-000030000000}"/>
    <hyperlink ref="I24" location="'AUGUST 2015'!A1" display="August" xr:uid="{00000000-0004-0000-8300-000031000000}"/>
    <hyperlink ref="I25" location="'SEP 2015'!A1" display="September" xr:uid="{00000000-0004-0000-8300-000032000000}"/>
    <hyperlink ref="I26" location="'OCT 2015'!A1" display="October" xr:uid="{00000000-0004-0000-8300-000033000000}"/>
    <hyperlink ref="O24" location="'AUG 2017'!A1" display="AUGUST" xr:uid="{00000000-0004-0000-8300-000034000000}"/>
    <hyperlink ref="C19" location="'MARCH 2013'!A1" display="March" xr:uid="{00000000-0004-0000-8300-000035000000}"/>
    <hyperlink ref="O25" location="'SEP 2017'!A1" display="SEPTEMBER" xr:uid="{00000000-0004-0000-8300-000036000000}"/>
    <hyperlink ref="O26" location="'OCT 2017'!A1" display="OCTOBER" xr:uid="{00000000-0004-0000-8300-000037000000}"/>
    <hyperlink ref="O27" location="'NOV 2017'!A1" display="NOVEMBER" xr:uid="{00000000-0004-0000-8300-000038000000}"/>
    <hyperlink ref="O28" location="'DEC 2017'!A1" display="DECEMBER" xr:uid="{00000000-0004-0000-8300-000039000000}"/>
    <hyperlink ref="R17" location="'JAN 2018'!A1" display="January" xr:uid="{00000000-0004-0000-8300-00003A000000}"/>
    <hyperlink ref="R18" location="'FEB 2018'!A1" display="February" xr:uid="{00000000-0004-0000-8300-00003B000000}"/>
    <hyperlink ref="R19" location="'MARCH 2018'!A1" display="March" xr:uid="{00000000-0004-0000-8300-00003C000000}"/>
    <hyperlink ref="R20" location="'APRIL 2018'!A1" display="April" xr:uid="{00000000-0004-0000-8300-00003D000000}"/>
    <hyperlink ref="R21" location="'MAY 2018'!A1" display="May" xr:uid="{00000000-0004-0000-8300-00003E000000}"/>
    <hyperlink ref="R22" location="'JUNE 2018'!A1" display="June" xr:uid="{00000000-0004-0000-8300-00003F000000}"/>
    <hyperlink ref="R23" location="'JULY 2018'!A1" display="July" xr:uid="{00000000-0004-0000-8300-000040000000}"/>
    <hyperlink ref="R24" location="'AUGUST-2018'!A1" display="August" xr:uid="{00000000-0004-0000-8300-000041000000}"/>
    <hyperlink ref="R25" location="'SEP 2018'!A1" display="September" xr:uid="{00000000-0004-0000-8300-000042000000}"/>
    <hyperlink ref="R26" location="'OCT 2018'!A1" display="October" xr:uid="{00000000-0004-0000-8300-000043000000}"/>
    <hyperlink ref="R27" location="'NOV 2018'!A1" display="November" xr:uid="{00000000-0004-0000-8300-000044000000}"/>
    <hyperlink ref="U28" location="'DEC 2019'!A1" display="December" xr:uid="{00000000-0004-0000-8300-000045000000}"/>
    <hyperlink ref="U27" location="'NOV 2019'!A1" display="November" xr:uid="{00000000-0004-0000-8300-000046000000}"/>
    <hyperlink ref="U18" location="'FEB 2019'!A1" display="February" xr:uid="{00000000-0004-0000-8300-000047000000}"/>
    <hyperlink ref="U19" location="'MARCH 2019'!A1" display="March" xr:uid="{00000000-0004-0000-8300-000048000000}"/>
    <hyperlink ref="U20" location="'APRIL 2019'!A1" display="April" xr:uid="{00000000-0004-0000-8300-000049000000}"/>
    <hyperlink ref="U21" location="'MAY 2019'!A1" display="May" xr:uid="{00000000-0004-0000-8300-00004A000000}"/>
    <hyperlink ref="U22" location="'JUN 2019'!A1" display="June" xr:uid="{00000000-0004-0000-8300-00004B000000}"/>
    <hyperlink ref="U23" location="'JULY 2020'!A1" display="July" xr:uid="{00000000-0004-0000-8300-00004C000000}"/>
    <hyperlink ref="U17" location="'JAN-2019'!A1" display="January" xr:uid="{00000000-0004-0000-8300-00004D000000}"/>
    <hyperlink ref="R28" location="'DEC-2018'!A1" display="December" xr:uid="{00000000-0004-0000-8300-00004E000000}"/>
    <hyperlink ref="U24" location="'AUGUST 2020'!A1" display="August" xr:uid="{00000000-0004-0000-8300-00004F000000}"/>
    <hyperlink ref="U25" location="'SEP 2019'!A1" display="September" xr:uid="{00000000-0004-0000-8300-000050000000}"/>
    <hyperlink ref="U26" location="'OCT 2019'!A1" display="October" xr:uid="{00000000-0004-0000-8300-000051000000}"/>
    <hyperlink ref="C31" location="'JAN 2020'!A1" display="January" xr:uid="{00000000-0004-0000-8300-000052000000}"/>
    <hyperlink ref="C32" location="'FEB 2020'!A1" display="February" xr:uid="{00000000-0004-0000-8300-000053000000}"/>
    <hyperlink ref="C33" location="'MARCH 2020'!A1" display="March" xr:uid="{00000000-0004-0000-8300-000054000000}"/>
    <hyperlink ref="C34" location="'APRIL 2020'!A1" display="April" xr:uid="{00000000-0004-0000-8300-000055000000}"/>
    <hyperlink ref="C35" location="'MAY 2020'!A1" display="May" xr:uid="{00000000-0004-0000-8300-000056000000}"/>
    <hyperlink ref="C36" location="'JUNE 2020'!A1" display="June" xr:uid="{00000000-0004-0000-8300-000057000000}"/>
    <hyperlink ref="C37" location="'JULY 2020'!A1" display="July" xr:uid="{00000000-0004-0000-8300-000058000000}"/>
    <hyperlink ref="C38" location="'AUGUST 2020'!A1" display="August" xr:uid="{00000000-0004-0000-8300-000059000000}"/>
    <hyperlink ref="C39" location="'SEP 2020'!A1" display="September" xr:uid="{00000000-0004-0000-8300-00005A000000}"/>
    <hyperlink ref="C40" location="'OCT 2020'!A1" display="October" xr:uid="{00000000-0004-0000-8300-00005B000000}"/>
    <hyperlink ref="C41" location="' NOV 2020'!A1" display="November" xr:uid="{00000000-0004-0000-8300-00005C000000}"/>
    <hyperlink ref="C42" location="'DEC 2020'!A1" display="December" xr:uid="{00000000-0004-0000-8300-00005D000000}"/>
    <hyperlink ref="F31" location="'JAN 2021'!A1" display="January" xr:uid="{00000000-0004-0000-8300-00005E000000}"/>
    <hyperlink ref="F32" location="'FEB 2021'!A1" display="February" xr:uid="{00000000-0004-0000-8300-00005F000000}"/>
    <hyperlink ref="F33" location="'MARCH 2021'!A1" display="March" xr:uid="{00000000-0004-0000-8300-000060000000}"/>
    <hyperlink ref="F34" location="'APRIL 2021'!A1" display="April" xr:uid="{00000000-0004-0000-8300-000061000000}"/>
    <hyperlink ref="F35" location="'MAY 2021'!A1" display="May" xr:uid="{00000000-0004-0000-8300-000062000000}"/>
    <hyperlink ref="F36" location="'JUNE 2021'!A1" display="June" xr:uid="{00000000-0004-0000-8300-000063000000}"/>
    <hyperlink ref="F38" location="'AUGUST 2021'!A1" display="August" xr:uid="{00000000-0004-0000-8300-000064000000}"/>
    <hyperlink ref="F39" location="'SEP 2021'!A1" display="September" xr:uid="{00000000-0004-0000-8300-000065000000}"/>
    <hyperlink ref="F40" location="'OCT 2021'!A1" display="October" xr:uid="{00000000-0004-0000-8300-000066000000}"/>
    <hyperlink ref="F41" location="'NOV 2021'!A1" display="November" xr:uid="{00000000-0004-0000-8300-000067000000}"/>
    <hyperlink ref="F42" location="'DEC 2021'!A1" display="December" xr:uid="{00000000-0004-0000-8300-000068000000}"/>
    <hyperlink ref="I31" location="'JAN 2022'!A1" display="January" xr:uid="{00000000-0004-0000-8300-000069000000}"/>
    <hyperlink ref="I32" location="'FEB 2022'!A1" display="February" xr:uid="{00000000-0004-0000-8300-00006A000000}"/>
    <hyperlink ref="I33" location="'MARCH 2022'!A1" display="March" xr:uid="{00000000-0004-0000-8300-00006B000000}"/>
    <hyperlink ref="I34" location="'APRIL 2022'!A1" display="April" xr:uid="{00000000-0004-0000-8300-00006C000000}"/>
    <hyperlink ref="I35" location="'MAY 2022'!A1" display="May" xr:uid="{00000000-0004-0000-8300-00006D000000}"/>
    <hyperlink ref="I36" location="'JUN 2022'!A1" display="June" xr:uid="{00000000-0004-0000-8300-00006E000000}"/>
    <hyperlink ref="I37" location="'JULY 2022'!A1" display="July" xr:uid="{00000000-0004-0000-8300-00006F000000}"/>
    <hyperlink ref="I38" location="'AUGUST 2022'!A1" display="August" xr:uid="{00000000-0004-0000-8300-000070000000}"/>
    <hyperlink ref="I39" location="'SEP 2022'!A1" display="September" xr:uid="{00000000-0004-0000-8300-000071000000}"/>
    <hyperlink ref="I40" location="'OCT 2022'!A1" display="October" xr:uid="{00000000-0004-0000-8300-000072000000}"/>
    <hyperlink ref="I41" location="'NOV 2022'!A1" display="November" xr:uid="{00000000-0004-0000-8300-000073000000}"/>
    <hyperlink ref="I42" location="'DEC 2022'!A1" display="December" xr:uid="{00000000-0004-0000-8300-000074000000}"/>
    <hyperlink ref="L31" location="'JAN 2023'!A1" display="JANUARY" xr:uid="{00000000-0004-0000-8300-000075000000}"/>
    <hyperlink ref="L32" location="'FEB 2023'!A1" display="FEBRUARY" xr:uid="{00000000-0004-0000-8300-000076000000}"/>
    <hyperlink ref="L33" location="'MARCH 2023'!A1" display="MARCH" xr:uid="{00000000-0004-0000-8300-000077000000}"/>
    <hyperlink ref="L34" location="'APRIL 2023'!A1" display="APRIL" xr:uid="{00000000-0004-0000-8300-000078000000}"/>
    <hyperlink ref="L36" location="'JUN 2023'!A1" display="JUNE" xr:uid="{00000000-0004-0000-8300-000079000000}"/>
    <hyperlink ref="L35" location="'MAY 2023'!A1" display="MAY" xr:uid="{00000000-0004-0000-8300-00007A000000}"/>
    <hyperlink ref="L37" location="'JULY 2023'!A1" display="JULY" xr:uid="{00000000-0004-0000-8300-00007B000000}"/>
    <hyperlink ref="L38" location="'AUGUST 2023'!A1" display="AUGUST" xr:uid="{00000000-0004-0000-8300-00007C000000}"/>
    <hyperlink ref="L40" location="'OCT 2023'!A1" display="OCTOBER" xr:uid="{00000000-0004-0000-8300-00007D000000}"/>
    <hyperlink ref="L39" location="'SEP 2023'!A1" display="SEPTEMBER" xr:uid="{00000000-0004-0000-8300-00007E000000}"/>
    <hyperlink ref="L41" location="'NOV 2023'!A1" display="NOVEMBER" xr:uid="{00000000-0004-0000-8300-00007F000000}"/>
    <hyperlink ref="L42" location="'DEC 2023'!A1" display="DECEMBER" xr:uid="{00000000-0004-0000-8300-000080000000}"/>
    <hyperlink ref="O31:O42" location="'JAN 2024'!A1" display="JANUARY" xr:uid="{00000000-0004-0000-8300-000081000000}"/>
    <hyperlink ref="O33" location="'MARCH 2024'!A1" display="MARCH" xr:uid="{29084C6D-8471-4425-B45C-93599DC20F8D}"/>
    <hyperlink ref="O32" location="'FEB 2024'!A1" display="FEBRUARY" xr:uid="{77674C7C-B288-424C-A474-5698C81C328C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J35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2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160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41731</v>
      </c>
      <c r="C5" s="8" t="s">
        <v>13</v>
      </c>
      <c r="D5" s="8" t="s">
        <v>166</v>
      </c>
      <c r="E5" s="8">
        <v>124</v>
      </c>
      <c r="F5" s="8">
        <v>120</v>
      </c>
      <c r="G5" s="8">
        <v>4000</v>
      </c>
      <c r="H5" s="8">
        <v>16000</v>
      </c>
    </row>
    <row r="6" spans="1:10" ht="25.8" x14ac:dyDescent="0.5">
      <c r="B6" s="7">
        <v>41739</v>
      </c>
      <c r="C6" s="8" t="s">
        <v>8</v>
      </c>
      <c r="D6" s="8" t="s">
        <v>90</v>
      </c>
      <c r="E6" s="8">
        <v>145</v>
      </c>
      <c r="F6" s="8">
        <v>139</v>
      </c>
      <c r="G6" s="8">
        <v>2000</v>
      </c>
      <c r="H6" s="8">
        <v>-12000</v>
      </c>
    </row>
    <row r="7" spans="1:10" ht="25.8" x14ac:dyDescent="0.5">
      <c r="B7" s="7">
        <v>41746</v>
      </c>
      <c r="C7" s="8" t="s">
        <v>20</v>
      </c>
      <c r="D7" s="8" t="s">
        <v>11</v>
      </c>
      <c r="E7" s="8">
        <v>2000</v>
      </c>
      <c r="F7" s="8">
        <v>2050</v>
      </c>
      <c r="G7" s="8">
        <v>250</v>
      </c>
      <c r="H7" s="8">
        <v>12500</v>
      </c>
    </row>
    <row r="8" spans="1:10" ht="25.8" x14ac:dyDescent="0.5">
      <c r="B8" s="7">
        <v>41752</v>
      </c>
      <c r="C8" s="8" t="s">
        <v>13</v>
      </c>
      <c r="D8" s="8" t="s">
        <v>167</v>
      </c>
      <c r="E8" s="8">
        <v>206</v>
      </c>
      <c r="F8" s="8">
        <v>194</v>
      </c>
      <c r="G8" s="8">
        <v>4000</v>
      </c>
      <c r="H8" s="8">
        <v>48000</v>
      </c>
    </row>
    <row r="9" spans="1:10" ht="25.8" x14ac:dyDescent="0.5">
      <c r="B9" s="7"/>
      <c r="C9" s="8"/>
      <c r="D9" s="8"/>
      <c r="E9" s="8"/>
      <c r="F9" s="8"/>
      <c r="G9" s="8"/>
      <c r="H9" s="9">
        <v>64500</v>
      </c>
    </row>
    <row r="10" spans="1:10" ht="25.8" x14ac:dyDescent="0.5">
      <c r="B10" s="7"/>
      <c r="C10" s="8"/>
      <c r="D10" s="8"/>
      <c r="E10" s="8"/>
      <c r="F10" s="8"/>
      <c r="G10" s="8"/>
      <c r="H10" s="9"/>
    </row>
    <row r="11" spans="1:10" ht="25.8" x14ac:dyDescent="0.5">
      <c r="B11" s="7"/>
      <c r="C11" s="8"/>
      <c r="D11" s="8"/>
      <c r="E11" s="8"/>
      <c r="F11" s="8"/>
      <c r="G11" s="8"/>
      <c r="H11" s="16"/>
    </row>
    <row r="13" spans="1:10" ht="15" thickBot="1" x14ac:dyDescent="0.35"/>
    <row r="14" spans="1:10" ht="16.2" thickBot="1" x14ac:dyDescent="0.35">
      <c r="B14" s="158" t="s">
        <v>161</v>
      </c>
      <c r="C14" s="158"/>
      <c r="D14" s="158"/>
      <c r="E14" s="158"/>
      <c r="F14" s="158"/>
      <c r="G14" s="158"/>
      <c r="H14" s="158"/>
    </row>
    <row r="15" spans="1:10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44</v>
      </c>
      <c r="H15" s="3" t="s">
        <v>31</v>
      </c>
    </row>
    <row r="16" spans="1:10" ht="25.8" x14ac:dyDescent="0.5">
      <c r="B16" s="7">
        <v>41732</v>
      </c>
      <c r="C16" s="8" t="s">
        <v>13</v>
      </c>
      <c r="D16" s="8" t="s">
        <v>30</v>
      </c>
      <c r="E16" s="8">
        <v>6760</v>
      </c>
      <c r="F16" s="8">
        <v>6720</v>
      </c>
      <c r="G16" s="8">
        <v>40</v>
      </c>
      <c r="H16" s="8">
        <v>20000</v>
      </c>
    </row>
    <row r="17" spans="2:8" ht="25.8" x14ac:dyDescent="0.5">
      <c r="B17" s="7">
        <v>41746</v>
      </c>
      <c r="C17" s="8" t="s">
        <v>20</v>
      </c>
      <c r="D17" s="8" t="s">
        <v>30</v>
      </c>
      <c r="E17" s="8">
        <v>6770</v>
      </c>
      <c r="F17" s="8">
        <v>6830</v>
      </c>
      <c r="G17" s="8">
        <v>60</v>
      </c>
      <c r="H17" s="8">
        <v>30000</v>
      </c>
    </row>
    <row r="18" spans="2:8" ht="25.8" x14ac:dyDescent="0.5">
      <c r="B18" s="7">
        <v>41757</v>
      </c>
      <c r="C18" s="8" t="s">
        <v>13</v>
      </c>
      <c r="D18" s="8" t="s">
        <v>30</v>
      </c>
      <c r="E18" s="8">
        <v>6810</v>
      </c>
      <c r="F18" s="8">
        <v>6770</v>
      </c>
      <c r="G18" s="8">
        <v>40</v>
      </c>
      <c r="H18" s="8">
        <v>20000</v>
      </c>
    </row>
    <row r="19" spans="2:8" ht="25.8" x14ac:dyDescent="0.5">
      <c r="B19" s="7"/>
      <c r="C19" s="8"/>
      <c r="D19" s="8"/>
      <c r="E19" s="8"/>
      <c r="F19" s="8"/>
      <c r="G19" s="8"/>
      <c r="H19" s="9">
        <v>70000</v>
      </c>
    </row>
    <row r="20" spans="2:8" ht="25.8" x14ac:dyDescent="0.5">
      <c r="B20" s="7"/>
      <c r="C20" s="8"/>
      <c r="D20" s="8"/>
      <c r="E20" s="8"/>
      <c r="F20" s="8"/>
      <c r="G20" s="8"/>
      <c r="H20" s="9"/>
    </row>
    <row r="21" spans="2:8" ht="25.8" x14ac:dyDescent="0.5">
      <c r="B21" s="7"/>
      <c r="C21" s="8"/>
      <c r="D21" s="8"/>
      <c r="E21" s="8"/>
      <c r="F21" s="8"/>
      <c r="G21" s="8"/>
      <c r="H21" s="9"/>
    </row>
    <row r="23" spans="2:8" ht="15" thickBot="1" x14ac:dyDescent="0.35"/>
    <row r="24" spans="2:8" ht="16.2" thickBot="1" x14ac:dyDescent="0.35">
      <c r="B24" s="158" t="s">
        <v>162</v>
      </c>
      <c r="C24" s="158"/>
      <c r="D24" s="158"/>
      <c r="E24" s="158"/>
      <c r="F24" s="158"/>
      <c r="G24" s="158"/>
      <c r="H24" s="158"/>
    </row>
    <row r="25" spans="2:8" x14ac:dyDescent="0.3">
      <c r="B25" s="1" t="s">
        <v>1</v>
      </c>
      <c r="C25" s="2" t="s">
        <v>2</v>
      </c>
      <c r="D25" s="2" t="s">
        <v>3</v>
      </c>
      <c r="E25" s="3" t="s">
        <v>4</v>
      </c>
      <c r="F25" s="3" t="s">
        <v>5</v>
      </c>
      <c r="G25" s="3" t="s">
        <v>6</v>
      </c>
      <c r="H25" s="3" t="s">
        <v>89</v>
      </c>
    </row>
    <row r="26" spans="2:8" ht="25.8" x14ac:dyDescent="0.5">
      <c r="B26" s="7">
        <v>41736</v>
      </c>
      <c r="C26" s="8" t="s">
        <v>20</v>
      </c>
      <c r="D26" s="8" t="s">
        <v>163</v>
      </c>
      <c r="E26" s="8">
        <v>3</v>
      </c>
      <c r="F26" s="8">
        <v>2</v>
      </c>
      <c r="G26" s="8">
        <v>4000</v>
      </c>
      <c r="H26" s="8">
        <v>-4000</v>
      </c>
    </row>
    <row r="27" spans="2:8" ht="25.8" x14ac:dyDescent="0.5">
      <c r="B27" s="7">
        <v>41739</v>
      </c>
      <c r="C27" s="8" t="s">
        <v>8</v>
      </c>
      <c r="D27" s="8" t="s">
        <v>164</v>
      </c>
      <c r="E27" s="8">
        <v>47</v>
      </c>
      <c r="F27" s="8">
        <v>20</v>
      </c>
      <c r="G27" s="8">
        <v>250</v>
      </c>
      <c r="H27" s="8">
        <v>-6750</v>
      </c>
    </row>
    <row r="28" spans="2:8" ht="25.8" x14ac:dyDescent="0.5">
      <c r="B28" s="7">
        <v>41746</v>
      </c>
      <c r="C28" s="8" t="s">
        <v>8</v>
      </c>
      <c r="D28" s="8" t="s">
        <v>164</v>
      </c>
      <c r="E28" s="8">
        <v>15</v>
      </c>
      <c r="F28" s="8">
        <v>30</v>
      </c>
      <c r="G28" s="8">
        <v>500</v>
      </c>
      <c r="H28" s="8">
        <v>7500</v>
      </c>
    </row>
    <row r="29" spans="2:8" ht="25.8" x14ac:dyDescent="0.5">
      <c r="B29" s="13">
        <v>41750</v>
      </c>
      <c r="C29" s="8" t="s">
        <v>8</v>
      </c>
      <c r="D29" s="8" t="s">
        <v>165</v>
      </c>
      <c r="E29" s="8">
        <v>7</v>
      </c>
      <c r="F29" s="8">
        <v>10</v>
      </c>
      <c r="G29" s="8">
        <v>2000</v>
      </c>
      <c r="H29" s="8">
        <v>6000</v>
      </c>
    </row>
    <row r="30" spans="2:8" ht="25.8" x14ac:dyDescent="0.5">
      <c r="B30" s="7">
        <v>41754</v>
      </c>
      <c r="C30" s="8" t="s">
        <v>20</v>
      </c>
      <c r="D30" s="8" t="s">
        <v>168</v>
      </c>
      <c r="E30" s="8">
        <v>16</v>
      </c>
      <c r="F30" s="8">
        <v>24</v>
      </c>
      <c r="G30" s="8">
        <v>2000</v>
      </c>
      <c r="H30" s="17" t="s">
        <v>169</v>
      </c>
    </row>
    <row r="31" spans="2:8" ht="25.8" x14ac:dyDescent="0.5">
      <c r="B31" s="13"/>
      <c r="C31" s="8"/>
      <c r="D31" s="8"/>
      <c r="E31" s="8"/>
      <c r="F31" s="8"/>
      <c r="G31" s="8"/>
      <c r="H31" s="9">
        <v>18750</v>
      </c>
    </row>
    <row r="32" spans="2:8" ht="25.8" x14ac:dyDescent="0.5">
      <c r="B32" s="13"/>
      <c r="C32" s="8"/>
      <c r="D32" s="8"/>
      <c r="E32" s="8"/>
      <c r="F32" s="8"/>
      <c r="G32" s="8"/>
      <c r="H32" s="8"/>
    </row>
    <row r="33" spans="2:8" ht="25.8" x14ac:dyDescent="0.5">
      <c r="B33" s="13"/>
      <c r="C33" s="8"/>
      <c r="D33" s="8"/>
      <c r="E33" s="8"/>
      <c r="F33" s="8"/>
      <c r="G33" s="8"/>
      <c r="H33" s="8"/>
    </row>
    <row r="34" spans="2:8" ht="25.8" x14ac:dyDescent="0.5">
      <c r="B34" s="13"/>
      <c r="C34" s="8"/>
      <c r="D34" s="8"/>
      <c r="E34" s="8"/>
      <c r="F34" s="8"/>
      <c r="G34" s="8"/>
      <c r="H34" s="8"/>
    </row>
    <row r="35" spans="2:8" ht="25.8" x14ac:dyDescent="0.5">
      <c r="H35" s="9"/>
    </row>
  </sheetData>
  <mergeCells count="5">
    <mergeCell ref="B1:H1"/>
    <mergeCell ref="B2:H2"/>
    <mergeCell ref="B3:H3"/>
    <mergeCell ref="B14:H14"/>
    <mergeCell ref="B24:H24"/>
  </mergeCells>
  <hyperlinks>
    <hyperlink ref="J2" location="'Home Page'!A1" display="Back" xr:uid="{00000000-0004-0000-0D00-000000000000}"/>
  </hyperlinks>
  <pageMargins left="0.7" right="0.7" top="0.75" bottom="0.75" header="0.3" footer="0.3"/>
  <pageSetup orientation="portrait" horizontalDpi="300" verticalDpi="0" r:id="rId1"/>
  <ignoredErrors>
    <ignoredError sqref="H3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35"/>
  <sheetViews>
    <sheetView workbookViewId="0">
      <selection activeCell="J2" sqref="J2"/>
    </sheetView>
  </sheetViews>
  <sheetFormatPr defaultColWidth="9"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2" bestFit="1" customWidth="1"/>
    <col min="5" max="7" width="9.5546875" bestFit="1" customWidth="1"/>
    <col min="8" max="8" width="16.6640625" bestFit="1" customWidth="1"/>
    <col min="9" max="9" width="9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183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41773</v>
      </c>
      <c r="C5" s="8" t="s">
        <v>13</v>
      </c>
      <c r="D5" s="8" t="s">
        <v>170</v>
      </c>
      <c r="E5" s="8">
        <v>2560</v>
      </c>
      <c r="F5" s="8">
        <v>2450</v>
      </c>
      <c r="G5" s="8">
        <v>250</v>
      </c>
      <c r="H5" s="8">
        <v>27500</v>
      </c>
    </row>
    <row r="6" spans="1:10" ht="25.8" x14ac:dyDescent="0.5">
      <c r="B6" s="7">
        <v>41779</v>
      </c>
      <c r="C6" s="8" t="s">
        <v>13</v>
      </c>
      <c r="D6" s="8" t="s">
        <v>172</v>
      </c>
      <c r="E6" s="8">
        <v>322</v>
      </c>
      <c r="F6" s="8">
        <v>314</v>
      </c>
      <c r="G6" s="8">
        <v>2000</v>
      </c>
      <c r="H6" s="8">
        <v>16000</v>
      </c>
    </row>
    <row r="7" spans="1:10" ht="25.8" x14ac:dyDescent="0.5">
      <c r="B7" s="7">
        <v>41785</v>
      </c>
      <c r="C7" s="8" t="s">
        <v>13</v>
      </c>
      <c r="D7" s="8" t="s">
        <v>106</v>
      </c>
      <c r="E7" s="8">
        <v>445</v>
      </c>
      <c r="F7" s="8">
        <v>425</v>
      </c>
      <c r="G7" s="8">
        <v>2000</v>
      </c>
      <c r="H7" s="8">
        <v>20000</v>
      </c>
    </row>
    <row r="8" spans="1:10" ht="25.8" x14ac:dyDescent="0.5">
      <c r="B8" s="7"/>
      <c r="C8" s="8"/>
      <c r="D8" s="8"/>
      <c r="E8" s="8"/>
      <c r="F8" s="8"/>
      <c r="G8" s="8"/>
      <c r="H8" s="15">
        <v>63500</v>
      </c>
    </row>
    <row r="9" spans="1:10" ht="25.8" x14ac:dyDescent="0.5">
      <c r="B9" s="7"/>
      <c r="C9" s="8"/>
      <c r="D9" s="8"/>
      <c r="E9" s="8"/>
      <c r="F9" s="8"/>
      <c r="G9" s="8"/>
      <c r="H9" s="9"/>
    </row>
    <row r="10" spans="1:10" ht="25.8" x14ac:dyDescent="0.5">
      <c r="B10" s="7"/>
      <c r="C10" s="8"/>
      <c r="D10" s="8"/>
      <c r="E10" s="8"/>
      <c r="F10" s="8"/>
      <c r="G10" s="8"/>
      <c r="H10" s="9"/>
    </row>
    <row r="11" spans="1:10" ht="25.8" x14ac:dyDescent="0.5">
      <c r="B11" s="7"/>
      <c r="C11" s="8"/>
      <c r="D11" s="8"/>
      <c r="E11" s="8"/>
      <c r="F11" s="8"/>
      <c r="G11" s="8"/>
      <c r="H11" s="16"/>
    </row>
    <row r="13" spans="1:10" ht="15" thickBot="1" x14ac:dyDescent="0.35"/>
    <row r="14" spans="1:10" ht="16.2" thickBot="1" x14ac:dyDescent="0.35">
      <c r="B14" s="158" t="s">
        <v>184</v>
      </c>
      <c r="C14" s="158"/>
      <c r="D14" s="158"/>
      <c r="E14" s="158"/>
      <c r="F14" s="158"/>
      <c r="G14" s="158"/>
      <c r="H14" s="158"/>
    </row>
    <row r="15" spans="1:10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44</v>
      </c>
      <c r="H15" s="3" t="s">
        <v>31</v>
      </c>
    </row>
    <row r="16" spans="1:10" ht="25.8" x14ac:dyDescent="0.5">
      <c r="B16" s="7">
        <v>41766</v>
      </c>
      <c r="C16" s="8" t="s">
        <v>13</v>
      </c>
      <c r="D16" s="8" t="s">
        <v>30</v>
      </c>
      <c r="E16" s="8">
        <v>6700</v>
      </c>
      <c r="F16" s="8">
        <v>6760</v>
      </c>
      <c r="G16" s="8">
        <v>60</v>
      </c>
      <c r="H16" s="8">
        <v>-30000</v>
      </c>
    </row>
    <row r="17" spans="2:8" ht="25.8" x14ac:dyDescent="0.5">
      <c r="B17" s="7">
        <v>41774</v>
      </c>
      <c r="C17" s="8" t="s">
        <v>20</v>
      </c>
      <c r="D17" s="8" t="s">
        <v>30</v>
      </c>
      <c r="E17" s="8">
        <v>7150</v>
      </c>
      <c r="F17" s="8">
        <v>7300</v>
      </c>
      <c r="G17" s="8">
        <v>150</v>
      </c>
      <c r="H17" s="8">
        <v>75000</v>
      </c>
    </row>
    <row r="18" spans="2:8" ht="25.8" x14ac:dyDescent="0.5">
      <c r="B18" s="7">
        <v>41782</v>
      </c>
      <c r="C18" s="8" t="s">
        <v>8</v>
      </c>
      <c r="D18" s="8" t="s">
        <v>30</v>
      </c>
      <c r="E18" s="8">
        <v>7365</v>
      </c>
      <c r="F18" s="8">
        <v>7465</v>
      </c>
      <c r="G18" s="8">
        <v>100</v>
      </c>
      <c r="H18" s="8">
        <v>50000</v>
      </c>
    </row>
    <row r="19" spans="2:8" ht="25.8" x14ac:dyDescent="0.5">
      <c r="B19" s="7"/>
      <c r="C19" s="8"/>
      <c r="D19" s="8"/>
      <c r="E19" s="8"/>
      <c r="F19" s="8"/>
      <c r="G19" s="8"/>
      <c r="H19" s="15">
        <v>95000</v>
      </c>
    </row>
    <row r="20" spans="2:8" ht="25.8" x14ac:dyDescent="0.5">
      <c r="B20" s="7"/>
      <c r="C20" s="8"/>
      <c r="D20" s="8"/>
      <c r="E20" s="8"/>
      <c r="F20" s="8"/>
      <c r="G20" s="8"/>
      <c r="H20" s="9"/>
    </row>
    <row r="21" spans="2:8" ht="25.8" x14ac:dyDescent="0.5">
      <c r="B21" s="7"/>
      <c r="C21" s="8"/>
      <c r="D21" s="8"/>
      <c r="E21" s="8"/>
      <c r="F21" s="8"/>
      <c r="G21" s="8"/>
      <c r="H21" s="9"/>
    </row>
    <row r="23" spans="2:8" ht="15" thickBot="1" x14ac:dyDescent="0.35"/>
    <row r="24" spans="2:8" ht="16.2" thickBot="1" x14ac:dyDescent="0.35">
      <c r="B24" s="158" t="s">
        <v>185</v>
      </c>
      <c r="C24" s="158"/>
      <c r="D24" s="158"/>
      <c r="E24" s="158"/>
      <c r="F24" s="158"/>
      <c r="G24" s="158"/>
      <c r="H24" s="158"/>
    </row>
    <row r="25" spans="2:8" x14ac:dyDescent="0.3">
      <c r="B25" s="1" t="s">
        <v>1</v>
      </c>
      <c r="C25" s="2" t="s">
        <v>2</v>
      </c>
      <c r="D25" s="2" t="s">
        <v>3</v>
      </c>
      <c r="E25" s="3" t="s">
        <v>4</v>
      </c>
      <c r="F25" s="3" t="s">
        <v>5</v>
      </c>
      <c r="G25" s="3" t="s">
        <v>6</v>
      </c>
      <c r="H25" s="3" t="s">
        <v>89</v>
      </c>
    </row>
    <row r="26" spans="2:8" ht="25.8" x14ac:dyDescent="0.5">
      <c r="B26" s="7">
        <v>41773</v>
      </c>
      <c r="C26" s="8" t="s">
        <v>8</v>
      </c>
      <c r="D26" s="8" t="s">
        <v>171</v>
      </c>
      <c r="E26" s="8">
        <v>70</v>
      </c>
      <c r="F26" s="8">
        <v>110</v>
      </c>
      <c r="G26" s="8">
        <v>250</v>
      </c>
      <c r="H26" s="8">
        <v>10000</v>
      </c>
    </row>
    <row r="27" spans="2:8" ht="25.8" x14ac:dyDescent="0.5">
      <c r="B27" s="13">
        <v>41782</v>
      </c>
      <c r="C27" s="8" t="s">
        <v>8</v>
      </c>
      <c r="D27" s="8" t="s">
        <v>174</v>
      </c>
      <c r="E27" s="8">
        <v>160</v>
      </c>
      <c r="F27" s="8">
        <v>260</v>
      </c>
      <c r="G27" s="8">
        <v>100</v>
      </c>
      <c r="H27" s="8">
        <v>10000</v>
      </c>
    </row>
    <row r="28" spans="2:8" ht="25.8" x14ac:dyDescent="0.5">
      <c r="B28" s="7">
        <v>41785</v>
      </c>
      <c r="C28" s="8" t="s">
        <v>8</v>
      </c>
      <c r="D28" s="8" t="s">
        <v>173</v>
      </c>
      <c r="E28" s="8">
        <v>50</v>
      </c>
      <c r="F28" s="8">
        <v>100</v>
      </c>
      <c r="G28" s="8">
        <v>375</v>
      </c>
      <c r="H28" s="8">
        <v>18750</v>
      </c>
    </row>
    <row r="29" spans="2:8" ht="25.8" x14ac:dyDescent="0.5">
      <c r="B29" s="13"/>
      <c r="C29" s="8"/>
      <c r="D29" s="8"/>
      <c r="E29" s="8"/>
      <c r="F29" s="8"/>
      <c r="G29" s="8"/>
      <c r="H29" s="15">
        <v>38750</v>
      </c>
    </row>
    <row r="30" spans="2:8" ht="25.8" x14ac:dyDescent="0.5">
      <c r="B30" s="7"/>
      <c r="C30" s="8"/>
      <c r="D30" s="8"/>
      <c r="E30" s="8"/>
      <c r="F30" s="8"/>
      <c r="G30" s="8"/>
      <c r="H30" s="17"/>
    </row>
    <row r="31" spans="2:8" ht="25.8" x14ac:dyDescent="0.5">
      <c r="B31" s="13"/>
      <c r="C31" s="8"/>
      <c r="D31" s="8"/>
      <c r="E31" s="8"/>
      <c r="F31" s="8"/>
      <c r="G31" s="8"/>
      <c r="H31" s="9"/>
    </row>
    <row r="32" spans="2:8" ht="25.8" x14ac:dyDescent="0.5">
      <c r="B32" s="13"/>
      <c r="C32" s="8"/>
      <c r="D32" s="8"/>
      <c r="E32" s="8"/>
      <c r="F32" s="8"/>
      <c r="G32" s="8"/>
      <c r="H32" s="8"/>
    </row>
    <row r="33" spans="2:8" ht="25.8" x14ac:dyDescent="0.5">
      <c r="B33" s="13"/>
      <c r="C33" s="8"/>
      <c r="D33" s="8"/>
      <c r="E33" s="8"/>
      <c r="F33" s="8"/>
      <c r="G33" s="8"/>
      <c r="H33" s="8"/>
    </row>
    <row r="34" spans="2:8" ht="25.8" x14ac:dyDescent="0.5">
      <c r="B34" s="13"/>
      <c r="C34" s="8"/>
      <c r="D34" s="8"/>
      <c r="E34" s="8"/>
      <c r="F34" s="8"/>
      <c r="G34" s="8"/>
      <c r="H34" s="8"/>
    </row>
    <row r="35" spans="2:8" ht="25.8" x14ac:dyDescent="0.5">
      <c r="H35" s="9"/>
    </row>
  </sheetData>
  <mergeCells count="5">
    <mergeCell ref="B1:H1"/>
    <mergeCell ref="B2:H2"/>
    <mergeCell ref="B3:H3"/>
    <mergeCell ref="B14:H14"/>
    <mergeCell ref="B24:H24"/>
  </mergeCells>
  <hyperlinks>
    <hyperlink ref="J2" location="'Home Page'!A1" display="Back" xr:uid="{00000000-0004-0000-0E00-000000000000}"/>
  </hyperlinks>
  <pageMargins left="0.7" right="0.7" top="0.75" bottom="0.75" header="0.3" footer="0.3"/>
  <pageSetup orientation="portrait" horizontalDpi="30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J33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0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180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/>
      <c r="C5" s="8"/>
      <c r="D5" s="8"/>
      <c r="E5" s="8"/>
      <c r="F5" s="8"/>
      <c r="G5" s="8"/>
      <c r="H5" s="8"/>
    </row>
    <row r="6" spans="1:10" ht="25.8" x14ac:dyDescent="0.5">
      <c r="B6" s="7">
        <v>41801</v>
      </c>
      <c r="C6" s="8" t="s">
        <v>13</v>
      </c>
      <c r="D6" s="8" t="s">
        <v>178</v>
      </c>
      <c r="E6" s="8">
        <v>292</v>
      </c>
      <c r="F6" s="8">
        <v>283</v>
      </c>
      <c r="G6" s="8">
        <v>2000</v>
      </c>
      <c r="H6" s="8">
        <v>18000</v>
      </c>
    </row>
    <row r="7" spans="1:10" ht="25.8" x14ac:dyDescent="0.5">
      <c r="B7" s="7">
        <v>41802</v>
      </c>
      <c r="C7" s="8" t="s">
        <v>13</v>
      </c>
      <c r="D7" s="8" t="s">
        <v>178</v>
      </c>
      <c r="E7" s="8">
        <v>285</v>
      </c>
      <c r="F7" s="8">
        <v>275</v>
      </c>
      <c r="G7" s="8">
        <v>2000</v>
      </c>
      <c r="H7" s="8">
        <v>20000</v>
      </c>
    </row>
    <row r="8" spans="1:10" ht="25.8" x14ac:dyDescent="0.5">
      <c r="B8" s="7">
        <v>41806</v>
      </c>
      <c r="C8" s="8" t="s">
        <v>8</v>
      </c>
      <c r="D8" s="8" t="s">
        <v>11</v>
      </c>
      <c r="E8" s="8">
        <v>2575</v>
      </c>
      <c r="F8" s="8">
        <v>2675</v>
      </c>
      <c r="G8" s="8">
        <v>250</v>
      </c>
      <c r="H8" s="17">
        <v>25000</v>
      </c>
    </row>
    <row r="9" spans="1:10" ht="25.8" x14ac:dyDescent="0.5">
      <c r="B9" s="7">
        <v>41810</v>
      </c>
      <c r="C9" s="8" t="s">
        <v>8</v>
      </c>
      <c r="D9" s="8" t="s">
        <v>61</v>
      </c>
      <c r="E9" s="8">
        <v>2375</v>
      </c>
      <c r="F9" s="8">
        <v>2475</v>
      </c>
      <c r="G9" s="8">
        <v>250</v>
      </c>
      <c r="H9" s="8">
        <v>25000</v>
      </c>
    </row>
    <row r="10" spans="1:10" ht="25.8" x14ac:dyDescent="0.5">
      <c r="B10" s="7"/>
      <c r="C10" s="8"/>
      <c r="D10" s="8"/>
      <c r="E10" s="8"/>
      <c r="F10" s="8"/>
      <c r="G10" s="8"/>
      <c r="H10" s="9">
        <v>88000</v>
      </c>
    </row>
    <row r="12" spans="1:10" ht="15" thickBot="1" x14ac:dyDescent="0.35"/>
    <row r="13" spans="1:10" ht="16.2" thickBot="1" x14ac:dyDescent="0.35">
      <c r="B13" s="158" t="s">
        <v>181</v>
      </c>
      <c r="C13" s="158"/>
      <c r="D13" s="158"/>
      <c r="E13" s="158"/>
      <c r="F13" s="158"/>
      <c r="G13" s="158"/>
      <c r="H13" s="158"/>
    </row>
    <row r="14" spans="1:10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31</v>
      </c>
    </row>
    <row r="15" spans="1:10" ht="25.8" x14ac:dyDescent="0.5">
      <c r="B15" s="7">
        <v>41762</v>
      </c>
      <c r="C15" s="8" t="s">
        <v>20</v>
      </c>
      <c r="D15" s="8" t="s">
        <v>176</v>
      </c>
      <c r="E15" s="8">
        <v>7405</v>
      </c>
      <c r="F15" s="8">
        <v>7550</v>
      </c>
      <c r="G15" s="8">
        <v>145</v>
      </c>
      <c r="H15" s="8">
        <v>72500</v>
      </c>
    </row>
    <row r="16" spans="1:10" ht="25.8" x14ac:dyDescent="0.5">
      <c r="B16" s="13">
        <v>41799</v>
      </c>
      <c r="C16" s="8" t="s">
        <v>20</v>
      </c>
      <c r="D16" s="8" t="s">
        <v>176</v>
      </c>
      <c r="E16" s="8">
        <v>7670</v>
      </c>
      <c r="F16" s="8">
        <v>7710</v>
      </c>
      <c r="G16" s="8">
        <v>40</v>
      </c>
      <c r="H16" s="8">
        <v>20000</v>
      </c>
    </row>
    <row r="17" spans="2:8" ht="25.8" x14ac:dyDescent="0.5">
      <c r="B17" s="7">
        <v>41802</v>
      </c>
      <c r="C17" s="8" t="s">
        <v>13</v>
      </c>
      <c r="D17" s="8" t="s">
        <v>176</v>
      </c>
      <c r="E17" s="8">
        <v>7660</v>
      </c>
      <c r="F17" s="8">
        <v>7560</v>
      </c>
      <c r="G17" s="8">
        <v>100</v>
      </c>
      <c r="H17" s="8">
        <v>50000</v>
      </c>
    </row>
    <row r="18" spans="2:8" ht="25.8" x14ac:dyDescent="0.5">
      <c r="B18" s="7">
        <v>41806</v>
      </c>
      <c r="C18" s="8" t="s">
        <v>8</v>
      </c>
      <c r="D18" s="8" t="s">
        <v>176</v>
      </c>
      <c r="E18" s="8">
        <v>7545</v>
      </c>
      <c r="F18" s="8">
        <v>7660</v>
      </c>
      <c r="G18" s="8">
        <v>115</v>
      </c>
      <c r="H18" s="8">
        <v>57500</v>
      </c>
    </row>
    <row r="19" spans="2:8" ht="25.8" x14ac:dyDescent="0.5">
      <c r="B19" s="7"/>
      <c r="C19" s="8"/>
      <c r="D19" s="8"/>
      <c r="E19" s="8"/>
      <c r="F19" s="8"/>
      <c r="G19" s="8"/>
      <c r="H19" s="9">
        <v>200000</v>
      </c>
    </row>
    <row r="21" spans="2:8" ht="15" thickBot="1" x14ac:dyDescent="0.35"/>
    <row r="22" spans="2:8" ht="16.2" thickBot="1" x14ac:dyDescent="0.35">
      <c r="B22" s="158" t="s">
        <v>182</v>
      </c>
      <c r="C22" s="158"/>
      <c r="D22" s="158"/>
      <c r="E22" s="158"/>
      <c r="F22" s="158"/>
      <c r="G22" s="158"/>
      <c r="H22" s="158"/>
    </row>
    <row r="23" spans="2:8" x14ac:dyDescent="0.3">
      <c r="B23" s="1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89</v>
      </c>
    </row>
    <row r="24" spans="2:8" ht="25.8" x14ac:dyDescent="0.5">
      <c r="B24" s="7">
        <v>41792</v>
      </c>
      <c r="C24" s="8" t="s">
        <v>20</v>
      </c>
      <c r="D24" s="8" t="s">
        <v>175</v>
      </c>
      <c r="E24" s="8">
        <v>70</v>
      </c>
      <c r="F24" s="8">
        <v>115</v>
      </c>
      <c r="G24" s="8">
        <v>250</v>
      </c>
      <c r="H24" s="8">
        <v>11250</v>
      </c>
    </row>
    <row r="25" spans="2:8" ht="25.8" x14ac:dyDescent="0.5">
      <c r="B25" s="13">
        <v>41801</v>
      </c>
      <c r="C25" s="8" t="s">
        <v>8</v>
      </c>
      <c r="D25" s="8" t="s">
        <v>177</v>
      </c>
      <c r="E25" s="8">
        <v>95</v>
      </c>
      <c r="F25" s="8">
        <v>155</v>
      </c>
      <c r="G25" s="8">
        <v>200</v>
      </c>
      <c r="H25" s="8">
        <v>12000</v>
      </c>
    </row>
    <row r="26" spans="2:8" ht="25.8" x14ac:dyDescent="0.5">
      <c r="B26" s="7">
        <v>41806</v>
      </c>
      <c r="C26" s="8" t="s">
        <v>8</v>
      </c>
      <c r="D26" s="8" t="s">
        <v>179</v>
      </c>
      <c r="E26" s="8">
        <v>60</v>
      </c>
      <c r="F26" s="8">
        <v>105</v>
      </c>
      <c r="G26" s="8">
        <v>250</v>
      </c>
      <c r="H26" s="8">
        <v>11250</v>
      </c>
    </row>
    <row r="27" spans="2:8" ht="25.8" x14ac:dyDescent="0.5">
      <c r="B27" s="13"/>
      <c r="C27" s="8"/>
      <c r="D27" s="8"/>
      <c r="E27" s="8"/>
      <c r="F27" s="8"/>
      <c r="G27" s="8"/>
      <c r="H27" s="16">
        <v>34500</v>
      </c>
    </row>
    <row r="28" spans="2:8" ht="25.8" x14ac:dyDescent="0.5">
      <c r="B28" s="7"/>
      <c r="C28" s="8"/>
      <c r="D28" s="8"/>
      <c r="E28" s="8"/>
      <c r="F28" s="8"/>
      <c r="G28" s="8"/>
      <c r="H28" s="17"/>
    </row>
    <row r="29" spans="2:8" ht="25.8" x14ac:dyDescent="0.5">
      <c r="B29" s="13"/>
      <c r="C29" s="8"/>
      <c r="D29" s="8"/>
      <c r="E29" s="8"/>
      <c r="F29" s="8"/>
      <c r="G29" s="8"/>
      <c r="H29" s="9"/>
    </row>
    <row r="30" spans="2:8" ht="25.8" x14ac:dyDescent="0.5">
      <c r="B30" s="13"/>
      <c r="C30" s="8"/>
      <c r="D30" s="8"/>
      <c r="E30" s="8"/>
      <c r="F30" s="8"/>
      <c r="G30" s="8"/>
      <c r="H30" s="8"/>
    </row>
    <row r="31" spans="2:8" ht="25.8" x14ac:dyDescent="0.5">
      <c r="B31" s="13"/>
      <c r="C31" s="8"/>
      <c r="D31" s="8"/>
      <c r="E31" s="8"/>
      <c r="F31" s="8"/>
      <c r="G31" s="8"/>
      <c r="H31" s="8"/>
    </row>
    <row r="32" spans="2:8" ht="25.8" x14ac:dyDescent="0.5">
      <c r="B32" s="13"/>
      <c r="C32" s="8"/>
      <c r="D32" s="8"/>
      <c r="E32" s="8"/>
      <c r="F32" s="8"/>
      <c r="G32" s="8"/>
      <c r="H32" s="8"/>
    </row>
    <row r="33" spans="8:8" ht="25.8" x14ac:dyDescent="0.5">
      <c r="H33" s="9"/>
    </row>
  </sheetData>
  <mergeCells count="5">
    <mergeCell ref="B1:H1"/>
    <mergeCell ref="B2:H2"/>
    <mergeCell ref="B3:H3"/>
    <mergeCell ref="B13:H13"/>
    <mergeCell ref="B22:H22"/>
  </mergeCells>
  <hyperlinks>
    <hyperlink ref="J2" location="'Home Page'!A1" display="Back" xr:uid="{00000000-0004-0000-0F00-000000000000}"/>
  </hyperlinks>
  <pageMargins left="0.7" right="0.7" top="0.75" bottom="0.75" header="0.3" footer="0.3"/>
  <pageSetup orientation="portrait" horizontalDpi="3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K30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8.33203125" bestFit="1" customWidth="1"/>
    <col min="5" max="7" width="9.5546875" bestFit="1" customWidth="1"/>
    <col min="8" max="8" width="14.88671875" bestFit="1" customWidth="1"/>
    <col min="9" max="9" width="27.8867187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186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7">
        <v>41822</v>
      </c>
      <c r="C5" s="8" t="s">
        <v>13</v>
      </c>
      <c r="D5" s="8" t="s">
        <v>189</v>
      </c>
      <c r="E5" s="8">
        <v>400</v>
      </c>
      <c r="F5" s="8">
        <v>385</v>
      </c>
      <c r="G5" s="8">
        <v>2000</v>
      </c>
      <c r="H5" s="8">
        <v>30000</v>
      </c>
      <c r="I5" s="8" t="s">
        <v>195</v>
      </c>
    </row>
    <row r="6" spans="1:11" ht="25.8" x14ac:dyDescent="0.5">
      <c r="B6" s="7">
        <v>41836</v>
      </c>
      <c r="C6" s="8" t="s">
        <v>20</v>
      </c>
      <c r="D6" s="8" t="s">
        <v>191</v>
      </c>
      <c r="E6" s="8">
        <v>158</v>
      </c>
      <c r="F6" s="8">
        <v>162</v>
      </c>
      <c r="G6" s="8">
        <v>4000</v>
      </c>
      <c r="H6" s="8">
        <v>16000</v>
      </c>
      <c r="I6" s="8" t="s">
        <v>196</v>
      </c>
    </row>
    <row r="7" spans="1:11" ht="25.8" x14ac:dyDescent="0.5">
      <c r="B7" s="7">
        <v>41844</v>
      </c>
      <c r="C7" s="8" t="s">
        <v>13</v>
      </c>
      <c r="D7" s="8" t="s">
        <v>194</v>
      </c>
      <c r="E7" s="8">
        <v>395</v>
      </c>
      <c r="F7" s="8">
        <v>380</v>
      </c>
      <c r="G7" s="8">
        <v>2000</v>
      </c>
      <c r="H7" s="8">
        <v>30000</v>
      </c>
      <c r="I7" s="8" t="s">
        <v>195</v>
      </c>
    </row>
    <row r="8" spans="1:11" ht="25.8" x14ac:dyDescent="0.5">
      <c r="B8" s="7"/>
      <c r="C8" s="8"/>
      <c r="D8" s="8"/>
      <c r="E8" s="8"/>
      <c r="F8" s="8"/>
      <c r="G8" s="8"/>
      <c r="H8" s="16" t="s">
        <v>201</v>
      </c>
      <c r="I8" s="17"/>
    </row>
    <row r="10" spans="1:11" ht="15" thickBot="1" x14ac:dyDescent="0.35"/>
    <row r="11" spans="1:11" ht="16.2" thickBot="1" x14ac:dyDescent="0.35">
      <c r="B11" s="158" t="s">
        <v>187</v>
      </c>
      <c r="C11" s="158"/>
      <c r="D11" s="158"/>
      <c r="E11" s="158"/>
      <c r="F11" s="158"/>
      <c r="G11" s="158"/>
      <c r="H11" s="158"/>
      <c r="I11" s="19"/>
    </row>
    <row r="12" spans="1:11" x14ac:dyDescent="0.3">
      <c r="B12" s="1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3" t="s">
        <v>44</v>
      </c>
      <c r="H12" s="3" t="s">
        <v>31</v>
      </c>
      <c r="I12" s="20" t="s">
        <v>200</v>
      </c>
    </row>
    <row r="13" spans="1:11" ht="25.8" x14ac:dyDescent="0.5">
      <c r="B13" s="7">
        <v>41831</v>
      </c>
      <c r="C13" s="8" t="s">
        <v>13</v>
      </c>
      <c r="D13" s="8" t="s">
        <v>30</v>
      </c>
      <c r="E13" s="8">
        <v>7500</v>
      </c>
      <c r="F13" s="8">
        <v>7560</v>
      </c>
      <c r="G13" s="8">
        <v>60</v>
      </c>
      <c r="H13" s="8">
        <v>-30000</v>
      </c>
      <c r="I13" s="8" t="s">
        <v>197</v>
      </c>
    </row>
    <row r="14" spans="1:11" ht="25.8" x14ac:dyDescent="0.5">
      <c r="B14" s="13">
        <v>41837</v>
      </c>
      <c r="C14" s="8" t="s">
        <v>13</v>
      </c>
      <c r="D14" s="8" t="s">
        <v>30</v>
      </c>
      <c r="E14" s="8">
        <v>7660</v>
      </c>
      <c r="F14" s="8">
        <v>7590</v>
      </c>
      <c r="G14" s="8">
        <v>70</v>
      </c>
      <c r="H14" s="8">
        <v>35000</v>
      </c>
      <c r="I14" s="8" t="s">
        <v>198</v>
      </c>
    </row>
    <row r="15" spans="1:11" ht="25.8" x14ac:dyDescent="0.5">
      <c r="B15" s="7">
        <v>41844</v>
      </c>
      <c r="C15" s="8" t="s">
        <v>13</v>
      </c>
      <c r="D15" s="8" t="s">
        <v>30</v>
      </c>
      <c r="E15" s="8">
        <v>7835</v>
      </c>
      <c r="F15" s="8">
        <v>7725</v>
      </c>
      <c r="G15" s="8">
        <v>110</v>
      </c>
      <c r="H15" s="8">
        <v>55000</v>
      </c>
      <c r="I15" s="8" t="s">
        <v>199</v>
      </c>
    </row>
    <row r="16" spans="1:11" ht="25.8" x14ac:dyDescent="0.5">
      <c r="B16" s="7"/>
      <c r="C16" s="8"/>
      <c r="D16" s="8"/>
      <c r="E16" s="8"/>
      <c r="F16" s="8"/>
      <c r="G16" s="8"/>
      <c r="H16" s="9">
        <v>60000</v>
      </c>
      <c r="I16" s="8"/>
    </row>
    <row r="18" spans="2:9" ht="15" thickBot="1" x14ac:dyDescent="0.35"/>
    <row r="19" spans="2:9" ht="16.2" thickBot="1" x14ac:dyDescent="0.35">
      <c r="B19" s="158" t="s">
        <v>188</v>
      </c>
      <c r="C19" s="158"/>
      <c r="D19" s="158"/>
      <c r="E19" s="158"/>
      <c r="F19" s="158"/>
      <c r="G19" s="158"/>
      <c r="H19" s="158"/>
      <c r="I19" s="19"/>
    </row>
    <row r="20" spans="2:9" x14ac:dyDescent="0.3">
      <c r="B20" s="1" t="s">
        <v>1</v>
      </c>
      <c r="C20" s="2" t="s">
        <v>2</v>
      </c>
      <c r="D20" s="2" t="s">
        <v>3</v>
      </c>
      <c r="E20" s="3" t="s">
        <v>4</v>
      </c>
      <c r="F20" s="3" t="s">
        <v>5</v>
      </c>
      <c r="G20" s="3" t="s">
        <v>6</v>
      </c>
      <c r="H20" s="3" t="s">
        <v>89</v>
      </c>
      <c r="I20" s="20" t="s">
        <v>200</v>
      </c>
    </row>
    <row r="21" spans="2:9" ht="25.8" x14ac:dyDescent="0.5">
      <c r="B21" s="7">
        <v>41822</v>
      </c>
      <c r="C21" s="8" t="s">
        <v>20</v>
      </c>
      <c r="D21" s="8" t="s">
        <v>173</v>
      </c>
      <c r="E21" s="8">
        <v>100</v>
      </c>
      <c r="F21" s="8">
        <v>165</v>
      </c>
      <c r="G21" s="8">
        <v>250</v>
      </c>
      <c r="H21" s="8">
        <v>16250</v>
      </c>
      <c r="I21" s="8" t="s">
        <v>195</v>
      </c>
    </row>
    <row r="22" spans="2:9" ht="25.8" x14ac:dyDescent="0.5">
      <c r="B22" s="13">
        <v>41831</v>
      </c>
      <c r="C22" s="8" t="s">
        <v>8</v>
      </c>
      <c r="D22" s="8" t="s">
        <v>190</v>
      </c>
      <c r="E22" s="8">
        <v>45</v>
      </c>
      <c r="F22" s="8">
        <v>21</v>
      </c>
      <c r="G22" s="8">
        <v>250</v>
      </c>
      <c r="H22" s="8">
        <v>-6000</v>
      </c>
      <c r="I22" s="8" t="s">
        <v>197</v>
      </c>
    </row>
    <row r="23" spans="2:9" ht="25.8" x14ac:dyDescent="0.5">
      <c r="B23" s="7">
        <v>41836</v>
      </c>
      <c r="C23" s="8" t="s">
        <v>8</v>
      </c>
      <c r="D23" s="8" t="s">
        <v>193</v>
      </c>
      <c r="E23" s="8">
        <v>15</v>
      </c>
      <c r="F23" s="8">
        <v>9</v>
      </c>
      <c r="G23" s="8">
        <v>1000</v>
      </c>
      <c r="H23" s="8">
        <v>-6000</v>
      </c>
      <c r="I23" s="8" t="s">
        <v>197</v>
      </c>
    </row>
    <row r="24" spans="2:9" ht="25.8" x14ac:dyDescent="0.5">
      <c r="B24" s="7">
        <v>41842</v>
      </c>
      <c r="C24" s="8" t="s">
        <v>8</v>
      </c>
      <c r="D24" s="8" t="s">
        <v>192</v>
      </c>
      <c r="E24" s="8">
        <v>4</v>
      </c>
      <c r="F24" s="8">
        <v>8</v>
      </c>
      <c r="G24" s="8">
        <v>4000</v>
      </c>
      <c r="H24" s="17" t="s">
        <v>169</v>
      </c>
      <c r="I24" s="17" t="s">
        <v>195</v>
      </c>
    </row>
    <row r="25" spans="2:9" ht="25.8" x14ac:dyDescent="0.5">
      <c r="B25" s="7"/>
      <c r="C25" s="8"/>
      <c r="D25" s="8"/>
      <c r="E25" s="8"/>
      <c r="F25" s="8"/>
      <c r="G25" s="8"/>
      <c r="H25" s="16" t="s">
        <v>202</v>
      </c>
      <c r="I25" s="17"/>
    </row>
    <row r="26" spans="2:9" ht="25.8" x14ac:dyDescent="0.5">
      <c r="B26" s="13"/>
      <c r="C26" s="8"/>
      <c r="D26" s="8"/>
      <c r="E26" s="8"/>
      <c r="F26" s="8"/>
      <c r="G26" s="8"/>
      <c r="H26" s="9"/>
      <c r="I26" s="9"/>
    </row>
    <row r="27" spans="2:9" ht="25.8" x14ac:dyDescent="0.5">
      <c r="B27" s="13"/>
      <c r="C27" s="8"/>
      <c r="D27" s="8"/>
      <c r="E27" s="8"/>
      <c r="F27" s="8"/>
      <c r="G27" s="8"/>
      <c r="H27" s="8"/>
      <c r="I27" s="8"/>
    </row>
    <row r="28" spans="2:9" ht="25.8" x14ac:dyDescent="0.5">
      <c r="B28" s="13"/>
      <c r="C28" s="8"/>
      <c r="D28" s="8"/>
      <c r="E28" s="8"/>
      <c r="F28" s="8"/>
      <c r="G28" s="8"/>
      <c r="H28" s="8"/>
      <c r="I28" s="8"/>
    </row>
    <row r="29" spans="2:9" ht="25.8" x14ac:dyDescent="0.5">
      <c r="B29" s="13"/>
      <c r="C29" s="8"/>
      <c r="D29" s="8"/>
      <c r="E29" s="8"/>
      <c r="F29" s="8"/>
      <c r="G29" s="8"/>
      <c r="H29" s="8"/>
      <c r="I29" s="8"/>
    </row>
    <row r="30" spans="2:9" ht="25.8" x14ac:dyDescent="0.5">
      <c r="H30" s="9"/>
      <c r="I30" s="9"/>
    </row>
  </sheetData>
  <mergeCells count="5">
    <mergeCell ref="B1:H1"/>
    <mergeCell ref="B2:H2"/>
    <mergeCell ref="B3:H3"/>
    <mergeCell ref="B11:H11"/>
    <mergeCell ref="B19:H19"/>
  </mergeCells>
  <hyperlinks>
    <hyperlink ref="K2" location="'Home Page'!A1" display="Back" xr:uid="{00000000-0004-0000-1000-000000000000}"/>
  </hyperlinks>
  <pageMargins left="0.7" right="0.7" top="0.75" bottom="0.75" header="0.3" footer="0.3"/>
  <pageSetup orientation="portrait" horizontalDpi="300" verticalDpi="0" r:id="rId1"/>
  <ignoredErrors>
    <ignoredError sqref="H24:H25 H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K30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0" bestFit="1" customWidth="1"/>
    <col min="5" max="6" width="11.5546875" bestFit="1" customWidth="1"/>
    <col min="7" max="7" width="9.5546875" bestFit="1" customWidth="1"/>
    <col min="8" max="8" width="14.88671875" bestFit="1" customWidth="1"/>
    <col min="9" max="9" width="15.554687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203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7">
        <v>41855</v>
      </c>
      <c r="C5" s="8" t="s">
        <v>13</v>
      </c>
      <c r="D5" s="8" t="s">
        <v>166</v>
      </c>
      <c r="E5" s="8">
        <v>140.5</v>
      </c>
      <c r="F5" s="8">
        <v>134.5</v>
      </c>
      <c r="G5" s="8">
        <v>4000</v>
      </c>
      <c r="H5" s="8">
        <v>24000</v>
      </c>
      <c r="I5" s="8" t="s">
        <v>198</v>
      </c>
    </row>
    <row r="6" spans="1:11" ht="25.8" x14ac:dyDescent="0.5">
      <c r="B6" s="7">
        <v>41871</v>
      </c>
      <c r="C6" s="8" t="s">
        <v>13</v>
      </c>
      <c r="D6" s="8" t="s">
        <v>14</v>
      </c>
      <c r="E6" s="8">
        <v>201</v>
      </c>
      <c r="F6" s="8">
        <v>192</v>
      </c>
      <c r="G6" s="8">
        <v>4000</v>
      </c>
      <c r="H6" s="8">
        <v>36000</v>
      </c>
      <c r="I6" s="8" t="s">
        <v>195</v>
      </c>
    </row>
    <row r="7" spans="1:11" ht="25.8" x14ac:dyDescent="0.5">
      <c r="B7" s="7">
        <v>41876</v>
      </c>
      <c r="C7" s="8" t="s">
        <v>13</v>
      </c>
      <c r="D7" s="8" t="s">
        <v>212</v>
      </c>
      <c r="E7" s="8">
        <v>435</v>
      </c>
      <c r="F7" s="8">
        <v>420</v>
      </c>
      <c r="G7" s="8">
        <v>2000</v>
      </c>
      <c r="H7" s="8">
        <v>30000</v>
      </c>
      <c r="I7" s="8" t="s">
        <v>195</v>
      </c>
    </row>
    <row r="8" spans="1:11" ht="25.8" x14ac:dyDescent="0.5">
      <c r="B8" s="7"/>
      <c r="C8" s="8"/>
      <c r="D8" s="8"/>
      <c r="E8" s="8"/>
      <c r="F8" s="8"/>
      <c r="G8" s="8"/>
      <c r="H8" s="16" t="s">
        <v>213</v>
      </c>
      <c r="I8" s="17"/>
    </row>
    <row r="10" spans="1:11" ht="15" thickBot="1" x14ac:dyDescent="0.35"/>
    <row r="11" spans="1:11" ht="16.2" thickBot="1" x14ac:dyDescent="0.35">
      <c r="B11" s="158" t="s">
        <v>204</v>
      </c>
      <c r="C11" s="158"/>
      <c r="D11" s="158"/>
      <c r="E11" s="158"/>
      <c r="F11" s="158"/>
      <c r="G11" s="158"/>
      <c r="H11" s="158"/>
      <c r="I11" s="19"/>
    </row>
    <row r="12" spans="1:11" x14ac:dyDescent="0.3">
      <c r="B12" s="1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3" t="s">
        <v>44</v>
      </c>
      <c r="H12" s="3" t="s">
        <v>31</v>
      </c>
      <c r="I12" s="20" t="s">
        <v>200</v>
      </c>
    </row>
    <row r="13" spans="1:11" ht="25.8" x14ac:dyDescent="0.5">
      <c r="B13" s="7">
        <v>41856</v>
      </c>
      <c r="C13" s="8" t="s">
        <v>13</v>
      </c>
      <c r="D13" s="8" t="s">
        <v>30</v>
      </c>
      <c r="E13" s="8">
        <v>7740</v>
      </c>
      <c r="F13" s="8">
        <v>7670</v>
      </c>
      <c r="G13" s="8">
        <v>60</v>
      </c>
      <c r="H13" s="8">
        <v>30000</v>
      </c>
      <c r="I13" s="8" t="s">
        <v>198</v>
      </c>
    </row>
    <row r="14" spans="1:11" ht="25.8" x14ac:dyDescent="0.5">
      <c r="B14" s="13">
        <v>41862</v>
      </c>
      <c r="C14" s="8" t="s">
        <v>13</v>
      </c>
      <c r="D14" s="8" t="s">
        <v>30</v>
      </c>
      <c r="E14" s="8">
        <v>7640</v>
      </c>
      <c r="F14" s="8">
        <v>7700</v>
      </c>
      <c r="G14" s="8">
        <v>60</v>
      </c>
      <c r="H14" s="8">
        <v>-30000</v>
      </c>
      <c r="I14" s="8" t="s">
        <v>197</v>
      </c>
    </row>
    <row r="15" spans="1:11" ht="25.8" x14ac:dyDescent="0.5">
      <c r="B15" s="7">
        <v>41876</v>
      </c>
      <c r="C15" s="8" t="s">
        <v>13</v>
      </c>
      <c r="D15" s="8" t="s">
        <v>30</v>
      </c>
      <c r="E15" s="8">
        <v>7950</v>
      </c>
      <c r="F15" s="8">
        <v>7870</v>
      </c>
      <c r="G15" s="8">
        <v>80</v>
      </c>
      <c r="H15" s="8">
        <v>40000</v>
      </c>
      <c r="I15" s="8" t="s">
        <v>198</v>
      </c>
    </row>
    <row r="16" spans="1:11" ht="25.8" x14ac:dyDescent="0.5">
      <c r="B16" s="7"/>
      <c r="C16" s="8"/>
      <c r="D16" s="8"/>
      <c r="E16" s="8"/>
      <c r="F16" s="8"/>
      <c r="G16" s="8"/>
      <c r="H16" s="9">
        <v>40000</v>
      </c>
      <c r="I16" s="8"/>
    </row>
    <row r="18" spans="2:9" ht="15" thickBot="1" x14ac:dyDescent="0.35"/>
    <row r="19" spans="2:9" ht="16.2" thickBot="1" x14ac:dyDescent="0.35">
      <c r="B19" s="158" t="s">
        <v>205</v>
      </c>
      <c r="C19" s="158"/>
      <c r="D19" s="158"/>
      <c r="E19" s="158"/>
      <c r="F19" s="158"/>
      <c r="G19" s="158"/>
      <c r="H19" s="158"/>
      <c r="I19" s="19"/>
    </row>
    <row r="20" spans="2:9" x14ac:dyDescent="0.3">
      <c r="B20" s="1" t="s">
        <v>1</v>
      </c>
      <c r="C20" s="2" t="s">
        <v>2</v>
      </c>
      <c r="D20" s="2" t="s">
        <v>3</v>
      </c>
      <c r="E20" s="3" t="s">
        <v>4</v>
      </c>
      <c r="F20" s="3" t="s">
        <v>5</v>
      </c>
      <c r="G20" s="3" t="s">
        <v>6</v>
      </c>
      <c r="H20" s="3" t="s">
        <v>89</v>
      </c>
      <c r="I20" s="20" t="s">
        <v>200</v>
      </c>
    </row>
    <row r="21" spans="2:9" ht="25.8" x14ac:dyDescent="0.5">
      <c r="B21" s="7">
        <v>41855</v>
      </c>
      <c r="C21" s="8" t="s">
        <v>20</v>
      </c>
      <c r="D21" s="8" t="s">
        <v>206</v>
      </c>
      <c r="E21" s="8">
        <v>7</v>
      </c>
      <c r="F21" s="8">
        <v>4</v>
      </c>
      <c r="G21" s="8">
        <v>2000</v>
      </c>
      <c r="H21" s="8">
        <v>-6000</v>
      </c>
      <c r="I21" s="8" t="s">
        <v>207</v>
      </c>
    </row>
    <row r="22" spans="2:9" ht="25.8" x14ac:dyDescent="0.5">
      <c r="B22" s="13">
        <v>41862</v>
      </c>
      <c r="C22" s="8" t="s">
        <v>8</v>
      </c>
      <c r="D22" s="8" t="s">
        <v>208</v>
      </c>
      <c r="E22" s="8">
        <v>55</v>
      </c>
      <c r="F22" s="8">
        <v>38</v>
      </c>
      <c r="G22" s="8">
        <v>250</v>
      </c>
      <c r="H22" s="8">
        <v>-4250</v>
      </c>
      <c r="I22" s="8" t="s">
        <v>207</v>
      </c>
    </row>
    <row r="23" spans="2:9" ht="25.8" x14ac:dyDescent="0.5">
      <c r="B23" s="7">
        <v>41864</v>
      </c>
      <c r="C23" s="8" t="s">
        <v>8</v>
      </c>
      <c r="D23" s="8" t="s">
        <v>209</v>
      </c>
      <c r="E23" s="8">
        <v>11</v>
      </c>
      <c r="F23" s="8">
        <v>3</v>
      </c>
      <c r="G23" s="8">
        <v>500</v>
      </c>
      <c r="H23" s="8">
        <v>-4000</v>
      </c>
      <c r="I23" s="8" t="s">
        <v>207</v>
      </c>
    </row>
    <row r="24" spans="2:9" ht="25.8" x14ac:dyDescent="0.5">
      <c r="B24" s="7">
        <v>41872</v>
      </c>
      <c r="C24" s="8" t="s">
        <v>8</v>
      </c>
      <c r="D24" s="8" t="s">
        <v>214</v>
      </c>
      <c r="E24" s="8">
        <v>17</v>
      </c>
      <c r="F24" s="8">
        <v>32</v>
      </c>
      <c r="G24" s="8">
        <v>500</v>
      </c>
      <c r="H24" s="17" t="s">
        <v>215</v>
      </c>
      <c r="I24" s="17" t="s">
        <v>195</v>
      </c>
    </row>
    <row r="25" spans="2:9" ht="25.8" x14ac:dyDescent="0.5">
      <c r="B25" s="7">
        <v>41877</v>
      </c>
      <c r="C25" s="8" t="s">
        <v>8</v>
      </c>
      <c r="D25" s="8" t="s">
        <v>210</v>
      </c>
      <c r="E25" s="8">
        <v>3</v>
      </c>
      <c r="F25" s="8">
        <v>8</v>
      </c>
      <c r="G25" s="8">
        <v>4000</v>
      </c>
      <c r="H25" s="17" t="s">
        <v>211</v>
      </c>
      <c r="I25" s="17" t="s">
        <v>195</v>
      </c>
    </row>
    <row r="26" spans="2:9" ht="25.8" x14ac:dyDescent="0.5">
      <c r="B26" s="13"/>
      <c r="C26" s="8"/>
      <c r="D26" s="8"/>
      <c r="E26" s="8"/>
      <c r="F26" s="8"/>
      <c r="G26" s="8"/>
      <c r="H26" s="9">
        <v>13250</v>
      </c>
      <c r="I26" s="9"/>
    </row>
    <row r="27" spans="2:9" ht="25.8" x14ac:dyDescent="0.5">
      <c r="B27" s="13"/>
      <c r="C27" s="8"/>
      <c r="D27" s="8"/>
      <c r="E27" s="8"/>
      <c r="F27" s="8"/>
      <c r="G27" s="8"/>
      <c r="H27" s="8"/>
      <c r="I27" s="8"/>
    </row>
    <row r="28" spans="2:9" ht="25.8" x14ac:dyDescent="0.5">
      <c r="B28" s="13"/>
      <c r="C28" s="8"/>
      <c r="D28" s="8"/>
      <c r="E28" s="8"/>
      <c r="F28" s="8"/>
      <c r="G28" s="8"/>
      <c r="H28" s="8"/>
      <c r="I28" s="8"/>
    </row>
    <row r="29" spans="2:9" ht="25.8" x14ac:dyDescent="0.5">
      <c r="B29" s="13"/>
      <c r="C29" s="8"/>
      <c r="D29" s="8"/>
      <c r="E29" s="8"/>
      <c r="F29" s="8"/>
      <c r="G29" s="8"/>
      <c r="H29" s="8"/>
      <c r="I29" s="8"/>
    </row>
    <row r="30" spans="2:9" ht="25.8" x14ac:dyDescent="0.5">
      <c r="H30" s="9"/>
      <c r="I30" s="9"/>
    </row>
  </sheetData>
  <mergeCells count="5">
    <mergeCell ref="B1:H1"/>
    <mergeCell ref="B2:H2"/>
    <mergeCell ref="B3:H3"/>
    <mergeCell ref="B11:H11"/>
    <mergeCell ref="B19:H19"/>
  </mergeCells>
  <hyperlinks>
    <hyperlink ref="K2" location="'Home Page'!A1" display="Back" xr:uid="{00000000-0004-0000-1100-000000000000}"/>
  </hyperlinks>
  <pageMargins left="0.7" right="0.7" top="0.75" bottom="0.75" header="0.3" footer="0.3"/>
  <pageSetup orientation="portrait" horizontalDpi="300" verticalDpi="0" r:id="rId1"/>
  <ignoredErrors>
    <ignoredError sqref="H24:H25 H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K34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8" bestFit="1" customWidth="1"/>
    <col min="5" max="7" width="9.5546875" bestFit="1" customWidth="1"/>
    <col min="8" max="8" width="14.88671875" bestFit="1" customWidth="1"/>
    <col min="9" max="9" width="25.4414062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216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7">
        <v>41887</v>
      </c>
      <c r="C5" s="8" t="s">
        <v>13</v>
      </c>
      <c r="D5" s="8" t="s">
        <v>120</v>
      </c>
      <c r="E5" s="8">
        <v>1072</v>
      </c>
      <c r="F5" s="8">
        <v>1040</v>
      </c>
      <c r="G5" s="8">
        <v>500</v>
      </c>
      <c r="H5" s="8">
        <v>16000</v>
      </c>
      <c r="I5" s="8" t="s">
        <v>195</v>
      </c>
    </row>
    <row r="6" spans="1:11" ht="25.8" x14ac:dyDescent="0.5">
      <c r="B6" s="7">
        <v>41893</v>
      </c>
      <c r="C6" s="8" t="s">
        <v>13</v>
      </c>
      <c r="D6" s="8" t="s">
        <v>223</v>
      </c>
      <c r="E6" s="8">
        <v>173</v>
      </c>
      <c r="F6" s="8">
        <v>164</v>
      </c>
      <c r="G6" s="8">
        <v>4000</v>
      </c>
      <c r="H6" s="8">
        <v>36000</v>
      </c>
      <c r="I6" s="8" t="s">
        <v>195</v>
      </c>
    </row>
    <row r="7" spans="1:11" ht="25.8" x14ac:dyDescent="0.5">
      <c r="B7" s="7">
        <v>41897</v>
      </c>
      <c r="C7" s="8" t="s">
        <v>13</v>
      </c>
      <c r="D7" s="8" t="s">
        <v>92</v>
      </c>
      <c r="E7" s="8">
        <v>605</v>
      </c>
      <c r="F7" s="8">
        <v>590</v>
      </c>
      <c r="G7" s="8">
        <v>2000</v>
      </c>
      <c r="H7" s="8">
        <v>30000</v>
      </c>
      <c r="I7" s="8" t="s">
        <v>195</v>
      </c>
    </row>
    <row r="8" spans="1:11" ht="25.8" x14ac:dyDescent="0.5">
      <c r="B8" s="7">
        <v>41904</v>
      </c>
      <c r="C8" s="8" t="s">
        <v>13</v>
      </c>
      <c r="D8" s="8" t="s">
        <v>9</v>
      </c>
      <c r="E8" s="8">
        <v>630</v>
      </c>
      <c r="F8" s="8">
        <v>615</v>
      </c>
      <c r="G8" s="8">
        <v>2000</v>
      </c>
      <c r="H8" s="17" t="s">
        <v>226</v>
      </c>
      <c r="I8" s="17" t="s">
        <v>198</v>
      </c>
    </row>
    <row r="9" spans="1:11" ht="25.8" x14ac:dyDescent="0.5">
      <c r="B9" s="7">
        <v>41906</v>
      </c>
      <c r="C9" s="8" t="s">
        <v>13</v>
      </c>
      <c r="D9" s="8" t="s">
        <v>227</v>
      </c>
      <c r="E9" s="8">
        <v>950</v>
      </c>
      <c r="F9" s="8">
        <v>920</v>
      </c>
      <c r="G9" s="8">
        <v>1000</v>
      </c>
      <c r="H9" s="17" t="s">
        <v>226</v>
      </c>
      <c r="I9" s="17" t="s">
        <v>195</v>
      </c>
    </row>
    <row r="10" spans="1:11" ht="25.8" x14ac:dyDescent="0.5">
      <c r="B10" s="7"/>
      <c r="C10" s="8"/>
      <c r="D10" s="8"/>
      <c r="E10" s="8"/>
      <c r="F10" s="8"/>
      <c r="G10" s="8"/>
      <c r="H10" s="16" t="s">
        <v>228</v>
      </c>
      <c r="I10" s="17"/>
    </row>
    <row r="12" spans="1:11" ht="15" thickBot="1" x14ac:dyDescent="0.35"/>
    <row r="13" spans="1:11" ht="16.2" thickBot="1" x14ac:dyDescent="0.35">
      <c r="B13" s="158" t="s">
        <v>217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31</v>
      </c>
      <c r="I14" s="20" t="s">
        <v>200</v>
      </c>
    </row>
    <row r="15" spans="1:11" ht="25.8" x14ac:dyDescent="0.5">
      <c r="B15" s="7">
        <v>41884</v>
      </c>
      <c r="C15" s="8" t="s">
        <v>13</v>
      </c>
      <c r="D15" s="8" t="s">
        <v>30</v>
      </c>
      <c r="E15" s="8">
        <v>8125</v>
      </c>
      <c r="F15" s="8">
        <v>8060</v>
      </c>
      <c r="G15" s="8">
        <v>65</v>
      </c>
      <c r="H15" s="8">
        <v>32500</v>
      </c>
      <c r="I15" s="8" t="s">
        <v>198</v>
      </c>
    </row>
    <row r="16" spans="1:11" ht="25.8" x14ac:dyDescent="0.5">
      <c r="B16" s="13">
        <v>41891</v>
      </c>
      <c r="C16" s="8" t="s">
        <v>13</v>
      </c>
      <c r="D16" s="8" t="s">
        <v>30</v>
      </c>
      <c r="E16" s="8">
        <v>8180</v>
      </c>
      <c r="F16" s="8">
        <v>8080</v>
      </c>
      <c r="G16" s="8">
        <v>100</v>
      </c>
      <c r="H16" s="8">
        <v>50000</v>
      </c>
      <c r="I16" s="8" t="s">
        <v>199</v>
      </c>
    </row>
    <row r="17" spans="2:9" ht="25.8" x14ac:dyDescent="0.5">
      <c r="B17" s="7">
        <v>41897</v>
      </c>
      <c r="C17" s="8" t="s">
        <v>13</v>
      </c>
      <c r="D17" s="8" t="s">
        <v>30</v>
      </c>
      <c r="E17" s="8">
        <v>8070</v>
      </c>
      <c r="F17" s="8">
        <v>8000</v>
      </c>
      <c r="G17" s="8">
        <v>70</v>
      </c>
      <c r="H17" s="8">
        <v>35000</v>
      </c>
      <c r="I17" s="8" t="s">
        <v>198</v>
      </c>
    </row>
    <row r="18" spans="2:9" ht="25.8" x14ac:dyDescent="0.5">
      <c r="B18" s="7">
        <v>41905</v>
      </c>
      <c r="C18" s="8" t="s">
        <v>13</v>
      </c>
      <c r="D18" s="8" t="s">
        <v>30</v>
      </c>
      <c r="E18" s="8">
        <v>8100</v>
      </c>
      <c r="F18" s="8">
        <v>8000</v>
      </c>
      <c r="G18" s="8">
        <v>100</v>
      </c>
      <c r="H18" s="8">
        <v>50000</v>
      </c>
      <c r="I18" s="8" t="s">
        <v>199</v>
      </c>
    </row>
    <row r="19" spans="2:9" ht="25.8" x14ac:dyDescent="0.5">
      <c r="B19" s="7"/>
      <c r="C19" s="8"/>
      <c r="D19" s="8"/>
      <c r="E19" s="8"/>
      <c r="F19" s="8"/>
      <c r="G19" s="8"/>
      <c r="H19" s="9">
        <v>167500</v>
      </c>
      <c r="I19" s="8"/>
    </row>
    <row r="20" spans="2:9" ht="25.8" x14ac:dyDescent="0.5">
      <c r="B20" s="7"/>
      <c r="C20" s="8"/>
      <c r="D20" s="8"/>
      <c r="E20" s="8"/>
      <c r="F20" s="8"/>
      <c r="G20" s="8"/>
      <c r="H20" s="8"/>
      <c r="I20" s="8"/>
    </row>
    <row r="22" spans="2:9" ht="15" thickBot="1" x14ac:dyDescent="0.35"/>
    <row r="23" spans="2:9" ht="16.2" thickBot="1" x14ac:dyDescent="0.35">
      <c r="B23" s="158" t="s">
        <v>218</v>
      </c>
      <c r="C23" s="158"/>
      <c r="D23" s="158"/>
      <c r="E23" s="158"/>
      <c r="F23" s="158"/>
      <c r="G23" s="158"/>
      <c r="H23" s="158"/>
      <c r="I23" s="19"/>
    </row>
    <row r="24" spans="2:9" x14ac:dyDescent="0.3">
      <c r="B24" s="1" t="s">
        <v>1</v>
      </c>
      <c r="C24" s="2" t="s">
        <v>2</v>
      </c>
      <c r="D24" s="2" t="s">
        <v>3</v>
      </c>
      <c r="E24" s="3" t="s">
        <v>4</v>
      </c>
      <c r="F24" s="3" t="s">
        <v>5</v>
      </c>
      <c r="G24" s="3" t="s">
        <v>6</v>
      </c>
      <c r="H24" s="3" t="s">
        <v>89</v>
      </c>
      <c r="I24" s="20" t="s">
        <v>200</v>
      </c>
    </row>
    <row r="25" spans="2:9" ht="25.8" x14ac:dyDescent="0.5">
      <c r="B25" s="7">
        <v>41884</v>
      </c>
      <c r="C25" s="8" t="s">
        <v>20</v>
      </c>
      <c r="D25" s="8" t="s">
        <v>219</v>
      </c>
      <c r="E25" s="8">
        <v>60</v>
      </c>
      <c r="F25" s="8">
        <v>85</v>
      </c>
      <c r="G25" s="8">
        <v>500</v>
      </c>
      <c r="H25" s="8">
        <v>7500</v>
      </c>
      <c r="I25" s="8" t="s">
        <v>198</v>
      </c>
    </row>
    <row r="26" spans="2:9" ht="25.8" x14ac:dyDescent="0.5">
      <c r="B26" s="13">
        <v>41891</v>
      </c>
      <c r="C26" s="8" t="s">
        <v>8</v>
      </c>
      <c r="D26" s="8" t="s">
        <v>220</v>
      </c>
      <c r="E26" s="8">
        <v>90</v>
      </c>
      <c r="F26" s="8">
        <v>150</v>
      </c>
      <c r="G26" s="8">
        <v>200</v>
      </c>
      <c r="H26" s="8">
        <v>12000</v>
      </c>
      <c r="I26" s="8" t="s">
        <v>199</v>
      </c>
    </row>
    <row r="27" spans="2:9" ht="25.8" x14ac:dyDescent="0.5">
      <c r="B27" s="7">
        <v>41897</v>
      </c>
      <c r="C27" s="8" t="s">
        <v>8</v>
      </c>
      <c r="D27" s="8" t="s">
        <v>222</v>
      </c>
      <c r="E27" s="8">
        <v>10</v>
      </c>
      <c r="F27" s="8">
        <v>20</v>
      </c>
      <c r="G27" s="8">
        <v>2000</v>
      </c>
      <c r="H27" s="8">
        <v>20000</v>
      </c>
      <c r="I27" s="8" t="s">
        <v>195</v>
      </c>
    </row>
    <row r="28" spans="2:9" ht="25.8" x14ac:dyDescent="0.5">
      <c r="B28" s="7">
        <v>41897</v>
      </c>
      <c r="C28" s="8" t="s">
        <v>8</v>
      </c>
      <c r="D28" s="8" t="s">
        <v>221</v>
      </c>
      <c r="E28" s="8">
        <v>90</v>
      </c>
      <c r="F28" s="8">
        <v>150</v>
      </c>
      <c r="G28" s="8">
        <v>200</v>
      </c>
      <c r="H28" s="8">
        <v>12000</v>
      </c>
      <c r="I28" s="8" t="s">
        <v>199</v>
      </c>
    </row>
    <row r="29" spans="2:9" ht="25.8" x14ac:dyDescent="0.5">
      <c r="B29" s="7">
        <v>41901</v>
      </c>
      <c r="C29" s="8" t="s">
        <v>8</v>
      </c>
      <c r="D29" s="8" t="s">
        <v>224</v>
      </c>
      <c r="E29" s="8">
        <v>2.5</v>
      </c>
      <c r="F29" s="8">
        <v>6.5</v>
      </c>
      <c r="G29" s="8">
        <v>4000</v>
      </c>
      <c r="H29" s="17" t="s">
        <v>225</v>
      </c>
      <c r="I29" s="17" t="s">
        <v>195</v>
      </c>
    </row>
    <row r="30" spans="2:9" ht="25.8" x14ac:dyDescent="0.5">
      <c r="B30" s="13"/>
      <c r="C30" s="8"/>
      <c r="D30" s="8"/>
      <c r="E30" s="8"/>
      <c r="F30" s="8"/>
      <c r="G30" s="8"/>
      <c r="H30" s="9">
        <v>63500</v>
      </c>
      <c r="I30" s="9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B32" s="13"/>
      <c r="C32" s="8"/>
      <c r="D32" s="8"/>
      <c r="E32" s="8"/>
      <c r="F32" s="8"/>
      <c r="G32" s="8"/>
      <c r="H32" s="8"/>
      <c r="I32" s="8"/>
    </row>
    <row r="33" spans="2:9" ht="25.8" x14ac:dyDescent="0.5">
      <c r="B33" s="13"/>
      <c r="C33" s="8"/>
      <c r="D33" s="8"/>
      <c r="E33" s="8"/>
      <c r="F33" s="8"/>
      <c r="G33" s="8"/>
      <c r="H33" s="8"/>
      <c r="I33" s="8"/>
    </row>
    <row r="34" spans="2:9" ht="25.8" x14ac:dyDescent="0.5">
      <c r="H34" s="9"/>
      <c r="I34" s="9"/>
    </row>
  </sheetData>
  <mergeCells count="5">
    <mergeCell ref="B1:H1"/>
    <mergeCell ref="B2:H2"/>
    <mergeCell ref="B3:H3"/>
    <mergeCell ref="B13:H13"/>
    <mergeCell ref="B23:H23"/>
  </mergeCells>
  <hyperlinks>
    <hyperlink ref="K2" location="'Home Page'!A1" display="Back" xr:uid="{00000000-0004-0000-1200-000000000000}"/>
  </hyperlinks>
  <pageMargins left="0.7" right="0.7" top="0.75" bottom="0.75" header="0.3" footer="0.3"/>
  <pageSetup orientation="portrait" horizontalDpi="300" verticalDpi="0" r:id="rId1"/>
  <ignoredErrors>
    <ignoredError sqref="H29 H8:H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9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4.4414062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19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41366</v>
      </c>
      <c r="C5" s="8" t="s">
        <v>13</v>
      </c>
      <c r="D5" s="8" t="s">
        <v>21</v>
      </c>
      <c r="E5" s="8">
        <v>1304</v>
      </c>
      <c r="F5" s="8">
        <v>1264</v>
      </c>
      <c r="G5" s="8">
        <v>500</v>
      </c>
      <c r="H5" s="8">
        <v>20000</v>
      </c>
    </row>
    <row r="6" spans="1:10" ht="25.8" x14ac:dyDescent="0.5">
      <c r="B6" s="7">
        <v>41369</v>
      </c>
      <c r="C6" s="8" t="s">
        <v>20</v>
      </c>
      <c r="D6" s="8" t="s">
        <v>22</v>
      </c>
      <c r="E6" s="8">
        <v>388</v>
      </c>
      <c r="F6" s="8">
        <v>395</v>
      </c>
      <c r="G6" s="8">
        <v>2000</v>
      </c>
      <c r="H6" s="8">
        <v>14000</v>
      </c>
    </row>
    <row r="7" spans="1:10" ht="25.8" x14ac:dyDescent="0.5">
      <c r="B7" s="7">
        <v>41374</v>
      </c>
      <c r="C7" s="8" t="s">
        <v>8</v>
      </c>
      <c r="D7" s="8" t="s">
        <v>14</v>
      </c>
      <c r="E7" s="8">
        <v>234</v>
      </c>
      <c r="F7" s="8">
        <v>241</v>
      </c>
      <c r="G7" s="8">
        <v>2000</v>
      </c>
      <c r="H7" s="8">
        <v>14000</v>
      </c>
    </row>
    <row r="8" spans="1:10" ht="25.8" x14ac:dyDescent="0.5">
      <c r="B8" s="7">
        <v>41376</v>
      </c>
      <c r="C8" s="8" t="s">
        <v>13</v>
      </c>
      <c r="D8" s="8" t="s">
        <v>23</v>
      </c>
      <c r="E8" s="8">
        <v>291</v>
      </c>
      <c r="F8" s="8">
        <v>298</v>
      </c>
      <c r="G8" s="8">
        <v>2000</v>
      </c>
      <c r="H8" s="8">
        <v>-14000</v>
      </c>
    </row>
    <row r="9" spans="1:10" ht="25.8" x14ac:dyDescent="0.5">
      <c r="B9" s="7">
        <v>41380</v>
      </c>
      <c r="C9" s="8" t="s">
        <v>13</v>
      </c>
      <c r="D9" s="8" t="s">
        <v>24</v>
      </c>
      <c r="E9" s="8">
        <v>1430</v>
      </c>
      <c r="F9" s="8">
        <v>1418</v>
      </c>
      <c r="G9" s="8">
        <v>500</v>
      </c>
      <c r="H9" s="8">
        <v>6000</v>
      </c>
    </row>
    <row r="10" spans="1:10" ht="25.8" x14ac:dyDescent="0.5">
      <c r="B10" s="7">
        <v>41382</v>
      </c>
      <c r="C10" s="8" t="s">
        <v>8</v>
      </c>
      <c r="D10" s="8" t="s">
        <v>25</v>
      </c>
      <c r="E10" s="8">
        <v>360</v>
      </c>
      <c r="F10" s="8">
        <v>372</v>
      </c>
      <c r="G10" s="8">
        <v>1000</v>
      </c>
      <c r="H10" s="8">
        <v>12000</v>
      </c>
    </row>
    <row r="11" spans="1:10" ht="25.8" x14ac:dyDescent="0.5">
      <c r="B11" s="7">
        <v>41386</v>
      </c>
      <c r="C11" s="8" t="s">
        <v>8</v>
      </c>
      <c r="D11" s="8" t="s">
        <v>26</v>
      </c>
      <c r="E11" s="8">
        <v>147</v>
      </c>
      <c r="F11" s="8">
        <v>149</v>
      </c>
      <c r="G11" s="8">
        <v>8000</v>
      </c>
      <c r="H11" s="8">
        <v>16000</v>
      </c>
    </row>
    <row r="12" spans="1:10" ht="25.8" x14ac:dyDescent="0.5">
      <c r="B12" s="8"/>
      <c r="C12" s="8"/>
      <c r="D12" s="8"/>
      <c r="E12" s="8"/>
      <c r="F12" s="8"/>
      <c r="G12" s="8"/>
      <c r="H12" s="9">
        <v>68000</v>
      </c>
    </row>
    <row r="14" spans="1:10" ht="15" thickBot="1" x14ac:dyDescent="0.35"/>
    <row r="15" spans="1:10" ht="16.2" thickBot="1" x14ac:dyDescent="0.35">
      <c r="B15" s="158" t="s">
        <v>42</v>
      </c>
      <c r="C15" s="158"/>
      <c r="D15" s="158"/>
      <c r="E15" s="158"/>
      <c r="F15" s="158"/>
      <c r="G15" s="158"/>
      <c r="H15" s="158"/>
    </row>
    <row r="16" spans="1:10" x14ac:dyDescent="0.3">
      <c r="B16" s="1" t="s">
        <v>1</v>
      </c>
      <c r="C16" s="2" t="s">
        <v>2</v>
      </c>
      <c r="D16" s="2" t="s">
        <v>3</v>
      </c>
      <c r="E16" s="3" t="s">
        <v>4</v>
      </c>
      <c r="F16" s="3" t="s">
        <v>5</v>
      </c>
      <c r="G16" s="3" t="s">
        <v>44</v>
      </c>
      <c r="H16" s="3" t="s">
        <v>31</v>
      </c>
    </row>
    <row r="17" spans="2:8" ht="25.8" x14ac:dyDescent="0.5">
      <c r="B17" s="13">
        <v>41367</v>
      </c>
      <c r="C17" s="8" t="s">
        <v>13</v>
      </c>
      <c r="D17" s="8" t="s">
        <v>30</v>
      </c>
      <c r="E17" s="8">
        <v>5740</v>
      </c>
      <c r="F17" s="8">
        <v>5680</v>
      </c>
      <c r="G17" s="8">
        <v>60</v>
      </c>
      <c r="H17" s="8">
        <v>30000</v>
      </c>
    </row>
    <row r="18" spans="2:8" ht="25.8" x14ac:dyDescent="0.5">
      <c r="B18" s="13">
        <v>41372</v>
      </c>
      <c r="C18" s="8" t="s">
        <v>13</v>
      </c>
      <c r="D18" s="8" t="s">
        <v>30</v>
      </c>
      <c r="E18" s="8">
        <v>5570</v>
      </c>
      <c r="F18" s="8">
        <v>5520</v>
      </c>
      <c r="G18" s="8">
        <v>50</v>
      </c>
      <c r="H18" s="8">
        <v>25000</v>
      </c>
    </row>
    <row r="19" spans="2:8" ht="25.8" x14ac:dyDescent="0.5">
      <c r="B19" s="13">
        <v>41376</v>
      </c>
      <c r="C19" s="8" t="s">
        <v>20</v>
      </c>
      <c r="D19" s="8" t="s">
        <v>30</v>
      </c>
      <c r="E19" s="8">
        <v>5530</v>
      </c>
      <c r="F19" s="8">
        <v>5570</v>
      </c>
      <c r="G19" s="8">
        <v>40</v>
      </c>
      <c r="H19" s="8">
        <v>20000</v>
      </c>
    </row>
    <row r="20" spans="2:8" ht="25.8" x14ac:dyDescent="0.5">
      <c r="B20" s="13">
        <v>41381</v>
      </c>
      <c r="C20" s="8" t="s">
        <v>13</v>
      </c>
      <c r="D20" s="8" t="s">
        <v>30</v>
      </c>
      <c r="E20" s="8">
        <v>5690</v>
      </c>
      <c r="F20" s="8">
        <v>5620</v>
      </c>
      <c r="G20" s="8">
        <v>70</v>
      </c>
      <c r="H20" s="8">
        <v>35000</v>
      </c>
    </row>
    <row r="21" spans="2:8" ht="25.8" x14ac:dyDescent="0.5">
      <c r="B21" s="13">
        <v>41386</v>
      </c>
      <c r="C21" s="8" t="s">
        <v>13</v>
      </c>
      <c r="D21" s="8" t="s">
        <v>30</v>
      </c>
      <c r="E21" s="8">
        <v>5830</v>
      </c>
      <c r="F21" s="8">
        <v>5880</v>
      </c>
      <c r="G21" s="8">
        <v>50</v>
      </c>
      <c r="H21" s="8">
        <v>-25000</v>
      </c>
    </row>
    <row r="22" spans="2:8" ht="25.8" x14ac:dyDescent="0.5">
      <c r="B22" s="13">
        <v>41390</v>
      </c>
      <c r="C22" s="8" t="s">
        <v>8</v>
      </c>
      <c r="D22" s="8" t="s">
        <v>30</v>
      </c>
      <c r="E22" s="8">
        <v>5888</v>
      </c>
      <c r="F22" s="8">
        <v>5618</v>
      </c>
      <c r="G22" s="8">
        <v>30</v>
      </c>
      <c r="H22" s="8">
        <v>15000</v>
      </c>
    </row>
    <row r="23" spans="2:8" ht="25.8" x14ac:dyDescent="0.5">
      <c r="B23" s="10"/>
      <c r="C23" s="8"/>
      <c r="D23" s="8"/>
      <c r="E23" s="8"/>
      <c r="F23" s="8"/>
      <c r="G23" s="8"/>
      <c r="H23" s="9">
        <v>100000</v>
      </c>
    </row>
    <row r="24" spans="2:8" x14ac:dyDescent="0.3">
      <c r="C24" s="12"/>
      <c r="D24" s="12"/>
      <c r="E24" s="12"/>
      <c r="F24" s="12"/>
      <c r="G24" s="12"/>
      <c r="H24" s="12"/>
    </row>
    <row r="25" spans="2:8" ht="15" thickBot="1" x14ac:dyDescent="0.35">
      <c r="C25" s="12"/>
      <c r="D25" s="12"/>
      <c r="E25" s="12"/>
      <c r="F25" s="12"/>
      <c r="G25" s="12"/>
      <c r="H25" s="12"/>
    </row>
    <row r="26" spans="2:8" ht="16.2" thickBot="1" x14ac:dyDescent="0.35">
      <c r="B26" s="158" t="s">
        <v>43</v>
      </c>
      <c r="C26" s="158"/>
      <c r="D26" s="158"/>
      <c r="E26" s="158"/>
      <c r="F26" s="158"/>
      <c r="G26" s="158"/>
      <c r="H26" s="158"/>
    </row>
    <row r="27" spans="2:8" x14ac:dyDescent="0.3">
      <c r="B27" s="1" t="s">
        <v>1</v>
      </c>
      <c r="C27" s="2" t="s">
        <v>2</v>
      </c>
      <c r="D27" s="2" t="s">
        <v>3</v>
      </c>
      <c r="E27" s="3" t="s">
        <v>4</v>
      </c>
      <c r="F27" s="3" t="s">
        <v>5</v>
      </c>
      <c r="G27" s="3" t="s">
        <v>6</v>
      </c>
      <c r="H27" s="3" t="s">
        <v>39</v>
      </c>
    </row>
    <row r="28" spans="2:8" ht="25.8" x14ac:dyDescent="0.5">
      <c r="B28" s="7">
        <v>41367</v>
      </c>
      <c r="C28" s="8" t="s">
        <v>20</v>
      </c>
      <c r="D28" s="8" t="s">
        <v>45</v>
      </c>
      <c r="E28" s="8">
        <v>36</v>
      </c>
      <c r="F28" s="8">
        <v>90</v>
      </c>
      <c r="G28" s="8">
        <v>50</v>
      </c>
      <c r="H28" s="8">
        <v>2700</v>
      </c>
    </row>
    <row r="29" spans="2:8" ht="25.8" x14ac:dyDescent="0.5">
      <c r="B29" s="7">
        <v>41368</v>
      </c>
      <c r="C29" s="8" t="s">
        <v>20</v>
      </c>
      <c r="D29" s="8" t="s">
        <v>46</v>
      </c>
      <c r="E29" s="8">
        <v>18</v>
      </c>
      <c r="F29" s="8">
        <v>30</v>
      </c>
      <c r="G29" s="8">
        <v>250</v>
      </c>
      <c r="H29" s="8">
        <v>3000</v>
      </c>
    </row>
    <row r="30" spans="2:8" ht="25.8" x14ac:dyDescent="0.5">
      <c r="B30" s="7">
        <v>41373</v>
      </c>
      <c r="C30" s="8" t="s">
        <v>20</v>
      </c>
      <c r="D30" s="8" t="s">
        <v>47</v>
      </c>
      <c r="E30" s="8">
        <v>26</v>
      </c>
      <c r="F30" s="8">
        <v>44</v>
      </c>
      <c r="G30" s="8">
        <v>250</v>
      </c>
      <c r="H30" s="8">
        <v>4500</v>
      </c>
    </row>
    <row r="31" spans="2:8" ht="25.8" x14ac:dyDescent="0.5">
      <c r="B31" s="7">
        <v>41376</v>
      </c>
      <c r="C31" s="8" t="s">
        <v>20</v>
      </c>
      <c r="D31" s="8" t="s">
        <v>48</v>
      </c>
      <c r="E31" s="8">
        <v>20</v>
      </c>
      <c r="F31" s="8">
        <v>12</v>
      </c>
      <c r="G31" s="8">
        <v>250</v>
      </c>
      <c r="H31" s="8">
        <v>-2000</v>
      </c>
    </row>
    <row r="32" spans="2:8" ht="25.8" x14ac:dyDescent="0.5">
      <c r="B32" s="7">
        <v>41379</v>
      </c>
      <c r="C32" s="8" t="s">
        <v>20</v>
      </c>
      <c r="D32" s="8" t="s">
        <v>49</v>
      </c>
      <c r="E32" s="8">
        <v>40</v>
      </c>
      <c r="F32" s="8">
        <v>120</v>
      </c>
      <c r="G32" s="8">
        <v>50</v>
      </c>
      <c r="H32" s="8">
        <v>4000</v>
      </c>
    </row>
    <row r="33" spans="2:8" ht="25.8" x14ac:dyDescent="0.5">
      <c r="B33" s="7">
        <v>41381</v>
      </c>
      <c r="C33" s="8" t="s">
        <v>20</v>
      </c>
      <c r="D33" s="8" t="s">
        <v>45</v>
      </c>
      <c r="E33" s="8">
        <v>22</v>
      </c>
      <c r="F33" s="8">
        <v>14</v>
      </c>
      <c r="G33" s="8">
        <v>50</v>
      </c>
      <c r="H33" s="8">
        <v>-400</v>
      </c>
    </row>
    <row r="34" spans="2:8" ht="25.8" x14ac:dyDescent="0.5">
      <c r="B34" s="7">
        <v>41382</v>
      </c>
      <c r="C34" s="8" t="s">
        <v>20</v>
      </c>
      <c r="D34" s="8" t="s">
        <v>50</v>
      </c>
      <c r="E34" s="8">
        <v>24</v>
      </c>
      <c r="F34" s="8">
        <v>100</v>
      </c>
      <c r="G34" s="8">
        <v>50</v>
      </c>
      <c r="H34" s="8">
        <v>3800</v>
      </c>
    </row>
    <row r="35" spans="2:8" ht="25.8" x14ac:dyDescent="0.5">
      <c r="B35" s="8"/>
      <c r="C35" s="8"/>
      <c r="D35" s="8"/>
      <c r="E35" s="8"/>
      <c r="F35" s="8"/>
      <c r="G35" s="8"/>
      <c r="H35" s="9">
        <v>15600</v>
      </c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</sheetData>
  <mergeCells count="5">
    <mergeCell ref="B1:H1"/>
    <mergeCell ref="B2:H2"/>
    <mergeCell ref="B3:H3"/>
    <mergeCell ref="B15:H15"/>
    <mergeCell ref="B26:H26"/>
  </mergeCells>
  <hyperlinks>
    <hyperlink ref="J2" location="'Home Page'!A1" display="Back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K35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4.6640625" bestFit="1" customWidth="1"/>
    <col min="5" max="6" width="11.5546875" bestFit="1" customWidth="1"/>
    <col min="7" max="7" width="9.5546875" bestFit="1" customWidth="1"/>
    <col min="8" max="8" width="14.88671875" bestFit="1" customWidth="1"/>
    <col min="9" max="9" width="26.554687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229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7">
        <v>41920</v>
      </c>
      <c r="C5" s="8" t="s">
        <v>13</v>
      </c>
      <c r="D5" s="8" t="s">
        <v>124</v>
      </c>
      <c r="E5" s="8">
        <v>218.5</v>
      </c>
      <c r="F5" s="8">
        <v>217.5</v>
      </c>
      <c r="G5" s="8">
        <v>8000</v>
      </c>
      <c r="H5" s="8">
        <v>8000</v>
      </c>
      <c r="I5" s="8" t="s">
        <v>232</v>
      </c>
    </row>
    <row r="6" spans="1:11" ht="25.8" x14ac:dyDescent="0.5">
      <c r="B6" s="7">
        <v>41921</v>
      </c>
      <c r="C6" s="8" t="s">
        <v>13</v>
      </c>
      <c r="D6" s="8" t="s">
        <v>234</v>
      </c>
      <c r="E6" s="8">
        <v>1370</v>
      </c>
      <c r="F6" s="8">
        <v>1330</v>
      </c>
      <c r="G6" s="8">
        <v>1000</v>
      </c>
      <c r="H6" s="8">
        <v>40000</v>
      </c>
      <c r="I6" s="8" t="s">
        <v>195</v>
      </c>
    </row>
    <row r="7" spans="1:11" ht="25.8" x14ac:dyDescent="0.5">
      <c r="B7" s="7">
        <v>41926</v>
      </c>
      <c r="C7" s="8" t="s">
        <v>13</v>
      </c>
      <c r="D7" s="8" t="s">
        <v>170</v>
      </c>
      <c r="E7" s="8">
        <v>2970</v>
      </c>
      <c r="F7" s="8">
        <v>2920</v>
      </c>
      <c r="G7" s="8">
        <v>250</v>
      </c>
      <c r="H7" s="8">
        <v>12500</v>
      </c>
      <c r="I7" s="8" t="s">
        <v>198</v>
      </c>
    </row>
    <row r="8" spans="1:11" ht="25.8" x14ac:dyDescent="0.5">
      <c r="B8" s="7">
        <v>41939</v>
      </c>
      <c r="C8" s="8" t="s">
        <v>20</v>
      </c>
      <c r="D8" s="8" t="s">
        <v>90</v>
      </c>
      <c r="E8" s="8">
        <v>157</v>
      </c>
      <c r="F8" s="8">
        <v>162</v>
      </c>
      <c r="G8" s="8">
        <v>4000</v>
      </c>
      <c r="H8" s="17" t="s">
        <v>211</v>
      </c>
      <c r="I8" s="17" t="s">
        <v>236</v>
      </c>
    </row>
    <row r="9" spans="1:11" ht="28.8" x14ac:dyDescent="0.55000000000000004">
      <c r="B9" s="7"/>
      <c r="C9" s="8"/>
      <c r="D9" s="8"/>
      <c r="E9" s="8"/>
      <c r="F9" s="8"/>
      <c r="G9" s="8"/>
      <c r="H9" s="22" t="s">
        <v>237</v>
      </c>
      <c r="I9" s="17"/>
    </row>
    <row r="10" spans="1:11" ht="25.8" x14ac:dyDescent="0.5">
      <c r="B10" s="7"/>
      <c r="C10" s="8"/>
      <c r="D10" s="8"/>
      <c r="E10" s="8"/>
      <c r="F10" s="8"/>
      <c r="G10" s="8"/>
      <c r="H10" s="16"/>
      <c r="I10" s="17"/>
    </row>
    <row r="12" spans="1:11" ht="15" thickBot="1" x14ac:dyDescent="0.35"/>
    <row r="13" spans="1:11" ht="16.2" thickBot="1" x14ac:dyDescent="0.35">
      <c r="B13" s="158" t="s">
        <v>230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31</v>
      </c>
      <c r="I14" s="20" t="s">
        <v>200</v>
      </c>
    </row>
    <row r="15" spans="1:11" ht="25.8" x14ac:dyDescent="0.5">
      <c r="B15" s="7">
        <v>41919</v>
      </c>
      <c r="C15" s="8" t="s">
        <v>13</v>
      </c>
      <c r="D15" s="8" t="s">
        <v>30</v>
      </c>
      <c r="E15" s="8">
        <v>7930</v>
      </c>
      <c r="F15" s="8">
        <v>7880</v>
      </c>
      <c r="G15" s="8">
        <v>50</v>
      </c>
      <c r="H15" s="8">
        <v>25000</v>
      </c>
      <c r="I15" s="8" t="s">
        <v>198</v>
      </c>
    </row>
    <row r="16" spans="1:11" ht="25.8" x14ac:dyDescent="0.5">
      <c r="B16" s="13">
        <v>41926</v>
      </c>
      <c r="C16" s="8" t="s">
        <v>13</v>
      </c>
      <c r="D16" s="8" t="s">
        <v>30</v>
      </c>
      <c r="E16" s="8">
        <v>7870</v>
      </c>
      <c r="F16" s="8">
        <v>7780</v>
      </c>
      <c r="G16" s="8">
        <v>100</v>
      </c>
      <c r="H16" s="8">
        <v>50000</v>
      </c>
      <c r="I16" s="8" t="s">
        <v>199</v>
      </c>
    </row>
    <row r="17" spans="2:9" ht="25.8" x14ac:dyDescent="0.5">
      <c r="B17" s="7">
        <v>41940</v>
      </c>
      <c r="C17" s="8" t="s">
        <v>20</v>
      </c>
      <c r="D17" s="8" t="s">
        <v>30</v>
      </c>
      <c r="E17" s="8">
        <v>8080</v>
      </c>
      <c r="F17" s="8">
        <v>8100</v>
      </c>
      <c r="G17" s="8">
        <v>120</v>
      </c>
      <c r="H17" s="8">
        <v>60000</v>
      </c>
      <c r="I17" s="8" t="s">
        <v>195</v>
      </c>
    </row>
    <row r="18" spans="2:9" ht="28.8" x14ac:dyDescent="0.55000000000000004">
      <c r="B18" s="7"/>
      <c r="C18" s="8"/>
      <c r="D18" s="8"/>
      <c r="E18" s="8"/>
      <c r="F18" s="8"/>
      <c r="G18" s="8"/>
      <c r="H18" s="21">
        <v>135000</v>
      </c>
      <c r="I18" s="8"/>
    </row>
    <row r="19" spans="2:9" ht="25.8" x14ac:dyDescent="0.5">
      <c r="B19" s="7"/>
      <c r="C19" s="8"/>
      <c r="D19" s="8"/>
      <c r="E19" s="8"/>
      <c r="F19" s="8"/>
      <c r="G19" s="8"/>
      <c r="H19" s="9"/>
      <c r="I19" s="8"/>
    </row>
    <row r="20" spans="2:9" ht="25.8" x14ac:dyDescent="0.5">
      <c r="B20" s="7"/>
      <c r="C20" s="8"/>
      <c r="D20" s="8"/>
      <c r="E20" s="8"/>
      <c r="F20" s="8"/>
      <c r="G20" s="8"/>
      <c r="H20" s="8"/>
      <c r="I20" s="8"/>
    </row>
    <row r="22" spans="2:9" ht="15" thickBot="1" x14ac:dyDescent="0.35"/>
    <row r="23" spans="2:9" ht="16.2" thickBot="1" x14ac:dyDescent="0.35">
      <c r="B23" s="158" t="s">
        <v>231</v>
      </c>
      <c r="C23" s="158"/>
      <c r="D23" s="158"/>
      <c r="E23" s="158"/>
      <c r="F23" s="158"/>
      <c r="G23" s="158"/>
      <c r="H23" s="158"/>
      <c r="I23" s="19"/>
    </row>
    <row r="24" spans="2:9" x14ac:dyDescent="0.3">
      <c r="B24" s="1" t="s">
        <v>1</v>
      </c>
      <c r="C24" s="2" t="s">
        <v>2</v>
      </c>
      <c r="D24" s="2" t="s">
        <v>3</v>
      </c>
      <c r="E24" s="3" t="s">
        <v>4</v>
      </c>
      <c r="F24" s="3" t="s">
        <v>5</v>
      </c>
      <c r="G24" s="3" t="s">
        <v>6</v>
      </c>
      <c r="H24" s="3" t="s">
        <v>89</v>
      </c>
      <c r="I24" s="20" t="s">
        <v>200</v>
      </c>
    </row>
    <row r="25" spans="2:9" ht="25.8" x14ac:dyDescent="0.5">
      <c r="B25" s="7">
        <v>41921</v>
      </c>
      <c r="C25" s="8" t="s">
        <v>20</v>
      </c>
      <c r="D25" s="8" t="s">
        <v>233</v>
      </c>
      <c r="E25" s="8">
        <v>22</v>
      </c>
      <c r="F25" s="8">
        <v>44</v>
      </c>
      <c r="G25" s="8">
        <v>750</v>
      </c>
      <c r="H25" s="8">
        <v>16500</v>
      </c>
      <c r="I25" s="8" t="s">
        <v>195</v>
      </c>
    </row>
    <row r="26" spans="2:9" ht="25.8" x14ac:dyDescent="0.5">
      <c r="B26" s="13">
        <v>41926</v>
      </c>
      <c r="C26" s="8" t="s">
        <v>20</v>
      </c>
      <c r="D26" s="8" t="s">
        <v>235</v>
      </c>
      <c r="E26" s="8">
        <v>110</v>
      </c>
      <c r="F26" s="8">
        <v>160</v>
      </c>
      <c r="G26" s="8">
        <v>200</v>
      </c>
      <c r="H26" s="8">
        <v>8000</v>
      </c>
      <c r="I26" s="8" t="s">
        <v>198</v>
      </c>
    </row>
    <row r="27" spans="2:9" ht="25.8" x14ac:dyDescent="0.5">
      <c r="B27" s="13">
        <v>41932</v>
      </c>
      <c r="C27" s="8" t="s">
        <v>8</v>
      </c>
      <c r="D27" s="8" t="s">
        <v>240</v>
      </c>
      <c r="E27" s="8">
        <v>100</v>
      </c>
      <c r="F27" s="8">
        <v>150</v>
      </c>
      <c r="G27" s="8">
        <v>200</v>
      </c>
      <c r="H27" s="8">
        <v>10000</v>
      </c>
      <c r="I27" s="8" t="s">
        <v>236</v>
      </c>
    </row>
    <row r="28" spans="2:9" ht="25.8" x14ac:dyDescent="0.5">
      <c r="B28" s="7">
        <v>74811</v>
      </c>
      <c r="C28" s="8" t="s">
        <v>8</v>
      </c>
      <c r="D28" s="8" t="s">
        <v>238</v>
      </c>
      <c r="E28" s="8">
        <v>90</v>
      </c>
      <c r="F28" s="8">
        <v>150</v>
      </c>
      <c r="G28" s="8">
        <v>200</v>
      </c>
      <c r="H28" s="8">
        <v>12000</v>
      </c>
      <c r="I28" s="8" t="s">
        <v>239</v>
      </c>
    </row>
    <row r="29" spans="2:9" ht="28.8" x14ac:dyDescent="0.55000000000000004">
      <c r="B29" s="7"/>
      <c r="C29" s="8"/>
      <c r="D29" s="8"/>
      <c r="E29" s="8"/>
      <c r="F29" s="8"/>
      <c r="G29" s="8"/>
      <c r="H29" s="21">
        <v>46500</v>
      </c>
      <c r="I29" s="8"/>
    </row>
    <row r="30" spans="2:9" ht="25.8" x14ac:dyDescent="0.5">
      <c r="B30" s="7"/>
      <c r="C30" s="8"/>
      <c r="D30" s="8"/>
      <c r="E30" s="8"/>
      <c r="F30" s="8"/>
      <c r="G30" s="8"/>
      <c r="H30" s="17"/>
      <c r="I30" s="17"/>
    </row>
    <row r="31" spans="2:9" ht="25.8" x14ac:dyDescent="0.5">
      <c r="B31" s="13"/>
      <c r="C31" s="8"/>
      <c r="D31" s="8"/>
      <c r="E31" s="8"/>
      <c r="F31" s="8"/>
      <c r="G31" s="8"/>
      <c r="H31" s="9"/>
      <c r="I31" s="9"/>
    </row>
    <row r="32" spans="2:9" ht="25.8" x14ac:dyDescent="0.5">
      <c r="B32" s="13"/>
      <c r="C32" s="8"/>
      <c r="D32" s="8"/>
      <c r="E32" s="8"/>
      <c r="F32" s="8"/>
      <c r="G32" s="8"/>
      <c r="H32" s="8"/>
      <c r="I32" s="8"/>
    </row>
    <row r="33" spans="2:9" ht="25.8" x14ac:dyDescent="0.5">
      <c r="B33" s="13"/>
      <c r="C33" s="8"/>
      <c r="D33" s="8"/>
      <c r="E33" s="8"/>
      <c r="F33" s="8"/>
      <c r="G33" s="8"/>
      <c r="H33" s="8"/>
      <c r="I33" s="8"/>
    </row>
    <row r="34" spans="2:9" ht="25.8" x14ac:dyDescent="0.5">
      <c r="B34" s="13"/>
      <c r="C34" s="8"/>
      <c r="D34" s="8"/>
      <c r="E34" s="8"/>
      <c r="F34" s="8"/>
      <c r="G34" s="8"/>
      <c r="H34" s="8"/>
      <c r="I34" s="8"/>
    </row>
    <row r="35" spans="2:9" ht="25.8" x14ac:dyDescent="0.5">
      <c r="H35" s="9"/>
      <c r="I35" s="9"/>
    </row>
  </sheetData>
  <mergeCells count="5">
    <mergeCell ref="B1:H1"/>
    <mergeCell ref="B2:H2"/>
    <mergeCell ref="B3:H3"/>
    <mergeCell ref="B13:H13"/>
    <mergeCell ref="B23:H23"/>
  </mergeCells>
  <hyperlinks>
    <hyperlink ref="K2" location="'Home Page'!A1" display="Back" xr:uid="{00000000-0004-0000-1300-000000000000}"/>
  </hyperlinks>
  <pageMargins left="0.7" right="0.7" top="0.75" bottom="0.75" header="0.3" footer="0.3"/>
  <pageSetup orientation="portrait" horizontalDpi="300" verticalDpi="0" r:id="rId1"/>
  <ignoredErrors>
    <ignoredError sqref="H8:H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K33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1.44140625" bestFit="1" customWidth="1"/>
    <col min="5" max="7" width="9.5546875" bestFit="1" customWidth="1"/>
    <col min="8" max="8" width="14.88671875" bestFit="1" customWidth="1"/>
    <col min="9" max="9" width="25.4414062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243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7">
        <v>41946</v>
      </c>
      <c r="C5" s="8" t="s">
        <v>8</v>
      </c>
      <c r="D5" s="8" t="s">
        <v>247</v>
      </c>
      <c r="E5" s="8">
        <v>740</v>
      </c>
      <c r="F5" s="8">
        <v>760</v>
      </c>
      <c r="G5" s="8">
        <v>1000</v>
      </c>
      <c r="H5" s="8">
        <v>20000</v>
      </c>
      <c r="I5" s="8" t="s">
        <v>195</v>
      </c>
    </row>
    <row r="6" spans="1:11" ht="25.8" x14ac:dyDescent="0.5">
      <c r="B6" s="7">
        <v>41956</v>
      </c>
      <c r="C6" s="8" t="s">
        <v>8</v>
      </c>
      <c r="D6" s="8" t="s">
        <v>11</v>
      </c>
      <c r="E6" s="8">
        <v>2740</v>
      </c>
      <c r="F6" s="8">
        <v>2850</v>
      </c>
      <c r="G6" s="8">
        <v>250</v>
      </c>
      <c r="H6" s="8">
        <v>27500</v>
      </c>
      <c r="I6" s="8" t="s">
        <v>195</v>
      </c>
    </row>
    <row r="7" spans="1:11" ht="25.8" x14ac:dyDescent="0.5">
      <c r="B7" s="7">
        <v>41960</v>
      </c>
      <c r="C7" s="8" t="s">
        <v>13</v>
      </c>
      <c r="D7" s="8" t="s">
        <v>250</v>
      </c>
      <c r="E7" s="8">
        <v>640</v>
      </c>
      <c r="F7" s="8">
        <v>615</v>
      </c>
      <c r="G7" s="8">
        <v>1000</v>
      </c>
      <c r="H7" s="8">
        <v>25000</v>
      </c>
      <c r="I7" s="8" t="s">
        <v>195</v>
      </c>
    </row>
    <row r="8" spans="1:11" ht="25.8" x14ac:dyDescent="0.5">
      <c r="B8" s="7">
        <v>74840</v>
      </c>
      <c r="C8" s="8" t="s">
        <v>8</v>
      </c>
      <c r="D8" s="8" t="s">
        <v>147</v>
      </c>
      <c r="E8" s="8">
        <v>263</v>
      </c>
      <c r="F8" s="8">
        <v>276</v>
      </c>
      <c r="G8" s="8">
        <v>2000</v>
      </c>
      <c r="H8" s="17" t="s">
        <v>253</v>
      </c>
      <c r="I8" s="17" t="s">
        <v>199</v>
      </c>
    </row>
    <row r="9" spans="1:11" ht="28.8" x14ac:dyDescent="0.55000000000000004">
      <c r="B9" s="7"/>
      <c r="C9" s="8"/>
      <c r="D9" s="8"/>
      <c r="E9" s="8"/>
      <c r="F9" s="8"/>
      <c r="G9" s="8"/>
      <c r="H9" s="22" t="s">
        <v>254</v>
      </c>
      <c r="I9" s="17"/>
    </row>
    <row r="10" spans="1:11" ht="25.8" x14ac:dyDescent="0.5">
      <c r="B10" s="7"/>
      <c r="C10" s="8"/>
      <c r="D10" s="8"/>
      <c r="E10" s="8"/>
      <c r="F10" s="8"/>
      <c r="G10" s="8"/>
      <c r="H10" s="16"/>
      <c r="I10" s="17"/>
    </row>
    <row r="12" spans="1:11" ht="15" thickBot="1" x14ac:dyDescent="0.35"/>
    <row r="13" spans="1:11" ht="16.2" thickBot="1" x14ac:dyDescent="0.35">
      <c r="B13" s="158" t="s">
        <v>242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245</v>
      </c>
      <c r="I14" s="20" t="s">
        <v>200</v>
      </c>
    </row>
    <row r="15" spans="1:11" ht="25.8" x14ac:dyDescent="0.5">
      <c r="B15" s="13">
        <v>41950</v>
      </c>
      <c r="C15" s="8" t="s">
        <v>8</v>
      </c>
      <c r="D15" s="8" t="s">
        <v>30</v>
      </c>
      <c r="E15" s="8">
        <v>8370</v>
      </c>
      <c r="F15" s="8">
        <v>8420</v>
      </c>
      <c r="G15" s="8">
        <v>50</v>
      </c>
      <c r="H15" s="8">
        <v>25000</v>
      </c>
      <c r="I15" s="8" t="s">
        <v>246</v>
      </c>
    </row>
    <row r="16" spans="1:11" ht="25.8" x14ac:dyDescent="0.5">
      <c r="B16" s="7">
        <v>41956</v>
      </c>
      <c r="C16" s="8" t="s">
        <v>8</v>
      </c>
      <c r="D16" s="8" t="s">
        <v>30</v>
      </c>
      <c r="E16" s="8">
        <v>8380</v>
      </c>
      <c r="F16" s="8">
        <v>8450</v>
      </c>
      <c r="G16" s="8">
        <v>70</v>
      </c>
      <c r="H16" s="8">
        <v>35000</v>
      </c>
      <c r="I16" s="8" t="s">
        <v>198</v>
      </c>
    </row>
    <row r="17" spans="2:9" ht="28.8" x14ac:dyDescent="0.55000000000000004">
      <c r="B17" s="7">
        <v>41967</v>
      </c>
      <c r="C17" s="8" t="s">
        <v>13</v>
      </c>
      <c r="D17" s="8" t="s">
        <v>30</v>
      </c>
      <c r="E17" s="8">
        <v>8520</v>
      </c>
      <c r="F17" s="8">
        <v>8450</v>
      </c>
      <c r="G17" s="8">
        <v>70</v>
      </c>
      <c r="H17" s="23">
        <v>35000</v>
      </c>
      <c r="I17" s="8" t="s">
        <v>198</v>
      </c>
    </row>
    <row r="18" spans="2:9" ht="25.8" x14ac:dyDescent="0.5">
      <c r="B18" s="7"/>
      <c r="C18" s="8"/>
      <c r="D18" s="8"/>
      <c r="E18" s="8"/>
      <c r="F18" s="8"/>
      <c r="G18" s="8"/>
      <c r="H18" s="9">
        <v>95000</v>
      </c>
      <c r="I18" s="8"/>
    </row>
    <row r="19" spans="2:9" ht="25.8" x14ac:dyDescent="0.5">
      <c r="B19" s="7"/>
      <c r="C19" s="8"/>
      <c r="D19" s="8"/>
      <c r="E19" s="8"/>
      <c r="F19" s="8"/>
      <c r="G19" s="8"/>
      <c r="H19" s="8"/>
      <c r="I19" s="8"/>
    </row>
    <row r="21" spans="2:9" ht="15" thickBot="1" x14ac:dyDescent="0.35"/>
    <row r="22" spans="2:9" ht="16.2" thickBot="1" x14ac:dyDescent="0.35">
      <c r="B22" s="158" t="s">
        <v>241</v>
      </c>
      <c r="C22" s="158"/>
      <c r="D22" s="158"/>
      <c r="E22" s="158"/>
      <c r="F22" s="158"/>
      <c r="G22" s="158"/>
      <c r="H22" s="158"/>
      <c r="I22" s="19"/>
    </row>
    <row r="23" spans="2:9" x14ac:dyDescent="0.3">
      <c r="B23" s="1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89</v>
      </c>
      <c r="I23" s="20" t="s">
        <v>200</v>
      </c>
    </row>
    <row r="24" spans="2:9" ht="25.8" x14ac:dyDescent="0.5">
      <c r="B24" s="13">
        <v>41946</v>
      </c>
      <c r="C24" s="8" t="s">
        <v>8</v>
      </c>
      <c r="D24" s="8" t="s">
        <v>248</v>
      </c>
      <c r="E24" s="8">
        <v>100</v>
      </c>
      <c r="F24" s="8">
        <v>180</v>
      </c>
      <c r="G24" s="8">
        <v>125</v>
      </c>
      <c r="H24" s="8">
        <v>10000</v>
      </c>
      <c r="I24" s="8" t="s">
        <v>195</v>
      </c>
    </row>
    <row r="25" spans="2:9" ht="25.8" x14ac:dyDescent="0.5">
      <c r="B25" s="13">
        <v>41956</v>
      </c>
      <c r="C25" s="8" t="s">
        <v>8</v>
      </c>
      <c r="D25" s="8" t="s">
        <v>244</v>
      </c>
      <c r="E25" s="8">
        <v>90</v>
      </c>
      <c r="F25" s="8">
        <v>180</v>
      </c>
      <c r="G25" s="8">
        <v>125</v>
      </c>
      <c r="H25" s="8">
        <v>11250</v>
      </c>
      <c r="I25" s="8" t="s">
        <v>195</v>
      </c>
    </row>
    <row r="26" spans="2:9" ht="25.8" x14ac:dyDescent="0.5">
      <c r="B26" s="7">
        <v>41960</v>
      </c>
      <c r="C26" s="8" t="s">
        <v>8</v>
      </c>
      <c r="D26" s="8" t="s">
        <v>251</v>
      </c>
      <c r="E26" s="8">
        <v>13</v>
      </c>
      <c r="F26" s="8">
        <v>26</v>
      </c>
      <c r="G26" s="8">
        <v>1000</v>
      </c>
      <c r="H26" s="8">
        <v>13000</v>
      </c>
      <c r="I26" s="8" t="s">
        <v>195</v>
      </c>
    </row>
    <row r="27" spans="2:9" ht="28.8" x14ac:dyDescent="0.55000000000000004">
      <c r="B27" s="7">
        <v>41966</v>
      </c>
      <c r="C27" s="8" t="s">
        <v>8</v>
      </c>
      <c r="D27" s="8" t="s">
        <v>249</v>
      </c>
      <c r="E27" s="8">
        <v>8</v>
      </c>
      <c r="F27" s="8">
        <v>16</v>
      </c>
      <c r="G27" s="8">
        <v>2000</v>
      </c>
      <c r="H27" s="23">
        <v>16000</v>
      </c>
      <c r="I27" s="8" t="s">
        <v>195</v>
      </c>
    </row>
    <row r="28" spans="2:9" ht="25.8" x14ac:dyDescent="0.5">
      <c r="B28" s="7"/>
      <c r="C28" s="8"/>
      <c r="D28" s="8"/>
      <c r="E28" s="8"/>
      <c r="F28" s="8"/>
      <c r="G28" s="8"/>
      <c r="H28" s="16" t="s">
        <v>252</v>
      </c>
      <c r="I28" s="17"/>
    </row>
    <row r="29" spans="2:9" ht="25.8" x14ac:dyDescent="0.5">
      <c r="B29" s="13"/>
      <c r="C29" s="8"/>
      <c r="D29" s="8"/>
      <c r="E29" s="8"/>
      <c r="F29" s="8"/>
      <c r="G29" s="8"/>
      <c r="H29" s="9"/>
      <c r="I29" s="9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B32" s="13"/>
      <c r="C32" s="8"/>
      <c r="D32" s="8"/>
      <c r="E32" s="8"/>
      <c r="F32" s="8"/>
      <c r="G32" s="8"/>
      <c r="H32" s="8"/>
      <c r="I32" s="8"/>
    </row>
    <row r="33" spans="8:9" ht="25.8" x14ac:dyDescent="0.5">
      <c r="H33" s="9"/>
      <c r="I33" s="9"/>
    </row>
  </sheetData>
  <mergeCells count="5">
    <mergeCell ref="B1:H1"/>
    <mergeCell ref="B2:H2"/>
    <mergeCell ref="B3:H3"/>
    <mergeCell ref="B13:H13"/>
    <mergeCell ref="B22:H22"/>
  </mergeCells>
  <hyperlinks>
    <hyperlink ref="K2" location="'Home Page'!A1" display="Back" xr:uid="{00000000-0004-0000-1400-000000000000}"/>
  </hyperlinks>
  <pageMargins left="0.7" right="0.7" top="0.75" bottom="0.75" header="0.3" footer="0.3"/>
  <pageSetup orientation="portrait" horizontalDpi="300" verticalDpi="0" r:id="rId1"/>
  <ignoredErrors>
    <ignoredError sqref="H2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K33"/>
  <sheetViews>
    <sheetView workbookViewId="0">
      <selection activeCell="K2" sqref="K2"/>
    </sheetView>
  </sheetViews>
  <sheetFormatPr defaultColWidth="9"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4.44140625" bestFit="1" customWidth="1"/>
    <col min="5" max="5" width="11.5546875" bestFit="1" customWidth="1"/>
    <col min="6" max="7" width="9.5546875" bestFit="1" customWidth="1"/>
    <col min="8" max="8" width="14.88671875" bestFit="1" customWidth="1"/>
    <col min="9" max="9" width="26.44140625" bestFit="1" customWidth="1"/>
    <col min="10" max="10" width="9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259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7">
        <v>41975</v>
      </c>
      <c r="C5" s="8" t="s">
        <v>8</v>
      </c>
      <c r="D5" s="8" t="s">
        <v>258</v>
      </c>
      <c r="E5" s="8">
        <v>174</v>
      </c>
      <c r="F5" s="8">
        <v>172</v>
      </c>
      <c r="G5" s="8">
        <v>4000</v>
      </c>
      <c r="H5" s="8">
        <v>-8000</v>
      </c>
      <c r="I5" s="8" t="s">
        <v>5</v>
      </c>
    </row>
    <row r="6" spans="1:11" ht="25.8" x14ac:dyDescent="0.5">
      <c r="B6" s="7">
        <v>74854</v>
      </c>
      <c r="C6" s="8" t="s">
        <v>13</v>
      </c>
      <c r="D6" s="8" t="s">
        <v>256</v>
      </c>
      <c r="E6" s="8">
        <v>645</v>
      </c>
      <c r="F6" s="8">
        <v>660</v>
      </c>
      <c r="G6" s="8">
        <v>1000</v>
      </c>
      <c r="H6" s="8">
        <v>-15000</v>
      </c>
      <c r="I6" s="8" t="s">
        <v>197</v>
      </c>
    </row>
    <row r="7" spans="1:11" ht="25.8" x14ac:dyDescent="0.5">
      <c r="B7" s="7">
        <v>41990</v>
      </c>
      <c r="C7" s="8" t="s">
        <v>8</v>
      </c>
      <c r="D7" s="8" t="s">
        <v>90</v>
      </c>
      <c r="E7" s="8">
        <v>142.5</v>
      </c>
      <c r="F7" s="8">
        <v>151</v>
      </c>
      <c r="G7" s="8">
        <v>4000</v>
      </c>
      <c r="H7" s="8">
        <v>38000</v>
      </c>
      <c r="I7" s="8" t="s">
        <v>195</v>
      </c>
    </row>
    <row r="8" spans="1:11" ht="25.8" x14ac:dyDescent="0.5">
      <c r="B8" s="7">
        <v>41999</v>
      </c>
      <c r="C8" s="8" t="s">
        <v>8</v>
      </c>
      <c r="D8" s="8" t="s">
        <v>147</v>
      </c>
      <c r="E8" s="8">
        <v>251</v>
      </c>
      <c r="F8" s="8">
        <v>262</v>
      </c>
      <c r="G8" s="8">
        <v>2000</v>
      </c>
      <c r="H8" s="17" t="s">
        <v>264</v>
      </c>
      <c r="I8" s="17" t="s">
        <v>263</v>
      </c>
    </row>
    <row r="9" spans="1:11" ht="28.8" x14ac:dyDescent="0.55000000000000004">
      <c r="B9" s="7"/>
      <c r="C9" s="8"/>
      <c r="D9" s="8"/>
      <c r="E9" s="8"/>
      <c r="F9" s="8"/>
      <c r="G9" s="8"/>
      <c r="H9" s="22" t="s">
        <v>265</v>
      </c>
      <c r="I9" s="17"/>
    </row>
    <row r="10" spans="1:11" ht="25.8" x14ac:dyDescent="0.5">
      <c r="B10" s="7"/>
      <c r="C10" s="8"/>
      <c r="D10" s="8"/>
      <c r="E10" s="8"/>
      <c r="F10" s="8"/>
      <c r="G10" s="8"/>
      <c r="H10" s="16"/>
      <c r="I10" s="17"/>
    </row>
    <row r="12" spans="1:11" ht="15" thickBot="1" x14ac:dyDescent="0.35"/>
    <row r="13" spans="1:11" ht="16.2" thickBot="1" x14ac:dyDescent="0.35">
      <c r="B13" s="158" t="s">
        <v>260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245</v>
      </c>
      <c r="I14" s="20" t="s">
        <v>200</v>
      </c>
    </row>
    <row r="15" spans="1:11" ht="25.8" x14ac:dyDescent="0.5">
      <c r="B15" s="13">
        <v>41978</v>
      </c>
      <c r="C15" s="8" t="s">
        <v>13</v>
      </c>
      <c r="D15" s="8" t="s">
        <v>30</v>
      </c>
      <c r="E15" s="8">
        <v>8570</v>
      </c>
      <c r="F15" s="8">
        <v>8450</v>
      </c>
      <c r="G15" s="8">
        <v>120</v>
      </c>
      <c r="H15" s="8">
        <v>60000</v>
      </c>
      <c r="I15" s="8" t="s">
        <v>195</v>
      </c>
    </row>
    <row r="16" spans="1:11" ht="25.8" x14ac:dyDescent="0.5">
      <c r="B16" s="7">
        <v>41983</v>
      </c>
      <c r="C16" s="8" t="s">
        <v>13</v>
      </c>
      <c r="D16" s="8" t="s">
        <v>30</v>
      </c>
      <c r="E16" s="8">
        <v>8400</v>
      </c>
      <c r="F16" s="8">
        <v>8280</v>
      </c>
      <c r="G16" s="8">
        <v>120</v>
      </c>
      <c r="H16" s="8">
        <v>60000</v>
      </c>
      <c r="I16" s="8" t="s">
        <v>195</v>
      </c>
    </row>
    <row r="17" spans="2:9" ht="28.8" x14ac:dyDescent="0.55000000000000004">
      <c r="B17" s="7">
        <v>41990</v>
      </c>
      <c r="C17" s="8" t="s">
        <v>13</v>
      </c>
      <c r="D17" s="8" t="s">
        <v>30</v>
      </c>
      <c r="E17" s="8">
        <v>8080</v>
      </c>
      <c r="F17" s="8">
        <v>8140</v>
      </c>
      <c r="G17" s="8">
        <v>60</v>
      </c>
      <c r="H17" s="23">
        <v>-30000</v>
      </c>
      <c r="I17" s="8" t="s">
        <v>197</v>
      </c>
    </row>
    <row r="18" spans="2:9" ht="25.8" x14ac:dyDescent="0.5">
      <c r="B18" s="7"/>
      <c r="C18" s="8"/>
      <c r="D18" s="8"/>
      <c r="E18" s="8"/>
      <c r="F18" s="8"/>
      <c r="G18" s="8"/>
      <c r="H18" s="9">
        <v>90000</v>
      </c>
      <c r="I18" s="8"/>
    </row>
    <row r="19" spans="2:9" ht="25.8" x14ac:dyDescent="0.5">
      <c r="B19" s="7"/>
      <c r="C19" s="8"/>
      <c r="D19" s="8"/>
      <c r="E19" s="8"/>
      <c r="F19" s="8"/>
      <c r="G19" s="8"/>
      <c r="H19" s="8"/>
      <c r="I19" s="8"/>
    </row>
    <row r="21" spans="2:9" ht="15" thickBot="1" x14ac:dyDescent="0.35"/>
    <row r="22" spans="2:9" ht="16.2" thickBot="1" x14ac:dyDescent="0.35">
      <c r="B22" s="158" t="s">
        <v>261</v>
      </c>
      <c r="C22" s="158"/>
      <c r="D22" s="158"/>
      <c r="E22" s="158"/>
      <c r="F22" s="158"/>
      <c r="G22" s="158"/>
      <c r="H22" s="158"/>
      <c r="I22" s="19"/>
    </row>
    <row r="23" spans="2:9" x14ac:dyDescent="0.3">
      <c r="B23" s="1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89</v>
      </c>
      <c r="I23" s="20" t="s">
        <v>200</v>
      </c>
    </row>
    <row r="24" spans="2:9" ht="25.8" x14ac:dyDescent="0.5">
      <c r="B24" s="13">
        <v>41975</v>
      </c>
      <c r="C24" s="8" t="s">
        <v>8</v>
      </c>
      <c r="D24" s="8" t="s">
        <v>257</v>
      </c>
      <c r="E24" s="8">
        <v>11</v>
      </c>
      <c r="F24" s="8">
        <v>6</v>
      </c>
      <c r="G24" s="8">
        <v>2000</v>
      </c>
      <c r="H24" s="8">
        <v>-10000</v>
      </c>
      <c r="I24" s="8" t="s">
        <v>197</v>
      </c>
    </row>
    <row r="25" spans="2:9" ht="25.8" x14ac:dyDescent="0.5">
      <c r="B25" s="13">
        <v>41982</v>
      </c>
      <c r="C25" s="8" t="s">
        <v>8</v>
      </c>
      <c r="D25" s="8" t="s">
        <v>255</v>
      </c>
      <c r="E25" s="8">
        <v>8.5</v>
      </c>
      <c r="F25" s="8">
        <v>10.5</v>
      </c>
      <c r="G25" s="8">
        <v>2000</v>
      </c>
      <c r="H25" s="8">
        <v>4000</v>
      </c>
      <c r="I25" s="8" t="s">
        <v>262</v>
      </c>
    </row>
    <row r="26" spans="2:9" ht="25.8" x14ac:dyDescent="0.5">
      <c r="B26" s="7">
        <v>41990</v>
      </c>
      <c r="C26" s="8" t="s">
        <v>8</v>
      </c>
      <c r="D26" s="8" t="s">
        <v>219</v>
      </c>
      <c r="E26" s="8">
        <v>40</v>
      </c>
      <c r="F26" s="8">
        <v>15</v>
      </c>
      <c r="G26" s="8">
        <v>500</v>
      </c>
      <c r="H26" s="8">
        <v>-12500</v>
      </c>
      <c r="I26" s="8" t="s">
        <v>197</v>
      </c>
    </row>
    <row r="27" spans="2:9" ht="28.8" x14ac:dyDescent="0.55000000000000004">
      <c r="B27" s="7"/>
      <c r="C27" s="8"/>
      <c r="D27" s="8"/>
      <c r="E27" s="8"/>
      <c r="F27" s="8"/>
      <c r="G27" s="8"/>
      <c r="H27" s="21">
        <v>-18500</v>
      </c>
      <c r="I27" s="8"/>
    </row>
    <row r="28" spans="2:9" ht="25.8" x14ac:dyDescent="0.5">
      <c r="B28" s="7"/>
      <c r="C28" s="8"/>
      <c r="D28" s="8"/>
      <c r="E28" s="8"/>
      <c r="F28" s="8"/>
      <c r="G28" s="8"/>
      <c r="H28" s="16"/>
      <c r="I28" s="17"/>
    </row>
    <row r="29" spans="2:9" ht="25.8" x14ac:dyDescent="0.5">
      <c r="B29" s="13"/>
      <c r="C29" s="8"/>
      <c r="D29" s="8"/>
      <c r="E29" s="8"/>
      <c r="F29" s="8"/>
      <c r="G29" s="8"/>
      <c r="H29" s="9"/>
      <c r="I29" s="9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B32" s="13"/>
      <c r="C32" s="8"/>
      <c r="D32" s="8"/>
      <c r="E32" s="8"/>
      <c r="F32" s="8"/>
      <c r="G32" s="8"/>
      <c r="H32" s="8"/>
      <c r="I32" s="8"/>
    </row>
    <row r="33" spans="8:9" ht="25.8" x14ac:dyDescent="0.5">
      <c r="H33" s="9"/>
      <c r="I33" s="9"/>
    </row>
  </sheetData>
  <mergeCells count="5">
    <mergeCell ref="B1:H1"/>
    <mergeCell ref="B2:H2"/>
    <mergeCell ref="B3:H3"/>
    <mergeCell ref="B13:H13"/>
    <mergeCell ref="B22:H22"/>
  </mergeCells>
  <hyperlinks>
    <hyperlink ref="K2" location="'Home Page'!A1" display="Back" xr:uid="{00000000-0004-0000-1500-000000000000}"/>
  </hyperlinks>
  <pageMargins left="0.7" right="0.7" top="0.75" bottom="0.75" header="0.3" footer="0.3"/>
  <pageSetup orientation="portrait" horizontalDpi="300" verticalDpi="0" r:id="rId1"/>
  <ignoredErrors>
    <ignoredError sqref="H8:H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K33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5" bestFit="1" customWidth="1"/>
    <col min="5" max="7" width="9.5546875" bestFit="1" customWidth="1"/>
    <col min="8" max="8" width="14.88671875" bestFit="1" customWidth="1"/>
    <col min="9" max="9" width="30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268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7">
        <v>42006</v>
      </c>
      <c r="C5" s="8" t="s">
        <v>13</v>
      </c>
      <c r="D5" s="8" t="s">
        <v>189</v>
      </c>
      <c r="E5" s="8">
        <v>440</v>
      </c>
      <c r="F5" s="8">
        <v>425</v>
      </c>
      <c r="G5" s="8">
        <v>2000</v>
      </c>
      <c r="H5" s="8">
        <v>30000</v>
      </c>
      <c r="I5" s="8" t="s">
        <v>195</v>
      </c>
    </row>
    <row r="6" spans="1:11" ht="25.8" x14ac:dyDescent="0.5">
      <c r="B6" s="13">
        <v>42016</v>
      </c>
      <c r="C6" s="8" t="s">
        <v>20</v>
      </c>
      <c r="D6" s="8" t="s">
        <v>124</v>
      </c>
      <c r="E6" s="8">
        <v>245</v>
      </c>
      <c r="F6" s="8">
        <v>255</v>
      </c>
      <c r="G6" s="8">
        <v>2000</v>
      </c>
      <c r="H6" s="8">
        <v>20000</v>
      </c>
      <c r="I6" s="8" t="s">
        <v>199</v>
      </c>
    </row>
    <row r="7" spans="1:11" ht="25.8" x14ac:dyDescent="0.5">
      <c r="B7" s="7">
        <v>42020</v>
      </c>
      <c r="C7" s="8" t="s">
        <v>8</v>
      </c>
      <c r="D7" s="8" t="s">
        <v>90</v>
      </c>
      <c r="E7" s="8">
        <v>152</v>
      </c>
      <c r="F7" s="8">
        <v>158</v>
      </c>
      <c r="G7" s="8">
        <v>2000</v>
      </c>
      <c r="H7" s="8">
        <v>12000</v>
      </c>
      <c r="I7" s="8" t="s">
        <v>198</v>
      </c>
    </row>
    <row r="8" spans="1:11" ht="25.8" x14ac:dyDescent="0.5">
      <c r="B8" s="7">
        <v>74896</v>
      </c>
      <c r="C8" s="8" t="s">
        <v>13</v>
      </c>
      <c r="D8" s="8" t="s">
        <v>273</v>
      </c>
      <c r="E8" s="8">
        <v>255</v>
      </c>
      <c r="F8" s="8">
        <v>247</v>
      </c>
      <c r="G8" s="8">
        <v>2000</v>
      </c>
      <c r="H8" s="17" t="s">
        <v>169</v>
      </c>
      <c r="I8" s="17" t="s">
        <v>198</v>
      </c>
    </row>
    <row r="9" spans="1:11" ht="28.8" x14ac:dyDescent="0.55000000000000004">
      <c r="B9" s="7"/>
      <c r="C9" s="8"/>
      <c r="D9" s="8"/>
      <c r="E9" s="8"/>
      <c r="F9" s="8"/>
      <c r="G9" s="8"/>
      <c r="H9" s="22" t="s">
        <v>275</v>
      </c>
      <c r="I9" s="17"/>
    </row>
    <row r="10" spans="1:11" ht="25.8" x14ac:dyDescent="0.5">
      <c r="B10" s="7"/>
      <c r="C10" s="8"/>
      <c r="D10" s="8"/>
      <c r="E10" s="8"/>
      <c r="F10" s="8"/>
      <c r="G10" s="8"/>
      <c r="H10" s="16"/>
      <c r="I10" s="17"/>
    </row>
    <row r="12" spans="1:11" ht="15" thickBot="1" x14ac:dyDescent="0.35"/>
    <row r="13" spans="1:11" ht="16.2" thickBot="1" x14ac:dyDescent="0.35">
      <c r="B13" s="158" t="s">
        <v>267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245</v>
      </c>
      <c r="I14" s="20" t="s">
        <v>200</v>
      </c>
    </row>
    <row r="15" spans="1:11" ht="25.8" x14ac:dyDescent="0.5">
      <c r="B15" s="13">
        <v>42010</v>
      </c>
      <c r="C15" s="8" t="s">
        <v>13</v>
      </c>
      <c r="D15" s="8" t="s">
        <v>176</v>
      </c>
      <c r="E15" s="8">
        <v>8230</v>
      </c>
      <c r="F15" s="8">
        <v>8130</v>
      </c>
      <c r="G15" s="8">
        <v>100</v>
      </c>
      <c r="H15" s="8">
        <v>50000</v>
      </c>
      <c r="I15" s="8" t="s">
        <v>199</v>
      </c>
    </row>
    <row r="16" spans="1:11" ht="25.8" x14ac:dyDescent="0.5">
      <c r="B16" s="13">
        <v>42016</v>
      </c>
      <c r="C16" s="8" t="s">
        <v>20</v>
      </c>
      <c r="D16" s="8" t="s">
        <v>176</v>
      </c>
      <c r="E16" s="8">
        <v>8340</v>
      </c>
      <c r="F16" s="8">
        <v>8400</v>
      </c>
      <c r="G16" s="8">
        <v>60</v>
      </c>
      <c r="H16" s="8">
        <v>30000</v>
      </c>
      <c r="I16" s="8" t="s">
        <v>198</v>
      </c>
    </row>
    <row r="17" spans="2:9" ht="28.8" x14ac:dyDescent="0.55000000000000004">
      <c r="B17" s="7">
        <v>42020</v>
      </c>
      <c r="C17" s="8" t="s">
        <v>8</v>
      </c>
      <c r="D17" s="8" t="s">
        <v>176</v>
      </c>
      <c r="E17" s="8">
        <v>8530</v>
      </c>
      <c r="F17" s="8">
        <v>8670</v>
      </c>
      <c r="G17" s="8">
        <v>140</v>
      </c>
      <c r="H17" s="23">
        <v>70000</v>
      </c>
      <c r="I17" s="8" t="s">
        <v>195</v>
      </c>
    </row>
    <row r="18" spans="2:9" ht="25.8" x14ac:dyDescent="0.5">
      <c r="B18" s="7">
        <v>42057</v>
      </c>
      <c r="C18" s="8" t="s">
        <v>8</v>
      </c>
      <c r="D18" s="8" t="s">
        <v>176</v>
      </c>
      <c r="E18" s="8">
        <v>8760</v>
      </c>
      <c r="F18" s="8">
        <v>8860</v>
      </c>
      <c r="G18" s="8">
        <v>100</v>
      </c>
      <c r="H18" s="8">
        <v>50000</v>
      </c>
      <c r="I18" s="8" t="s">
        <v>199</v>
      </c>
    </row>
    <row r="19" spans="2:9" ht="25.8" x14ac:dyDescent="0.5">
      <c r="B19" s="7"/>
      <c r="C19" s="8"/>
      <c r="D19" s="8"/>
      <c r="E19" s="8"/>
      <c r="F19" s="8"/>
      <c r="G19" s="8"/>
      <c r="H19" s="9">
        <v>200000</v>
      </c>
      <c r="I19" s="8"/>
    </row>
    <row r="21" spans="2:9" ht="15" thickBot="1" x14ac:dyDescent="0.35"/>
    <row r="22" spans="2:9" ht="16.2" thickBot="1" x14ac:dyDescent="0.35">
      <c r="B22" s="158" t="s">
        <v>266</v>
      </c>
      <c r="C22" s="158"/>
      <c r="D22" s="158"/>
      <c r="E22" s="158"/>
      <c r="F22" s="158"/>
      <c r="G22" s="158"/>
      <c r="H22" s="158"/>
      <c r="I22" s="19"/>
    </row>
    <row r="23" spans="2:9" x14ac:dyDescent="0.3">
      <c r="B23" s="1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89</v>
      </c>
      <c r="I23" s="20" t="s">
        <v>200</v>
      </c>
    </row>
    <row r="24" spans="2:9" ht="25.8" x14ac:dyDescent="0.5">
      <c r="B24" s="13">
        <v>42006</v>
      </c>
      <c r="C24" s="8" t="s">
        <v>20</v>
      </c>
      <c r="D24" s="8" t="s">
        <v>269</v>
      </c>
      <c r="E24" s="8">
        <v>7</v>
      </c>
      <c r="F24" s="8">
        <v>10</v>
      </c>
      <c r="G24" s="8">
        <v>2000</v>
      </c>
      <c r="H24" s="8">
        <v>6000</v>
      </c>
      <c r="I24" s="8" t="s">
        <v>270</v>
      </c>
    </row>
    <row r="25" spans="2:9" ht="25.8" x14ac:dyDescent="0.5">
      <c r="B25" s="13">
        <v>42016</v>
      </c>
      <c r="C25" s="8" t="s">
        <v>8</v>
      </c>
      <c r="D25" s="8" t="s">
        <v>271</v>
      </c>
      <c r="E25" s="8">
        <v>7</v>
      </c>
      <c r="F25" s="8">
        <v>10</v>
      </c>
      <c r="G25" s="8">
        <v>2000</v>
      </c>
      <c r="H25" s="8">
        <v>6000</v>
      </c>
      <c r="I25" s="8" t="s">
        <v>270</v>
      </c>
    </row>
    <row r="26" spans="2:9" ht="25.8" x14ac:dyDescent="0.5">
      <c r="B26" s="7">
        <v>42023</v>
      </c>
      <c r="C26" s="8" t="s">
        <v>8</v>
      </c>
      <c r="D26" s="8" t="s">
        <v>272</v>
      </c>
      <c r="E26" s="8">
        <v>4</v>
      </c>
      <c r="F26" s="8">
        <v>4.5</v>
      </c>
      <c r="G26" s="8">
        <v>2000</v>
      </c>
      <c r="H26" s="8">
        <v>1000</v>
      </c>
      <c r="I26" s="8" t="s">
        <v>274</v>
      </c>
    </row>
    <row r="27" spans="2:9" ht="28.8" x14ac:dyDescent="0.55000000000000004">
      <c r="B27" s="7">
        <v>42034</v>
      </c>
      <c r="C27" s="8" t="s">
        <v>8</v>
      </c>
      <c r="D27" s="8" t="s">
        <v>224</v>
      </c>
      <c r="E27" s="8">
        <v>9.5</v>
      </c>
      <c r="F27" s="8">
        <v>12</v>
      </c>
      <c r="G27" s="8">
        <v>2000</v>
      </c>
      <c r="H27" s="23">
        <v>5000</v>
      </c>
      <c r="I27" s="8" t="s">
        <v>276</v>
      </c>
    </row>
    <row r="28" spans="2:9" ht="25.8" x14ac:dyDescent="0.5">
      <c r="B28" s="7"/>
      <c r="C28" s="8"/>
      <c r="D28" s="8"/>
      <c r="E28" s="8"/>
      <c r="F28" s="8"/>
      <c r="G28" s="8"/>
      <c r="H28" s="16" t="s">
        <v>277</v>
      </c>
      <c r="I28" s="17"/>
    </row>
    <row r="29" spans="2:9" ht="25.8" x14ac:dyDescent="0.5">
      <c r="B29" s="13"/>
      <c r="C29" s="8"/>
      <c r="D29" s="8"/>
      <c r="E29" s="8"/>
      <c r="F29" s="8"/>
      <c r="G29" s="8"/>
      <c r="H29" s="9"/>
      <c r="I29" s="9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B32" s="13"/>
      <c r="C32" s="8"/>
      <c r="D32" s="8"/>
      <c r="E32" s="8"/>
      <c r="F32" s="8"/>
      <c r="G32" s="8"/>
      <c r="H32" s="8"/>
      <c r="I32" s="8"/>
    </row>
    <row r="33" spans="8:9" ht="25.8" x14ac:dyDescent="0.5">
      <c r="H33" s="9"/>
      <c r="I33" s="9"/>
    </row>
  </sheetData>
  <mergeCells count="5">
    <mergeCell ref="B1:H1"/>
    <mergeCell ref="B2:H2"/>
    <mergeCell ref="B3:H3"/>
    <mergeCell ref="B13:H13"/>
    <mergeCell ref="B22:H22"/>
  </mergeCells>
  <hyperlinks>
    <hyperlink ref="K2" location="'Home Page'!A1" display="Back" xr:uid="{00000000-0004-0000-1600-000000000000}"/>
  </hyperlinks>
  <pageMargins left="0.7" right="0.7" top="0.75" bottom="0.75" header="0.3" footer="0.3"/>
  <pageSetup orientation="portrait" horizontalDpi="300" verticalDpi="0" r:id="rId1"/>
  <ignoredErrors>
    <ignoredError sqref="H8:H9 H28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K33"/>
  <sheetViews>
    <sheetView workbookViewId="0"/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3.88671875" bestFit="1" customWidth="1"/>
    <col min="5" max="7" width="9.5546875" bestFit="1" customWidth="1"/>
    <col min="8" max="8" width="14.88671875" bestFit="1" customWidth="1"/>
    <col min="9" max="9" width="25.4414062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280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7">
        <v>42035</v>
      </c>
      <c r="C5" s="8" t="s">
        <v>13</v>
      </c>
      <c r="D5" s="8" t="s">
        <v>77</v>
      </c>
      <c r="E5" s="8">
        <v>2400</v>
      </c>
      <c r="F5" s="8">
        <v>2300</v>
      </c>
      <c r="G5" s="8">
        <v>250</v>
      </c>
      <c r="H5" s="8">
        <v>25000</v>
      </c>
      <c r="I5" s="8" t="s">
        <v>195</v>
      </c>
    </row>
    <row r="6" spans="1:11" ht="25.8" x14ac:dyDescent="0.5">
      <c r="B6" s="13">
        <v>42038</v>
      </c>
      <c r="C6" s="8" t="s">
        <v>13</v>
      </c>
      <c r="D6" s="8" t="s">
        <v>11</v>
      </c>
      <c r="E6" s="8">
        <v>305</v>
      </c>
      <c r="F6" s="8">
        <v>295</v>
      </c>
      <c r="G6" s="8">
        <v>2500</v>
      </c>
      <c r="H6" s="8">
        <v>25000</v>
      </c>
      <c r="I6" s="8" t="s">
        <v>195</v>
      </c>
    </row>
    <row r="7" spans="1:11" ht="25.8" x14ac:dyDescent="0.5">
      <c r="B7" s="7">
        <v>42045</v>
      </c>
      <c r="C7" s="8" t="s">
        <v>13</v>
      </c>
      <c r="D7" s="8" t="s">
        <v>212</v>
      </c>
      <c r="E7" s="8">
        <v>355</v>
      </c>
      <c r="F7" s="8">
        <v>340</v>
      </c>
      <c r="G7" s="8">
        <v>1000</v>
      </c>
      <c r="H7" s="8">
        <v>15000</v>
      </c>
      <c r="I7" s="8" t="s">
        <v>195</v>
      </c>
    </row>
    <row r="8" spans="1:11" ht="25.8" x14ac:dyDescent="0.5">
      <c r="B8" s="7">
        <v>42054</v>
      </c>
      <c r="C8" s="8" t="s">
        <v>13</v>
      </c>
      <c r="D8" s="8" t="s">
        <v>247</v>
      </c>
      <c r="E8" s="8">
        <v>920</v>
      </c>
      <c r="F8" s="8">
        <v>890</v>
      </c>
      <c r="G8" s="8">
        <v>1000</v>
      </c>
      <c r="H8" s="17" t="s">
        <v>226</v>
      </c>
      <c r="I8" s="17" t="s">
        <v>195</v>
      </c>
    </row>
    <row r="9" spans="1:11" ht="28.8" x14ac:dyDescent="0.55000000000000004">
      <c r="B9" s="7"/>
      <c r="C9" s="8"/>
      <c r="D9" s="8"/>
      <c r="E9" s="8"/>
      <c r="F9" s="8"/>
      <c r="G9" s="8"/>
      <c r="H9" s="22" t="s">
        <v>288</v>
      </c>
      <c r="I9" s="17"/>
    </row>
    <row r="10" spans="1:11" ht="25.8" x14ac:dyDescent="0.5">
      <c r="B10" s="7"/>
      <c r="C10" s="8"/>
      <c r="D10" s="8"/>
      <c r="E10" s="8"/>
      <c r="F10" s="8"/>
      <c r="G10" s="8"/>
      <c r="H10" s="16"/>
      <c r="I10" s="17"/>
    </row>
    <row r="12" spans="1:11" ht="15" thickBot="1" x14ac:dyDescent="0.35"/>
    <row r="13" spans="1:11" ht="16.2" thickBot="1" x14ac:dyDescent="0.35">
      <c r="B13" s="158" t="s">
        <v>278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245</v>
      </c>
      <c r="I14" s="20" t="s">
        <v>200</v>
      </c>
    </row>
    <row r="15" spans="1:11" ht="25.8" x14ac:dyDescent="0.5">
      <c r="B15" s="13">
        <v>42037</v>
      </c>
      <c r="C15" s="8" t="s">
        <v>13</v>
      </c>
      <c r="D15" s="8" t="s">
        <v>30</v>
      </c>
      <c r="E15" s="8">
        <v>8850</v>
      </c>
      <c r="F15" s="8">
        <v>8790</v>
      </c>
      <c r="G15" s="8">
        <v>60</v>
      </c>
      <c r="H15" s="8">
        <v>30000</v>
      </c>
      <c r="I15" s="8" t="s">
        <v>198</v>
      </c>
    </row>
    <row r="16" spans="1:11" ht="25.8" x14ac:dyDescent="0.5">
      <c r="B16" s="13">
        <v>42041</v>
      </c>
      <c r="C16" s="8" t="s">
        <v>287</v>
      </c>
      <c r="D16" s="8" t="s">
        <v>30</v>
      </c>
      <c r="E16" s="8">
        <v>8720</v>
      </c>
      <c r="F16" s="8">
        <v>8620</v>
      </c>
      <c r="G16" s="8">
        <v>100</v>
      </c>
      <c r="H16" s="8">
        <v>50000</v>
      </c>
      <c r="I16" s="8" t="s">
        <v>195</v>
      </c>
    </row>
    <row r="17" spans="2:9" ht="28.8" x14ac:dyDescent="0.55000000000000004">
      <c r="B17" s="7">
        <v>42047</v>
      </c>
      <c r="C17" s="8" t="s">
        <v>8</v>
      </c>
      <c r="D17" s="8" t="s">
        <v>30</v>
      </c>
      <c r="E17" s="8">
        <v>8750</v>
      </c>
      <c r="F17" s="8">
        <v>8850</v>
      </c>
      <c r="G17" s="8">
        <v>100</v>
      </c>
      <c r="H17" s="23">
        <v>50000</v>
      </c>
      <c r="I17" s="8" t="s">
        <v>195</v>
      </c>
    </row>
    <row r="18" spans="2:9" ht="25.8" x14ac:dyDescent="0.5">
      <c r="B18" s="7">
        <v>42054</v>
      </c>
      <c r="C18" s="8" t="s">
        <v>13</v>
      </c>
      <c r="D18" s="8" t="s">
        <v>30</v>
      </c>
      <c r="E18" s="8">
        <v>8880</v>
      </c>
      <c r="F18" s="8">
        <v>8820</v>
      </c>
      <c r="G18" s="8">
        <v>60</v>
      </c>
      <c r="H18" s="8">
        <v>30000</v>
      </c>
      <c r="I18" s="8" t="s">
        <v>198</v>
      </c>
    </row>
    <row r="19" spans="2:9" ht="25.8" x14ac:dyDescent="0.5">
      <c r="B19" s="7"/>
      <c r="C19" s="8"/>
      <c r="D19" s="8"/>
      <c r="E19" s="8"/>
      <c r="F19" s="8"/>
      <c r="G19" s="8"/>
      <c r="H19" s="9">
        <v>160000</v>
      </c>
      <c r="I19" s="8"/>
    </row>
    <row r="21" spans="2:9" ht="15" thickBot="1" x14ac:dyDescent="0.35"/>
    <row r="22" spans="2:9" ht="16.2" thickBot="1" x14ac:dyDescent="0.35">
      <c r="B22" s="158" t="s">
        <v>279</v>
      </c>
      <c r="C22" s="158"/>
      <c r="D22" s="158"/>
      <c r="E22" s="158"/>
      <c r="F22" s="158"/>
      <c r="G22" s="158"/>
      <c r="H22" s="158"/>
      <c r="I22" s="19"/>
    </row>
    <row r="23" spans="2:9" x14ac:dyDescent="0.3">
      <c r="B23" s="1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89</v>
      </c>
      <c r="I23" s="20" t="s">
        <v>200</v>
      </c>
    </row>
    <row r="24" spans="2:9" ht="25.8" x14ac:dyDescent="0.5">
      <c r="B24" s="13">
        <v>42035</v>
      </c>
      <c r="C24" s="8" t="s">
        <v>20</v>
      </c>
      <c r="D24" s="8" t="s">
        <v>281</v>
      </c>
      <c r="E24" s="8">
        <v>58</v>
      </c>
      <c r="F24" s="8">
        <v>115</v>
      </c>
      <c r="G24" s="8">
        <v>500</v>
      </c>
      <c r="H24" s="8">
        <v>28500</v>
      </c>
      <c r="I24" s="8" t="s">
        <v>195</v>
      </c>
    </row>
    <row r="25" spans="2:9" ht="25.8" x14ac:dyDescent="0.5">
      <c r="B25" s="13">
        <v>42048</v>
      </c>
      <c r="C25" s="8" t="s">
        <v>8</v>
      </c>
      <c r="D25" s="8" t="s">
        <v>283</v>
      </c>
      <c r="E25" s="8">
        <v>22</v>
      </c>
      <c r="F25" s="8">
        <v>39</v>
      </c>
      <c r="G25" s="8">
        <v>1000</v>
      </c>
      <c r="H25" s="8">
        <v>17000</v>
      </c>
      <c r="I25" s="8" t="s">
        <v>199</v>
      </c>
    </row>
    <row r="26" spans="2:9" ht="25.8" x14ac:dyDescent="0.5">
      <c r="B26" s="7">
        <v>42051</v>
      </c>
      <c r="C26" s="8" t="s">
        <v>8</v>
      </c>
      <c r="D26" s="8" t="s">
        <v>282</v>
      </c>
      <c r="E26" s="8">
        <v>7</v>
      </c>
      <c r="F26" s="8">
        <v>9</v>
      </c>
      <c r="G26" s="8">
        <v>2000</v>
      </c>
      <c r="H26" s="8">
        <v>4000</v>
      </c>
      <c r="I26" s="8" t="s">
        <v>198</v>
      </c>
    </row>
    <row r="27" spans="2:9" ht="28.8" x14ac:dyDescent="0.55000000000000004">
      <c r="B27" s="7">
        <v>42054</v>
      </c>
      <c r="C27" s="8" t="s">
        <v>8</v>
      </c>
      <c r="D27" s="8" t="s">
        <v>284</v>
      </c>
      <c r="E27" s="8">
        <v>14</v>
      </c>
      <c r="F27" s="8">
        <v>22</v>
      </c>
      <c r="G27" s="8">
        <v>1000</v>
      </c>
      <c r="H27" s="23">
        <v>8000</v>
      </c>
      <c r="I27" s="8" t="s">
        <v>198</v>
      </c>
    </row>
    <row r="28" spans="2:9" ht="25.8" x14ac:dyDescent="0.5">
      <c r="B28" s="7">
        <v>42058</v>
      </c>
      <c r="C28" s="8" t="s">
        <v>8</v>
      </c>
      <c r="D28" s="8" t="s">
        <v>285</v>
      </c>
      <c r="E28" s="8">
        <v>21</v>
      </c>
      <c r="F28" s="8">
        <v>40</v>
      </c>
      <c r="G28" s="8">
        <v>1000</v>
      </c>
      <c r="H28" s="17" t="s">
        <v>286</v>
      </c>
      <c r="I28" s="17" t="s">
        <v>195</v>
      </c>
    </row>
    <row r="29" spans="2:9" ht="25.8" x14ac:dyDescent="0.5">
      <c r="B29" s="13"/>
      <c r="C29" s="8"/>
      <c r="D29" s="8"/>
      <c r="E29" s="8"/>
      <c r="F29" s="8"/>
      <c r="G29" s="8"/>
      <c r="H29" s="9">
        <v>76500</v>
      </c>
      <c r="I29" s="9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B32" s="13"/>
      <c r="C32" s="8"/>
      <c r="D32" s="8"/>
      <c r="E32" s="8"/>
      <c r="F32" s="8"/>
      <c r="G32" s="8"/>
      <c r="H32" s="8"/>
      <c r="I32" s="8"/>
    </row>
    <row r="33" spans="8:9" ht="25.8" x14ac:dyDescent="0.5">
      <c r="H33" s="9"/>
      <c r="I33" s="9"/>
    </row>
  </sheetData>
  <mergeCells count="5">
    <mergeCell ref="B1:H1"/>
    <mergeCell ref="B2:H2"/>
    <mergeCell ref="B3:H3"/>
    <mergeCell ref="B13:H13"/>
    <mergeCell ref="B22:H22"/>
  </mergeCells>
  <hyperlinks>
    <hyperlink ref="K2" location="'Home Page'!A1" display="Back" xr:uid="{00000000-0004-0000-1700-000000000000}"/>
  </hyperlinks>
  <pageMargins left="0.7" right="0.7" top="0.75" bottom="0.75" header="0.3" footer="0.3"/>
  <pageSetup orientation="portrait" horizontalDpi="300" verticalDpi="0" r:id="rId1"/>
  <ignoredErrors>
    <ignoredError sqref="H28 H8:H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K33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1.88671875" bestFit="1" customWidth="1"/>
    <col min="5" max="7" width="9.5546875" bestFit="1" customWidth="1"/>
    <col min="8" max="8" width="14.88671875" bestFit="1" customWidth="1"/>
    <col min="9" max="9" width="26.554687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291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13">
        <v>42067</v>
      </c>
      <c r="C5" s="8" t="s">
        <v>13</v>
      </c>
      <c r="D5" s="8" t="s">
        <v>92</v>
      </c>
      <c r="E5" s="8">
        <v>890</v>
      </c>
      <c r="F5" s="8">
        <v>870</v>
      </c>
      <c r="G5" s="8">
        <v>1000</v>
      </c>
      <c r="H5" s="8">
        <v>20000</v>
      </c>
      <c r="I5" s="8" t="s">
        <v>199</v>
      </c>
    </row>
    <row r="6" spans="1:11" ht="25.8" x14ac:dyDescent="0.5">
      <c r="B6" s="13">
        <v>42076</v>
      </c>
      <c r="C6" s="8" t="s">
        <v>13</v>
      </c>
      <c r="D6" s="8" t="s">
        <v>247</v>
      </c>
      <c r="E6" s="8">
        <v>950</v>
      </c>
      <c r="F6" s="8">
        <v>930</v>
      </c>
      <c r="G6" s="8">
        <v>1000</v>
      </c>
      <c r="H6" s="8">
        <v>20000</v>
      </c>
      <c r="I6" s="8" t="s">
        <v>195</v>
      </c>
    </row>
    <row r="7" spans="1:11" ht="25.8" x14ac:dyDescent="0.5">
      <c r="B7" s="7">
        <v>42081</v>
      </c>
      <c r="C7" s="8" t="s">
        <v>20</v>
      </c>
      <c r="D7" s="8" t="s">
        <v>78</v>
      </c>
      <c r="E7" s="8">
        <v>464</v>
      </c>
      <c r="F7" s="8">
        <v>450</v>
      </c>
      <c r="G7" s="8">
        <v>1000</v>
      </c>
      <c r="H7" s="8">
        <v>-14000</v>
      </c>
      <c r="I7" s="8" t="s">
        <v>197</v>
      </c>
    </row>
    <row r="8" spans="1:11" ht="25.8" x14ac:dyDescent="0.5">
      <c r="B8" s="7">
        <v>42086</v>
      </c>
      <c r="C8" s="8" t="s">
        <v>13</v>
      </c>
      <c r="D8" s="8" t="s">
        <v>11</v>
      </c>
      <c r="E8" s="8">
        <v>275</v>
      </c>
      <c r="F8" s="8">
        <v>265</v>
      </c>
      <c r="G8" s="8">
        <v>2500</v>
      </c>
      <c r="H8" s="17" t="s">
        <v>294</v>
      </c>
      <c r="I8" s="17" t="s">
        <v>195</v>
      </c>
    </row>
    <row r="9" spans="1:11" ht="28.8" x14ac:dyDescent="0.55000000000000004">
      <c r="B9" s="7"/>
      <c r="C9" s="8"/>
      <c r="D9" s="8"/>
      <c r="E9" s="8"/>
      <c r="F9" s="8"/>
      <c r="G9" s="8"/>
      <c r="H9" s="22" t="s">
        <v>298</v>
      </c>
      <c r="I9" s="17"/>
    </row>
    <row r="10" spans="1:11" ht="25.8" x14ac:dyDescent="0.5">
      <c r="B10" s="7"/>
      <c r="C10" s="8"/>
      <c r="D10" s="8"/>
      <c r="E10" s="8"/>
      <c r="F10" s="8"/>
      <c r="G10" s="8"/>
      <c r="H10" s="16"/>
      <c r="I10" s="17"/>
    </row>
    <row r="12" spans="1:11" ht="15" thickBot="1" x14ac:dyDescent="0.35"/>
    <row r="13" spans="1:11" ht="16.2" thickBot="1" x14ac:dyDescent="0.35">
      <c r="B13" s="158" t="s">
        <v>290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245</v>
      </c>
      <c r="I14" s="20" t="s">
        <v>200</v>
      </c>
    </row>
    <row r="15" spans="1:11" ht="25.8" x14ac:dyDescent="0.5">
      <c r="B15" s="13">
        <v>42067</v>
      </c>
      <c r="C15" s="8" t="s">
        <v>13</v>
      </c>
      <c r="D15" s="8" t="s">
        <v>30</v>
      </c>
      <c r="E15" s="8">
        <v>9100</v>
      </c>
      <c r="F15" s="8">
        <v>9040</v>
      </c>
      <c r="G15" s="8">
        <v>60</v>
      </c>
      <c r="H15" s="8">
        <v>30000</v>
      </c>
      <c r="I15" s="8" t="s">
        <v>198</v>
      </c>
    </row>
    <row r="16" spans="1:11" ht="25.8" x14ac:dyDescent="0.5">
      <c r="B16" s="13">
        <v>42076</v>
      </c>
      <c r="C16" s="8" t="s">
        <v>13</v>
      </c>
      <c r="D16" s="8" t="s">
        <v>30</v>
      </c>
      <c r="E16" s="8">
        <v>8730</v>
      </c>
      <c r="F16" s="8">
        <v>8650</v>
      </c>
      <c r="G16" s="8">
        <v>80</v>
      </c>
      <c r="H16" s="8">
        <v>40000</v>
      </c>
      <c r="I16" s="8" t="s">
        <v>236</v>
      </c>
    </row>
    <row r="17" spans="2:9" ht="28.8" x14ac:dyDescent="0.55000000000000004">
      <c r="B17" s="7">
        <v>42082</v>
      </c>
      <c r="C17" s="8" t="s">
        <v>13</v>
      </c>
      <c r="D17" s="8" t="s">
        <v>30</v>
      </c>
      <c r="E17" s="8">
        <v>8780</v>
      </c>
      <c r="F17" s="8">
        <v>8650</v>
      </c>
      <c r="G17" s="8">
        <v>130</v>
      </c>
      <c r="H17" s="23">
        <v>65000</v>
      </c>
      <c r="I17" s="8" t="s">
        <v>195</v>
      </c>
    </row>
    <row r="18" spans="2:9" ht="25.8" x14ac:dyDescent="0.5">
      <c r="B18" s="7">
        <v>42087</v>
      </c>
      <c r="C18" s="8" t="s">
        <v>13</v>
      </c>
      <c r="D18" s="8" t="s">
        <v>30</v>
      </c>
      <c r="E18" s="8">
        <v>8550</v>
      </c>
      <c r="F18" s="8">
        <v>8450</v>
      </c>
      <c r="G18" s="8">
        <v>100</v>
      </c>
      <c r="H18" s="8">
        <v>50000</v>
      </c>
      <c r="I18" s="8" t="s">
        <v>199</v>
      </c>
    </row>
    <row r="19" spans="2:9" ht="25.8" x14ac:dyDescent="0.5">
      <c r="B19" s="7"/>
      <c r="C19" s="8"/>
      <c r="D19" s="8"/>
      <c r="E19" s="8"/>
      <c r="F19" s="8"/>
      <c r="G19" s="8"/>
      <c r="H19" s="9">
        <v>185000</v>
      </c>
      <c r="I19" s="8"/>
    </row>
    <row r="21" spans="2:9" ht="15" thickBot="1" x14ac:dyDescent="0.35"/>
    <row r="22" spans="2:9" ht="16.2" thickBot="1" x14ac:dyDescent="0.35">
      <c r="B22" s="158" t="s">
        <v>289</v>
      </c>
      <c r="C22" s="158"/>
      <c r="D22" s="158"/>
      <c r="E22" s="158"/>
      <c r="F22" s="158"/>
      <c r="G22" s="158"/>
      <c r="H22" s="158"/>
      <c r="I22" s="19"/>
    </row>
    <row r="23" spans="2:9" x14ac:dyDescent="0.3">
      <c r="B23" s="1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89</v>
      </c>
      <c r="I23" s="20" t="s">
        <v>200</v>
      </c>
    </row>
    <row r="24" spans="2:9" ht="25.8" x14ac:dyDescent="0.5">
      <c r="B24" s="13">
        <v>42065</v>
      </c>
      <c r="C24" s="8" t="s">
        <v>20</v>
      </c>
      <c r="D24" s="8" t="s">
        <v>292</v>
      </c>
      <c r="E24" s="8">
        <v>12</v>
      </c>
      <c r="F24" s="8">
        <v>16</v>
      </c>
      <c r="G24" s="8">
        <v>2000</v>
      </c>
      <c r="H24" s="8">
        <v>8000</v>
      </c>
      <c r="I24" s="8" t="s">
        <v>198</v>
      </c>
    </row>
    <row r="25" spans="2:9" ht="25.8" x14ac:dyDescent="0.5">
      <c r="B25" s="13">
        <v>42067</v>
      </c>
      <c r="C25" s="8" t="s">
        <v>8</v>
      </c>
      <c r="D25" s="8" t="s">
        <v>293</v>
      </c>
      <c r="E25" s="8">
        <v>30</v>
      </c>
      <c r="F25" s="8">
        <v>40</v>
      </c>
      <c r="G25" s="8">
        <v>1000</v>
      </c>
      <c r="H25" s="8">
        <v>10000</v>
      </c>
      <c r="I25" s="8" t="s">
        <v>195</v>
      </c>
    </row>
    <row r="26" spans="2:9" ht="25.8" x14ac:dyDescent="0.5">
      <c r="B26" s="7">
        <v>42075</v>
      </c>
      <c r="C26" s="8" t="s">
        <v>8</v>
      </c>
      <c r="D26" s="8" t="s">
        <v>295</v>
      </c>
      <c r="E26" s="8">
        <v>34</v>
      </c>
      <c r="F26" s="8">
        <v>25</v>
      </c>
      <c r="G26" s="8">
        <v>500</v>
      </c>
      <c r="H26" s="8">
        <v>-4500</v>
      </c>
      <c r="I26" s="8" t="s">
        <v>197</v>
      </c>
    </row>
    <row r="27" spans="2:9" ht="28.8" x14ac:dyDescent="0.55000000000000004">
      <c r="B27" s="7">
        <v>42087</v>
      </c>
      <c r="C27" s="8" t="s">
        <v>8</v>
      </c>
      <c r="D27" s="8" t="s">
        <v>296</v>
      </c>
      <c r="E27" s="8">
        <v>1.5</v>
      </c>
      <c r="F27" s="8">
        <v>2.5</v>
      </c>
      <c r="G27" s="8">
        <v>5000</v>
      </c>
      <c r="H27" s="23">
        <v>5000</v>
      </c>
      <c r="I27" s="8" t="s">
        <v>198</v>
      </c>
    </row>
    <row r="28" spans="2:9" ht="25.8" x14ac:dyDescent="0.5">
      <c r="B28" s="7">
        <v>42088</v>
      </c>
      <c r="C28" s="8" t="s">
        <v>8</v>
      </c>
      <c r="D28" s="8" t="s">
        <v>296</v>
      </c>
      <c r="E28" s="8">
        <v>2</v>
      </c>
      <c r="F28" s="8">
        <v>4</v>
      </c>
      <c r="G28" s="8">
        <v>5000</v>
      </c>
      <c r="H28" s="17" t="s">
        <v>297</v>
      </c>
      <c r="I28" s="17" t="s">
        <v>195</v>
      </c>
    </row>
    <row r="29" spans="2:9" ht="25.8" x14ac:dyDescent="0.5">
      <c r="B29" s="13"/>
      <c r="C29" s="8"/>
      <c r="D29" s="8"/>
      <c r="E29" s="8"/>
      <c r="F29" s="8"/>
      <c r="G29" s="8"/>
      <c r="H29" s="9">
        <v>28500</v>
      </c>
      <c r="I29" s="9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B32" s="13"/>
      <c r="C32" s="8"/>
      <c r="D32" s="8"/>
      <c r="E32" s="8"/>
      <c r="F32" s="8"/>
      <c r="G32" s="8"/>
      <c r="H32" s="8"/>
      <c r="I32" s="8"/>
    </row>
    <row r="33" spans="8:9" ht="25.8" x14ac:dyDescent="0.5">
      <c r="H33" s="9"/>
      <c r="I33" s="9"/>
    </row>
  </sheetData>
  <mergeCells count="5">
    <mergeCell ref="B1:H1"/>
    <mergeCell ref="B2:H2"/>
    <mergeCell ref="B3:H3"/>
    <mergeCell ref="B13:H13"/>
    <mergeCell ref="B22:H22"/>
  </mergeCells>
  <hyperlinks>
    <hyperlink ref="K2" location="'Home Page'!A1" display="Back" xr:uid="{00000000-0004-0000-1800-000000000000}"/>
  </hyperlinks>
  <pageMargins left="0.7" right="0.7" top="0.75" bottom="0.75" header="0.3" footer="0.3"/>
  <ignoredErrors>
    <ignoredError sqref="H8:H9 H2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K32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0" bestFit="1" customWidth="1"/>
    <col min="5" max="7" width="9.5546875" bestFit="1" customWidth="1"/>
    <col min="8" max="8" width="14.88671875" bestFit="1" customWidth="1"/>
    <col min="9" max="9" width="26.10937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301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13">
        <v>42102</v>
      </c>
      <c r="C5" s="8" t="s">
        <v>8</v>
      </c>
      <c r="D5" s="8" t="s">
        <v>212</v>
      </c>
      <c r="E5" s="8">
        <v>315</v>
      </c>
      <c r="F5" s="8">
        <v>330</v>
      </c>
      <c r="G5" s="8">
        <v>1000</v>
      </c>
      <c r="H5" s="8">
        <v>15000</v>
      </c>
      <c r="I5" s="8" t="s">
        <v>199</v>
      </c>
    </row>
    <row r="6" spans="1:11" ht="25.8" x14ac:dyDescent="0.5">
      <c r="B6" s="13">
        <v>42104</v>
      </c>
      <c r="C6" s="8" t="s">
        <v>8</v>
      </c>
      <c r="D6" s="8" t="s">
        <v>11</v>
      </c>
      <c r="E6" s="8">
        <v>285</v>
      </c>
      <c r="F6" s="8">
        <v>292</v>
      </c>
      <c r="G6" s="8">
        <v>2500</v>
      </c>
      <c r="H6" s="8">
        <v>17500</v>
      </c>
      <c r="I6" s="8" t="s">
        <v>199</v>
      </c>
    </row>
    <row r="7" spans="1:11" ht="25.8" x14ac:dyDescent="0.5">
      <c r="B7" s="7">
        <v>42110</v>
      </c>
      <c r="C7" s="8" t="s">
        <v>13</v>
      </c>
      <c r="D7" s="8" t="s">
        <v>158</v>
      </c>
      <c r="E7" s="8">
        <v>2490</v>
      </c>
      <c r="F7" s="8">
        <v>2400</v>
      </c>
      <c r="G7" s="8">
        <v>250</v>
      </c>
      <c r="H7" s="17" t="s">
        <v>307</v>
      </c>
      <c r="I7" s="17" t="s">
        <v>303</v>
      </c>
    </row>
    <row r="8" spans="1:11" ht="25.8" x14ac:dyDescent="0.5">
      <c r="B8" s="7">
        <v>42118</v>
      </c>
      <c r="C8" s="8" t="s">
        <v>13</v>
      </c>
      <c r="D8" s="8" t="s">
        <v>310</v>
      </c>
      <c r="E8" s="8">
        <v>420</v>
      </c>
      <c r="F8" s="8">
        <v>405</v>
      </c>
      <c r="G8" s="8">
        <v>100</v>
      </c>
      <c r="H8" s="8">
        <v>15000</v>
      </c>
      <c r="I8" s="17" t="s">
        <v>303</v>
      </c>
    </row>
    <row r="9" spans="1:11" ht="25.8" x14ac:dyDescent="0.5">
      <c r="B9" s="7"/>
      <c r="C9" s="8"/>
      <c r="D9" s="8"/>
      <c r="E9" s="8"/>
      <c r="F9" s="8"/>
      <c r="G9" s="8"/>
      <c r="H9" s="16" t="s">
        <v>312</v>
      </c>
      <c r="I9" s="17"/>
    </row>
    <row r="11" spans="1:11" ht="15" thickBot="1" x14ac:dyDescent="0.35"/>
    <row r="12" spans="1:11" ht="16.2" thickBot="1" x14ac:dyDescent="0.35">
      <c r="B12" s="158" t="s">
        <v>300</v>
      </c>
      <c r="C12" s="158"/>
      <c r="D12" s="158"/>
      <c r="E12" s="158"/>
      <c r="F12" s="158"/>
      <c r="G12" s="158"/>
      <c r="H12" s="158"/>
      <c r="I12" s="19"/>
    </row>
    <row r="13" spans="1:11" x14ac:dyDescent="0.3">
      <c r="B13" s="1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3" t="s">
        <v>44</v>
      </c>
      <c r="H13" s="3" t="s">
        <v>245</v>
      </c>
      <c r="I13" s="20" t="s">
        <v>200</v>
      </c>
    </row>
    <row r="14" spans="1:11" ht="25.8" x14ac:dyDescent="0.5">
      <c r="B14" s="13">
        <v>42101</v>
      </c>
      <c r="C14" s="8" t="s">
        <v>20</v>
      </c>
      <c r="D14" s="8" t="s">
        <v>30</v>
      </c>
      <c r="E14" s="8">
        <v>8690</v>
      </c>
      <c r="F14" s="8">
        <v>8760</v>
      </c>
      <c r="G14" s="8">
        <v>70</v>
      </c>
      <c r="H14" s="8">
        <v>35000</v>
      </c>
      <c r="I14" s="8" t="s">
        <v>309</v>
      </c>
    </row>
    <row r="15" spans="1:11" ht="25.8" x14ac:dyDescent="0.5">
      <c r="B15" s="13">
        <v>42107</v>
      </c>
      <c r="C15" s="8" t="s">
        <v>13</v>
      </c>
      <c r="D15" s="8" t="s">
        <v>30</v>
      </c>
      <c r="E15" s="8">
        <v>8800</v>
      </c>
      <c r="F15" s="8">
        <v>8700</v>
      </c>
      <c r="G15" s="8">
        <v>100</v>
      </c>
      <c r="H15" s="8">
        <v>50000</v>
      </c>
      <c r="I15" s="8" t="s">
        <v>199</v>
      </c>
    </row>
    <row r="16" spans="1:11" ht="28.8" x14ac:dyDescent="0.55000000000000004">
      <c r="B16" s="7">
        <v>42111</v>
      </c>
      <c r="C16" s="8" t="s">
        <v>13</v>
      </c>
      <c r="D16" s="8" t="s">
        <v>30</v>
      </c>
      <c r="E16" s="8">
        <v>8630</v>
      </c>
      <c r="F16" s="8">
        <v>8480</v>
      </c>
      <c r="G16" s="8">
        <v>150</v>
      </c>
      <c r="H16" s="23">
        <v>75000</v>
      </c>
      <c r="I16" s="8" t="s">
        <v>306</v>
      </c>
    </row>
    <row r="17" spans="2:9" ht="25.8" x14ac:dyDescent="0.5">
      <c r="B17" s="7">
        <v>42117</v>
      </c>
      <c r="C17" s="8" t="s">
        <v>13</v>
      </c>
      <c r="D17" s="8" t="s">
        <v>30</v>
      </c>
      <c r="E17" s="8">
        <v>8430</v>
      </c>
      <c r="F17" s="8">
        <v>8280</v>
      </c>
      <c r="G17" s="8">
        <v>150</v>
      </c>
      <c r="H17" s="8">
        <v>75000</v>
      </c>
      <c r="I17" s="8" t="s">
        <v>306</v>
      </c>
    </row>
    <row r="18" spans="2:9" ht="25.8" x14ac:dyDescent="0.5">
      <c r="B18" s="7"/>
      <c r="C18" s="8"/>
      <c r="D18" s="8"/>
      <c r="E18" s="8"/>
      <c r="F18" s="8"/>
      <c r="G18" s="8"/>
      <c r="H18" s="9">
        <v>235000</v>
      </c>
      <c r="I18" s="8"/>
    </row>
    <row r="20" spans="2:9" ht="15" thickBot="1" x14ac:dyDescent="0.35"/>
    <row r="21" spans="2:9" ht="16.2" thickBot="1" x14ac:dyDescent="0.35">
      <c r="B21" s="158" t="s">
        <v>299</v>
      </c>
      <c r="C21" s="158"/>
      <c r="D21" s="158"/>
      <c r="E21" s="158"/>
      <c r="F21" s="158"/>
      <c r="G21" s="158"/>
      <c r="H21" s="158"/>
      <c r="I21" s="19"/>
    </row>
    <row r="22" spans="2:9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89</v>
      </c>
      <c r="I22" s="20" t="s">
        <v>200</v>
      </c>
    </row>
    <row r="23" spans="2:9" ht="25.8" x14ac:dyDescent="0.5">
      <c r="B23" s="13">
        <v>42095</v>
      </c>
      <c r="C23" s="8" t="s">
        <v>20</v>
      </c>
      <c r="D23" s="8" t="s">
        <v>302</v>
      </c>
      <c r="E23" s="8">
        <v>56</v>
      </c>
      <c r="F23" s="8">
        <v>85</v>
      </c>
      <c r="G23" s="8">
        <v>500</v>
      </c>
      <c r="H23" s="8">
        <v>14500</v>
      </c>
      <c r="I23" s="8" t="s">
        <v>303</v>
      </c>
    </row>
    <row r="24" spans="2:9" ht="25.8" x14ac:dyDescent="0.5">
      <c r="B24" s="13">
        <v>42102</v>
      </c>
      <c r="C24" s="8" t="s">
        <v>8</v>
      </c>
      <c r="D24" s="8" t="s">
        <v>304</v>
      </c>
      <c r="E24" s="8">
        <v>12</v>
      </c>
      <c r="F24" s="8">
        <v>20</v>
      </c>
      <c r="G24" s="8">
        <v>2000</v>
      </c>
      <c r="H24" s="8">
        <v>16000</v>
      </c>
      <c r="I24" s="8" t="s">
        <v>303</v>
      </c>
    </row>
    <row r="25" spans="2:9" ht="25.8" x14ac:dyDescent="0.5">
      <c r="B25" s="7">
        <v>42110</v>
      </c>
      <c r="C25" s="8" t="s">
        <v>8</v>
      </c>
      <c r="D25" s="8" t="s">
        <v>305</v>
      </c>
      <c r="E25" s="8">
        <v>40</v>
      </c>
      <c r="F25" s="8">
        <v>95</v>
      </c>
      <c r="G25" s="8">
        <v>250</v>
      </c>
      <c r="H25" s="8">
        <v>13750</v>
      </c>
      <c r="I25" s="8" t="s">
        <v>303</v>
      </c>
    </row>
    <row r="26" spans="2:9" ht="28.8" x14ac:dyDescent="0.55000000000000004">
      <c r="B26" s="7">
        <v>42116</v>
      </c>
      <c r="C26" s="8" t="s">
        <v>8</v>
      </c>
      <c r="D26" s="8" t="s">
        <v>308</v>
      </c>
      <c r="E26" s="8">
        <v>8</v>
      </c>
      <c r="F26" s="8">
        <v>13</v>
      </c>
      <c r="G26" s="8">
        <v>2500</v>
      </c>
      <c r="H26" s="23">
        <v>12500</v>
      </c>
      <c r="I26" s="8" t="s">
        <v>309</v>
      </c>
    </row>
    <row r="27" spans="2:9" ht="25.8" x14ac:dyDescent="0.5">
      <c r="B27" s="7">
        <v>42117</v>
      </c>
      <c r="C27" s="8" t="s">
        <v>8</v>
      </c>
      <c r="D27" s="8" t="s">
        <v>308</v>
      </c>
      <c r="E27" s="8">
        <v>10</v>
      </c>
      <c r="F27" s="8">
        <v>16</v>
      </c>
      <c r="G27" s="8">
        <v>2500</v>
      </c>
      <c r="H27" s="17" t="s">
        <v>311</v>
      </c>
      <c r="I27" s="17" t="s">
        <v>303</v>
      </c>
    </row>
    <row r="28" spans="2:9" ht="25.8" x14ac:dyDescent="0.5">
      <c r="B28" s="13">
        <v>42121</v>
      </c>
      <c r="C28" s="8" t="s">
        <v>8</v>
      </c>
      <c r="D28" s="8" t="s">
        <v>313</v>
      </c>
      <c r="E28" s="8">
        <v>15</v>
      </c>
      <c r="F28" s="8">
        <v>17</v>
      </c>
      <c r="G28" s="8">
        <v>1250</v>
      </c>
      <c r="H28" s="8">
        <v>2500</v>
      </c>
      <c r="I28" s="8" t="s">
        <v>270</v>
      </c>
    </row>
    <row r="29" spans="2:9" ht="25.8" x14ac:dyDescent="0.5">
      <c r="B29" s="13"/>
      <c r="C29" s="8"/>
      <c r="D29" s="8"/>
      <c r="E29" s="8"/>
      <c r="F29" s="8"/>
      <c r="G29" s="8"/>
      <c r="H29" s="9">
        <v>59250</v>
      </c>
      <c r="I29" s="8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H32" s="9"/>
      <c r="I32" s="9"/>
    </row>
  </sheetData>
  <mergeCells count="5">
    <mergeCell ref="B1:H1"/>
    <mergeCell ref="B2:H2"/>
    <mergeCell ref="B3:H3"/>
    <mergeCell ref="B12:H12"/>
    <mergeCell ref="B21:H21"/>
  </mergeCells>
  <hyperlinks>
    <hyperlink ref="K2" location="'Home Page'!A1" display="Back" xr:uid="{00000000-0004-0000-1900-000000000000}"/>
  </hyperlinks>
  <pageMargins left="0.7" right="0.7" top="0.75" bottom="0.75" header="0.3" footer="0.3"/>
  <pageSetup orientation="portrait" horizontalDpi="300" verticalDpi="0" r:id="rId1"/>
  <ignoredErrors>
    <ignoredError sqref="H7 H9 H2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K32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5" bestFit="1" customWidth="1"/>
    <col min="5" max="7" width="9.5546875" bestFit="1" customWidth="1"/>
    <col min="8" max="8" width="14.88671875" bestFit="1" customWidth="1"/>
    <col min="9" max="9" width="24.10937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314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13">
        <v>42131</v>
      </c>
      <c r="C5" s="8" t="s">
        <v>13</v>
      </c>
      <c r="D5" s="8" t="s">
        <v>310</v>
      </c>
      <c r="E5" s="8">
        <v>392</v>
      </c>
      <c r="F5" s="8">
        <v>380</v>
      </c>
      <c r="G5" s="8">
        <v>1000</v>
      </c>
      <c r="H5" s="8">
        <v>12000</v>
      </c>
      <c r="I5" s="8" t="s">
        <v>198</v>
      </c>
    </row>
    <row r="6" spans="1:11" ht="25.8" x14ac:dyDescent="0.5">
      <c r="B6" s="13">
        <v>42143</v>
      </c>
      <c r="C6" s="8" t="s">
        <v>20</v>
      </c>
      <c r="D6" s="8" t="s">
        <v>170</v>
      </c>
      <c r="E6" s="8">
        <v>3650</v>
      </c>
      <c r="F6" s="8">
        <v>3690</v>
      </c>
      <c r="G6" s="8">
        <v>250</v>
      </c>
      <c r="H6" s="8">
        <v>10000</v>
      </c>
      <c r="I6" s="8" t="s">
        <v>270</v>
      </c>
    </row>
    <row r="7" spans="1:11" ht="25.8" x14ac:dyDescent="0.5">
      <c r="B7" s="7">
        <v>42149</v>
      </c>
      <c r="C7" s="8" t="s">
        <v>13</v>
      </c>
      <c r="D7" s="8" t="s">
        <v>234</v>
      </c>
      <c r="E7" s="8">
        <v>1270</v>
      </c>
      <c r="F7" s="8">
        <v>1220</v>
      </c>
      <c r="G7" s="8">
        <v>500</v>
      </c>
      <c r="H7" s="17" t="s">
        <v>294</v>
      </c>
      <c r="I7" s="17" t="s">
        <v>195</v>
      </c>
    </row>
    <row r="8" spans="1:11" ht="25.8" x14ac:dyDescent="0.5">
      <c r="B8" s="7">
        <v>42151</v>
      </c>
      <c r="C8" s="8" t="s">
        <v>13</v>
      </c>
      <c r="D8" s="8" t="s">
        <v>15</v>
      </c>
      <c r="E8" s="8">
        <v>1250</v>
      </c>
      <c r="F8" s="8">
        <v>1210</v>
      </c>
      <c r="G8" s="8">
        <v>500</v>
      </c>
      <c r="H8" s="8">
        <v>20000</v>
      </c>
      <c r="I8" s="17" t="s">
        <v>195</v>
      </c>
    </row>
    <row r="9" spans="1:11" ht="25.8" x14ac:dyDescent="0.5">
      <c r="B9" s="7"/>
      <c r="C9" s="8"/>
      <c r="D9" s="8"/>
      <c r="E9" s="8"/>
      <c r="F9" s="8"/>
      <c r="G9" s="8"/>
      <c r="H9" s="16" t="s">
        <v>321</v>
      </c>
      <c r="I9" s="17"/>
    </row>
    <row r="11" spans="1:11" ht="15" thickBot="1" x14ac:dyDescent="0.35"/>
    <row r="12" spans="1:11" ht="16.2" thickBot="1" x14ac:dyDescent="0.35">
      <c r="B12" s="158" t="s">
        <v>315</v>
      </c>
      <c r="C12" s="158"/>
      <c r="D12" s="158"/>
      <c r="E12" s="158"/>
      <c r="F12" s="158"/>
      <c r="G12" s="158"/>
      <c r="H12" s="158"/>
      <c r="I12" s="19"/>
    </row>
    <row r="13" spans="1:11" x14ac:dyDescent="0.3">
      <c r="B13" s="1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3" t="s">
        <v>44</v>
      </c>
      <c r="H13" s="3" t="s">
        <v>245</v>
      </c>
      <c r="I13" s="20" t="s">
        <v>200</v>
      </c>
    </row>
    <row r="14" spans="1:11" ht="25.8" x14ac:dyDescent="0.5">
      <c r="B14" s="13">
        <v>42129</v>
      </c>
      <c r="C14" s="8" t="s">
        <v>13</v>
      </c>
      <c r="D14" s="8" t="s">
        <v>30</v>
      </c>
      <c r="E14" s="8">
        <v>8350</v>
      </c>
      <c r="F14" s="8">
        <v>8200</v>
      </c>
      <c r="G14" s="8">
        <v>150</v>
      </c>
      <c r="H14" s="8">
        <v>75000</v>
      </c>
      <c r="I14" s="8" t="s">
        <v>195</v>
      </c>
    </row>
    <row r="15" spans="1:11" ht="25.8" x14ac:dyDescent="0.5">
      <c r="B15" s="13">
        <v>42137</v>
      </c>
      <c r="C15" s="8" t="s">
        <v>20</v>
      </c>
      <c r="D15" s="8" t="s">
        <v>30</v>
      </c>
      <c r="E15" s="8">
        <v>8240</v>
      </c>
      <c r="F15" s="8">
        <v>8380</v>
      </c>
      <c r="G15" s="8">
        <v>150</v>
      </c>
      <c r="H15" s="8">
        <v>75000</v>
      </c>
      <c r="I15" s="8" t="s">
        <v>195</v>
      </c>
    </row>
    <row r="16" spans="1:11" ht="25.8" x14ac:dyDescent="0.5">
      <c r="B16" s="13">
        <v>42142</v>
      </c>
      <c r="C16" s="8" t="s">
        <v>20</v>
      </c>
      <c r="D16" s="8" t="s">
        <v>30</v>
      </c>
      <c r="E16" s="8">
        <v>8350</v>
      </c>
      <c r="F16" s="8">
        <v>8430</v>
      </c>
      <c r="G16" s="8">
        <v>80</v>
      </c>
      <c r="H16" s="8">
        <v>40000</v>
      </c>
      <c r="I16" s="8" t="s">
        <v>198</v>
      </c>
    </row>
    <row r="17" spans="2:9" ht="25.8" x14ac:dyDescent="0.5">
      <c r="B17" s="7">
        <v>42149</v>
      </c>
      <c r="C17" s="8" t="s">
        <v>13</v>
      </c>
      <c r="D17" s="8" t="s">
        <v>30</v>
      </c>
      <c r="E17" s="8">
        <v>8380</v>
      </c>
      <c r="F17" s="8">
        <v>8300</v>
      </c>
      <c r="G17" s="8">
        <v>80</v>
      </c>
      <c r="H17" s="8">
        <v>40000</v>
      </c>
      <c r="I17" s="8" t="s">
        <v>198</v>
      </c>
    </row>
    <row r="18" spans="2:9" ht="25.8" x14ac:dyDescent="0.5">
      <c r="B18" s="7"/>
      <c r="C18" s="8"/>
      <c r="D18" s="8"/>
      <c r="E18" s="8"/>
      <c r="F18" s="8"/>
      <c r="G18" s="8"/>
      <c r="H18" s="9">
        <v>230000</v>
      </c>
      <c r="I18" s="8"/>
    </row>
    <row r="20" spans="2:9" ht="15" thickBot="1" x14ac:dyDescent="0.35"/>
    <row r="21" spans="2:9" ht="16.2" thickBot="1" x14ac:dyDescent="0.35">
      <c r="B21" s="158" t="s">
        <v>316</v>
      </c>
      <c r="C21" s="158"/>
      <c r="D21" s="158"/>
      <c r="E21" s="158"/>
      <c r="F21" s="158"/>
      <c r="G21" s="158"/>
      <c r="H21" s="158"/>
      <c r="I21" s="19"/>
    </row>
    <row r="22" spans="2:9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89</v>
      </c>
      <c r="I22" s="20" t="s">
        <v>200</v>
      </c>
    </row>
    <row r="23" spans="2:9" ht="25.8" x14ac:dyDescent="0.5">
      <c r="B23" s="13">
        <v>42131</v>
      </c>
      <c r="C23" s="8" t="s">
        <v>20</v>
      </c>
      <c r="D23" s="8" t="s">
        <v>317</v>
      </c>
      <c r="E23" s="8">
        <v>11</v>
      </c>
      <c r="F23" s="8">
        <v>16</v>
      </c>
      <c r="G23" s="8">
        <v>2000</v>
      </c>
      <c r="H23" s="8">
        <v>12000</v>
      </c>
      <c r="I23" s="8" t="s">
        <v>198</v>
      </c>
    </row>
    <row r="24" spans="2:9" ht="25.8" x14ac:dyDescent="0.5">
      <c r="B24" s="13">
        <v>42143</v>
      </c>
      <c r="C24" s="8" t="s">
        <v>8</v>
      </c>
      <c r="D24" s="8" t="s">
        <v>318</v>
      </c>
      <c r="E24" s="8">
        <v>70</v>
      </c>
      <c r="F24" s="8">
        <v>40</v>
      </c>
      <c r="G24" s="8">
        <v>250</v>
      </c>
      <c r="H24" s="8">
        <v>-10000</v>
      </c>
      <c r="I24" s="8" t="s">
        <v>197</v>
      </c>
    </row>
    <row r="25" spans="2:9" ht="25.8" x14ac:dyDescent="0.5">
      <c r="B25" s="7">
        <v>42149</v>
      </c>
      <c r="C25" s="8" t="s">
        <v>8</v>
      </c>
      <c r="D25" s="8" t="s">
        <v>319</v>
      </c>
      <c r="E25" s="8">
        <v>15</v>
      </c>
      <c r="F25" s="8">
        <v>30</v>
      </c>
      <c r="G25" s="8">
        <v>1000</v>
      </c>
      <c r="H25" s="8">
        <v>15000</v>
      </c>
      <c r="I25" s="8" t="s">
        <v>195</v>
      </c>
    </row>
    <row r="26" spans="2:9" ht="28.8" x14ac:dyDescent="0.55000000000000004">
      <c r="B26" s="7">
        <v>42151</v>
      </c>
      <c r="C26" s="8" t="s">
        <v>8</v>
      </c>
      <c r="D26" s="8" t="s">
        <v>320</v>
      </c>
      <c r="E26" s="8">
        <v>12</v>
      </c>
      <c r="F26" s="8">
        <v>30</v>
      </c>
      <c r="G26" s="8">
        <v>1500</v>
      </c>
      <c r="H26" s="23">
        <v>27000</v>
      </c>
      <c r="I26" s="8" t="s">
        <v>195</v>
      </c>
    </row>
    <row r="27" spans="2:9" ht="25.8" x14ac:dyDescent="0.5">
      <c r="B27" s="7"/>
      <c r="C27" s="8"/>
      <c r="D27" s="8"/>
      <c r="E27" s="8"/>
      <c r="F27" s="8"/>
      <c r="G27" s="8"/>
      <c r="H27" s="9">
        <v>44000</v>
      </c>
      <c r="I27" s="17"/>
    </row>
    <row r="28" spans="2:9" ht="25.8" x14ac:dyDescent="0.5">
      <c r="B28" s="13"/>
      <c r="C28" s="8"/>
      <c r="D28" s="8"/>
      <c r="E28" s="8"/>
      <c r="F28" s="8"/>
      <c r="G28" s="8"/>
      <c r="H28" s="8"/>
      <c r="I28" s="8"/>
    </row>
    <row r="29" spans="2:9" ht="25.8" x14ac:dyDescent="0.5">
      <c r="B29" s="13"/>
      <c r="C29" s="8"/>
      <c r="D29" s="8"/>
      <c r="E29" s="8"/>
      <c r="F29" s="8"/>
      <c r="G29" s="8"/>
      <c r="H29" s="9"/>
      <c r="I29" s="8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H32" s="9"/>
      <c r="I32" s="9"/>
    </row>
  </sheetData>
  <mergeCells count="5">
    <mergeCell ref="B1:H1"/>
    <mergeCell ref="B2:H2"/>
    <mergeCell ref="B3:H3"/>
    <mergeCell ref="B12:H12"/>
    <mergeCell ref="B21:H21"/>
  </mergeCells>
  <hyperlinks>
    <hyperlink ref="K2" location="'Home Page'!A1" display="Back" xr:uid="{00000000-0004-0000-1A00-000000000000}"/>
  </hyperlinks>
  <pageMargins left="0.7" right="0.7" top="0.75" bottom="0.75" header="0.3" footer="0.3"/>
  <ignoredErrors>
    <ignoredError sqref="H7:H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K32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9.88671875" bestFit="1" customWidth="1"/>
    <col min="5" max="7" width="9.5546875" bestFit="1" customWidth="1"/>
    <col min="8" max="8" width="14.88671875" bestFit="1" customWidth="1"/>
    <col min="9" max="9" width="15.554687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322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13">
        <v>42159</v>
      </c>
      <c r="C5" s="8" t="s">
        <v>13</v>
      </c>
      <c r="D5" s="8" t="s">
        <v>327</v>
      </c>
      <c r="E5" s="8">
        <v>720</v>
      </c>
      <c r="F5" s="8">
        <v>690</v>
      </c>
      <c r="G5" s="8">
        <v>1000</v>
      </c>
      <c r="H5" s="8">
        <v>30000</v>
      </c>
      <c r="I5" s="8" t="s">
        <v>195</v>
      </c>
    </row>
    <row r="6" spans="1:11" ht="25.8" x14ac:dyDescent="0.5">
      <c r="B6" s="13">
        <v>42167</v>
      </c>
      <c r="C6" s="8" t="s">
        <v>20</v>
      </c>
      <c r="D6" s="8" t="s">
        <v>330</v>
      </c>
      <c r="E6" s="8">
        <v>820</v>
      </c>
      <c r="F6" s="8">
        <v>850</v>
      </c>
      <c r="G6" s="8">
        <v>100</v>
      </c>
      <c r="H6" s="8">
        <v>30000</v>
      </c>
      <c r="I6" s="8" t="s">
        <v>195</v>
      </c>
    </row>
    <row r="7" spans="1:11" ht="25.8" x14ac:dyDescent="0.5">
      <c r="B7" s="7">
        <v>42172</v>
      </c>
      <c r="C7" s="8" t="s">
        <v>8</v>
      </c>
      <c r="D7" s="8" t="s">
        <v>11</v>
      </c>
      <c r="E7" s="8">
        <v>259</v>
      </c>
      <c r="F7" s="8">
        <v>266</v>
      </c>
      <c r="G7" s="8">
        <v>2500</v>
      </c>
      <c r="H7" s="17" t="s">
        <v>331</v>
      </c>
      <c r="I7" s="17" t="s">
        <v>276</v>
      </c>
    </row>
    <row r="8" spans="1:11" ht="25.8" x14ac:dyDescent="0.5">
      <c r="B8" s="7">
        <v>42177</v>
      </c>
      <c r="C8" s="8" t="s">
        <v>8</v>
      </c>
      <c r="D8" s="8" t="s">
        <v>332</v>
      </c>
      <c r="E8" s="8">
        <v>1730</v>
      </c>
      <c r="F8" s="8">
        <v>1790</v>
      </c>
      <c r="G8" s="8">
        <v>250</v>
      </c>
      <c r="H8" s="8">
        <v>15000</v>
      </c>
      <c r="I8" s="17" t="s">
        <v>195</v>
      </c>
    </row>
    <row r="9" spans="1:11" ht="25.8" x14ac:dyDescent="0.5">
      <c r="B9" s="7"/>
      <c r="C9" s="8"/>
      <c r="D9" s="8"/>
      <c r="E9" s="8"/>
      <c r="F9" s="8"/>
      <c r="G9" s="8"/>
      <c r="H9" s="16" t="s">
        <v>334</v>
      </c>
      <c r="I9" s="17"/>
    </row>
    <row r="11" spans="1:11" ht="15" thickBot="1" x14ac:dyDescent="0.35"/>
    <row r="12" spans="1:11" ht="16.2" thickBot="1" x14ac:dyDescent="0.35">
      <c r="B12" s="158" t="s">
        <v>323</v>
      </c>
      <c r="C12" s="158"/>
      <c r="D12" s="158"/>
      <c r="E12" s="158"/>
      <c r="F12" s="158"/>
      <c r="G12" s="158"/>
      <c r="H12" s="158"/>
      <c r="I12" s="19"/>
    </row>
    <row r="13" spans="1:11" x14ac:dyDescent="0.3">
      <c r="B13" s="1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3" t="s">
        <v>44</v>
      </c>
      <c r="H13" s="3" t="s">
        <v>245</v>
      </c>
      <c r="I13" s="20" t="s">
        <v>200</v>
      </c>
    </row>
    <row r="14" spans="1:11" ht="25.8" x14ac:dyDescent="0.5">
      <c r="B14" s="13">
        <v>42157</v>
      </c>
      <c r="C14" s="8" t="s">
        <v>13</v>
      </c>
      <c r="D14" s="8" t="s">
        <v>30</v>
      </c>
      <c r="E14" s="8">
        <v>8265</v>
      </c>
      <c r="F14" s="8">
        <v>8165</v>
      </c>
      <c r="G14" s="8">
        <v>100</v>
      </c>
      <c r="H14" s="8">
        <v>50000</v>
      </c>
      <c r="I14" s="8" t="s">
        <v>195</v>
      </c>
    </row>
    <row r="15" spans="1:11" ht="25.8" x14ac:dyDescent="0.5">
      <c r="B15" s="13">
        <v>42160</v>
      </c>
      <c r="C15" s="8" t="s">
        <v>13</v>
      </c>
      <c r="D15" s="8" t="s">
        <v>30</v>
      </c>
      <c r="E15" s="8">
        <v>8120</v>
      </c>
      <c r="F15" s="8">
        <v>8050</v>
      </c>
      <c r="G15" s="8">
        <v>70</v>
      </c>
      <c r="H15" s="8">
        <v>35000</v>
      </c>
      <c r="I15" s="8" t="s">
        <v>198</v>
      </c>
    </row>
    <row r="16" spans="1:11" ht="25.8" x14ac:dyDescent="0.5">
      <c r="B16" s="13">
        <v>42170</v>
      </c>
      <c r="C16" s="8" t="s">
        <v>20</v>
      </c>
      <c r="D16" s="8" t="s">
        <v>30</v>
      </c>
      <c r="E16" s="8">
        <v>8010</v>
      </c>
      <c r="F16" s="8">
        <v>8090</v>
      </c>
      <c r="G16" s="8">
        <v>80</v>
      </c>
      <c r="H16" s="8">
        <v>40000</v>
      </c>
      <c r="I16" s="8" t="s">
        <v>198</v>
      </c>
    </row>
    <row r="17" spans="2:9" ht="25.8" x14ac:dyDescent="0.5">
      <c r="B17" s="7">
        <v>42174</v>
      </c>
      <c r="C17" s="8" t="s">
        <v>8</v>
      </c>
      <c r="D17" s="8" t="s">
        <v>30</v>
      </c>
      <c r="E17" s="8">
        <v>8230</v>
      </c>
      <c r="F17" s="8">
        <v>8370</v>
      </c>
      <c r="G17" s="8">
        <v>140</v>
      </c>
      <c r="H17" s="8">
        <v>80000</v>
      </c>
      <c r="I17" s="8" t="s">
        <v>195</v>
      </c>
    </row>
    <row r="18" spans="2:9" ht="25.8" x14ac:dyDescent="0.5">
      <c r="B18" s="7"/>
      <c r="C18" s="8"/>
      <c r="D18" s="8"/>
      <c r="E18" s="8"/>
      <c r="F18" s="8"/>
      <c r="G18" s="8"/>
      <c r="H18" s="9">
        <v>205000</v>
      </c>
      <c r="I18" s="8"/>
    </row>
    <row r="20" spans="2:9" ht="15" thickBot="1" x14ac:dyDescent="0.35"/>
    <row r="21" spans="2:9" ht="16.2" thickBot="1" x14ac:dyDescent="0.35">
      <c r="B21" s="158" t="s">
        <v>324</v>
      </c>
      <c r="C21" s="158"/>
      <c r="D21" s="158"/>
      <c r="E21" s="158"/>
      <c r="F21" s="158"/>
      <c r="G21" s="158"/>
      <c r="H21" s="158"/>
      <c r="I21" s="19"/>
    </row>
    <row r="22" spans="2:9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89</v>
      </c>
      <c r="I22" s="20" t="s">
        <v>200</v>
      </c>
    </row>
    <row r="23" spans="2:9" ht="25.8" x14ac:dyDescent="0.5">
      <c r="B23" s="13">
        <v>41793</v>
      </c>
      <c r="C23" s="8" t="s">
        <v>8</v>
      </c>
      <c r="D23" s="8" t="s">
        <v>326</v>
      </c>
      <c r="E23" s="8">
        <v>7</v>
      </c>
      <c r="F23" s="8">
        <v>11</v>
      </c>
      <c r="G23" s="8">
        <v>2500</v>
      </c>
      <c r="H23" s="8">
        <v>10000</v>
      </c>
      <c r="I23" s="8" t="s">
        <v>198</v>
      </c>
    </row>
    <row r="24" spans="2:9" ht="25.8" x14ac:dyDescent="0.5">
      <c r="B24" s="13">
        <v>42159</v>
      </c>
      <c r="C24" s="8" t="s">
        <v>20</v>
      </c>
      <c r="D24" s="8" t="s">
        <v>325</v>
      </c>
      <c r="E24" s="8">
        <v>50</v>
      </c>
      <c r="F24" s="8">
        <v>75</v>
      </c>
      <c r="G24" s="8">
        <v>500</v>
      </c>
      <c r="H24" s="8">
        <v>12500</v>
      </c>
      <c r="I24" s="8" t="s">
        <v>198</v>
      </c>
    </row>
    <row r="25" spans="2:9" ht="28.8" x14ac:dyDescent="0.55000000000000004">
      <c r="B25" s="7">
        <v>42166</v>
      </c>
      <c r="C25" s="8" t="s">
        <v>8</v>
      </c>
      <c r="D25" s="8" t="s">
        <v>329</v>
      </c>
      <c r="E25" s="8">
        <v>120</v>
      </c>
      <c r="F25" s="8">
        <v>200</v>
      </c>
      <c r="G25" s="8">
        <v>150</v>
      </c>
      <c r="H25" s="23">
        <v>12000</v>
      </c>
      <c r="I25" s="8" t="s">
        <v>195</v>
      </c>
    </row>
    <row r="26" spans="2:9" ht="28.8" x14ac:dyDescent="0.55000000000000004">
      <c r="B26" s="7">
        <v>42174</v>
      </c>
      <c r="C26" s="8" t="s">
        <v>8</v>
      </c>
      <c r="D26" s="8" t="s">
        <v>328</v>
      </c>
      <c r="E26" s="8">
        <v>14</v>
      </c>
      <c r="F26" s="8">
        <v>28</v>
      </c>
      <c r="G26" s="8">
        <v>1000</v>
      </c>
      <c r="H26" s="23">
        <v>14000</v>
      </c>
      <c r="I26" s="8" t="s">
        <v>195</v>
      </c>
    </row>
    <row r="27" spans="2:9" ht="28.8" x14ac:dyDescent="0.55000000000000004">
      <c r="B27" s="7">
        <v>42181</v>
      </c>
      <c r="C27" s="8" t="s">
        <v>8</v>
      </c>
      <c r="D27" s="8" t="s">
        <v>333</v>
      </c>
      <c r="E27" s="8">
        <v>7</v>
      </c>
      <c r="F27" s="8">
        <v>11</v>
      </c>
      <c r="G27" s="8">
        <v>3000</v>
      </c>
      <c r="H27" s="23">
        <v>12000</v>
      </c>
      <c r="I27" s="17" t="s">
        <v>198</v>
      </c>
    </row>
    <row r="28" spans="2:9" ht="25.8" x14ac:dyDescent="0.5">
      <c r="B28" s="13"/>
      <c r="C28" s="8"/>
      <c r="D28" s="8"/>
      <c r="E28" s="8"/>
      <c r="F28" s="8"/>
      <c r="G28" s="8"/>
      <c r="H28" s="9">
        <v>60500</v>
      </c>
      <c r="I28" s="8"/>
    </row>
    <row r="29" spans="2:9" ht="25.8" x14ac:dyDescent="0.5">
      <c r="B29" s="13"/>
      <c r="C29" s="8"/>
      <c r="D29" s="8"/>
      <c r="E29" s="8"/>
      <c r="F29" s="8"/>
      <c r="G29" s="8"/>
      <c r="H29" s="9"/>
      <c r="I29" s="8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H32" s="9"/>
      <c r="I32" s="9"/>
    </row>
  </sheetData>
  <mergeCells count="5">
    <mergeCell ref="B1:H1"/>
    <mergeCell ref="B2:H2"/>
    <mergeCell ref="B3:H3"/>
    <mergeCell ref="B12:H12"/>
    <mergeCell ref="B21:H21"/>
  </mergeCells>
  <hyperlinks>
    <hyperlink ref="K2" location="'Home Page'!A1" display="Back" xr:uid="{00000000-0004-0000-1B00-000000000000}"/>
  </hyperlinks>
  <pageMargins left="0.7" right="0.7" top="0.75" bottom="0.75" header="0.3" footer="0.3"/>
  <pageSetup orientation="portrait" r:id="rId1"/>
  <ignoredErrors>
    <ignoredError sqref="H7 H9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K32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0.44140625" bestFit="1" customWidth="1"/>
    <col min="5" max="7" width="9.5546875" bestFit="1" customWidth="1"/>
    <col min="8" max="8" width="14.88671875" bestFit="1" customWidth="1"/>
    <col min="9" max="9" width="25.4414062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337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13">
        <v>42192</v>
      </c>
      <c r="C5" s="8" t="s">
        <v>13</v>
      </c>
      <c r="D5" s="8" t="s">
        <v>92</v>
      </c>
      <c r="E5" s="8">
        <v>860</v>
      </c>
      <c r="F5" s="8">
        <v>830</v>
      </c>
      <c r="G5" s="8">
        <v>500</v>
      </c>
      <c r="H5" s="8">
        <v>15000</v>
      </c>
      <c r="I5" s="8" t="s">
        <v>195</v>
      </c>
    </row>
    <row r="6" spans="1:11" ht="25.8" x14ac:dyDescent="0.5">
      <c r="B6" s="13">
        <v>42195</v>
      </c>
      <c r="C6" s="8" t="s">
        <v>13</v>
      </c>
      <c r="D6" s="8" t="s">
        <v>11</v>
      </c>
      <c r="E6" s="8">
        <v>269</v>
      </c>
      <c r="F6" s="8">
        <v>270</v>
      </c>
      <c r="G6" s="8">
        <v>2000</v>
      </c>
      <c r="H6" s="8">
        <v>-2000</v>
      </c>
      <c r="I6" s="8" t="s">
        <v>5</v>
      </c>
    </row>
    <row r="7" spans="1:11" ht="25.8" x14ac:dyDescent="0.5">
      <c r="B7" s="7">
        <v>42200</v>
      </c>
      <c r="C7" s="8" t="s">
        <v>13</v>
      </c>
      <c r="D7" s="8" t="s">
        <v>339</v>
      </c>
      <c r="E7" s="8">
        <v>1130</v>
      </c>
      <c r="F7" s="8">
        <v>1090</v>
      </c>
      <c r="G7" s="8">
        <v>500</v>
      </c>
      <c r="H7" s="17" t="s">
        <v>211</v>
      </c>
      <c r="I7" s="17" t="s">
        <v>195</v>
      </c>
    </row>
    <row r="8" spans="1:11" ht="25.8" x14ac:dyDescent="0.5">
      <c r="B8" s="7">
        <v>42208</v>
      </c>
      <c r="C8" s="8" t="s">
        <v>13</v>
      </c>
      <c r="D8" s="8" t="s">
        <v>332</v>
      </c>
      <c r="E8" s="8">
        <v>1840</v>
      </c>
      <c r="F8" s="8">
        <v>1780</v>
      </c>
      <c r="G8" s="8">
        <v>250</v>
      </c>
      <c r="H8" s="8">
        <v>15000</v>
      </c>
      <c r="I8" s="17" t="s">
        <v>195</v>
      </c>
    </row>
    <row r="9" spans="1:11" ht="25.8" x14ac:dyDescent="0.5">
      <c r="B9" s="7"/>
      <c r="C9" s="8"/>
      <c r="D9" s="8"/>
      <c r="E9" s="8"/>
      <c r="F9" s="8"/>
      <c r="G9" s="8"/>
      <c r="H9" s="16" t="s">
        <v>345</v>
      </c>
      <c r="I9" s="17"/>
    </row>
    <row r="11" spans="1:11" ht="15" thickBot="1" x14ac:dyDescent="0.35"/>
    <row r="12" spans="1:11" ht="16.2" thickBot="1" x14ac:dyDescent="0.35">
      <c r="B12" s="158" t="s">
        <v>336</v>
      </c>
      <c r="C12" s="158"/>
      <c r="D12" s="158"/>
      <c r="E12" s="158"/>
      <c r="F12" s="158"/>
      <c r="G12" s="158"/>
      <c r="H12" s="158"/>
      <c r="I12" s="19"/>
    </row>
    <row r="13" spans="1:11" x14ac:dyDescent="0.3">
      <c r="B13" s="1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3" t="s">
        <v>44</v>
      </c>
      <c r="H13" s="3" t="s">
        <v>245</v>
      </c>
      <c r="I13" s="20" t="s">
        <v>200</v>
      </c>
    </row>
    <row r="14" spans="1:11" ht="25.8" x14ac:dyDescent="0.5">
      <c r="B14" s="13">
        <v>42192</v>
      </c>
      <c r="C14" s="8" t="s">
        <v>13</v>
      </c>
      <c r="D14" s="8" t="s">
        <v>30</v>
      </c>
      <c r="E14" s="8">
        <v>8500</v>
      </c>
      <c r="F14" s="8">
        <v>8350</v>
      </c>
      <c r="G14" s="8">
        <v>150</v>
      </c>
      <c r="H14" s="8">
        <v>75000</v>
      </c>
      <c r="I14" s="8" t="s">
        <v>195</v>
      </c>
    </row>
    <row r="15" spans="1:11" ht="25.8" x14ac:dyDescent="0.5">
      <c r="B15" s="13">
        <v>42195</v>
      </c>
      <c r="C15" s="8" t="s">
        <v>13</v>
      </c>
      <c r="D15" s="8" t="s">
        <v>30</v>
      </c>
      <c r="E15" s="8">
        <v>8350</v>
      </c>
      <c r="F15" s="8">
        <v>8400</v>
      </c>
      <c r="G15" s="8">
        <v>50</v>
      </c>
      <c r="H15" s="8">
        <v>-25000</v>
      </c>
      <c r="I15" s="8" t="s">
        <v>5</v>
      </c>
    </row>
    <row r="16" spans="1:11" ht="25.8" x14ac:dyDescent="0.5">
      <c r="B16" s="13">
        <v>42199</v>
      </c>
      <c r="C16" s="8" t="s">
        <v>20</v>
      </c>
      <c r="D16" s="8" t="s">
        <v>30</v>
      </c>
      <c r="E16" s="8">
        <v>8490</v>
      </c>
      <c r="F16" s="8">
        <v>8590</v>
      </c>
      <c r="G16" s="8">
        <v>100</v>
      </c>
      <c r="H16" s="8">
        <v>50000</v>
      </c>
      <c r="I16" s="8" t="s">
        <v>341</v>
      </c>
    </row>
    <row r="17" spans="2:9" ht="25.8" x14ac:dyDescent="0.5">
      <c r="B17" s="7">
        <v>42209</v>
      </c>
      <c r="C17" s="8" t="s">
        <v>13</v>
      </c>
      <c r="D17" s="8" t="s">
        <v>30</v>
      </c>
      <c r="E17" s="8">
        <v>8540</v>
      </c>
      <c r="F17" s="8">
        <v>8400</v>
      </c>
      <c r="G17" s="8">
        <v>140</v>
      </c>
      <c r="H17" s="8">
        <v>70000</v>
      </c>
      <c r="I17" s="8" t="s">
        <v>195</v>
      </c>
    </row>
    <row r="18" spans="2:9" ht="25.8" x14ac:dyDescent="0.5">
      <c r="B18" s="7"/>
      <c r="C18" s="8"/>
      <c r="D18" s="8"/>
      <c r="E18" s="8"/>
      <c r="F18" s="8"/>
      <c r="G18" s="8"/>
      <c r="H18" s="9">
        <v>170000</v>
      </c>
      <c r="I18" s="8"/>
    </row>
    <row r="20" spans="2:9" ht="15" thickBot="1" x14ac:dyDescent="0.35"/>
    <row r="21" spans="2:9" ht="16.2" thickBot="1" x14ac:dyDescent="0.35">
      <c r="B21" s="158" t="s">
        <v>335</v>
      </c>
      <c r="C21" s="158"/>
      <c r="D21" s="158"/>
      <c r="E21" s="158"/>
      <c r="F21" s="158"/>
      <c r="G21" s="158"/>
      <c r="H21" s="158"/>
      <c r="I21" s="19"/>
    </row>
    <row r="22" spans="2:9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89</v>
      </c>
      <c r="I22" s="20" t="s">
        <v>200</v>
      </c>
    </row>
    <row r="23" spans="2:9" ht="25.8" x14ac:dyDescent="0.5">
      <c r="B23" s="13">
        <v>42192</v>
      </c>
      <c r="C23" s="8" t="s">
        <v>20</v>
      </c>
      <c r="D23" s="8" t="s">
        <v>338</v>
      </c>
      <c r="E23" s="8">
        <v>3</v>
      </c>
      <c r="F23" s="8">
        <v>6.5</v>
      </c>
      <c r="G23" s="8">
        <v>6000</v>
      </c>
      <c r="H23" s="8">
        <v>21000</v>
      </c>
      <c r="I23" s="8" t="s">
        <v>199</v>
      </c>
    </row>
    <row r="24" spans="2:9" ht="25.8" x14ac:dyDescent="0.5">
      <c r="B24" s="13">
        <v>42201</v>
      </c>
      <c r="C24" s="8" t="s">
        <v>8</v>
      </c>
      <c r="D24" s="8" t="s">
        <v>340</v>
      </c>
      <c r="E24" s="8">
        <v>24</v>
      </c>
      <c r="F24" s="8">
        <v>35</v>
      </c>
      <c r="G24" s="8">
        <v>1000</v>
      </c>
      <c r="H24" s="8">
        <v>11000</v>
      </c>
      <c r="I24" s="8" t="s">
        <v>198</v>
      </c>
    </row>
    <row r="25" spans="2:9" ht="28.8" x14ac:dyDescent="0.55000000000000004">
      <c r="B25" s="7">
        <v>42207</v>
      </c>
      <c r="C25" s="8" t="s">
        <v>8</v>
      </c>
      <c r="D25" s="8" t="s">
        <v>342</v>
      </c>
      <c r="E25" s="8">
        <v>5</v>
      </c>
      <c r="F25" s="8">
        <v>2</v>
      </c>
      <c r="G25" s="8">
        <v>3000</v>
      </c>
      <c r="H25" s="23">
        <v>-9000</v>
      </c>
      <c r="I25" s="8" t="s">
        <v>343</v>
      </c>
    </row>
    <row r="26" spans="2:9" ht="28.8" x14ac:dyDescent="0.55000000000000004">
      <c r="B26" s="7">
        <v>42209</v>
      </c>
      <c r="C26" s="8" t="s">
        <v>8</v>
      </c>
      <c r="D26" s="8" t="s">
        <v>344</v>
      </c>
      <c r="E26" s="8">
        <v>160</v>
      </c>
      <c r="F26" s="8">
        <v>280</v>
      </c>
      <c r="G26" s="8">
        <v>100</v>
      </c>
      <c r="H26" s="23">
        <v>12000</v>
      </c>
      <c r="I26" s="8" t="s">
        <v>195</v>
      </c>
    </row>
    <row r="27" spans="2:9" ht="28.8" x14ac:dyDescent="0.55000000000000004">
      <c r="B27" s="7">
        <v>42212</v>
      </c>
      <c r="C27" s="8" t="s">
        <v>8</v>
      </c>
      <c r="D27" s="8" t="s">
        <v>346</v>
      </c>
      <c r="E27" s="8">
        <v>180</v>
      </c>
      <c r="F27" s="8">
        <v>250</v>
      </c>
      <c r="G27" s="8">
        <v>100</v>
      </c>
      <c r="H27" s="23">
        <v>7000</v>
      </c>
      <c r="I27" s="17" t="s">
        <v>199</v>
      </c>
    </row>
    <row r="28" spans="2:9" ht="25.8" x14ac:dyDescent="0.5">
      <c r="B28" s="13"/>
      <c r="C28" s="8"/>
      <c r="D28" s="8"/>
      <c r="E28" s="8"/>
      <c r="F28" s="8"/>
      <c r="G28" s="8"/>
      <c r="H28" s="9">
        <v>42000</v>
      </c>
      <c r="I28" s="8"/>
    </row>
    <row r="29" spans="2:9" ht="25.8" x14ac:dyDescent="0.5">
      <c r="B29" s="13"/>
      <c r="C29" s="8"/>
      <c r="D29" s="8"/>
      <c r="E29" s="8"/>
      <c r="F29" s="8"/>
      <c r="G29" s="8"/>
      <c r="H29" s="9"/>
      <c r="I29" s="8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H32" s="9"/>
      <c r="I32" s="9"/>
    </row>
  </sheetData>
  <mergeCells count="5">
    <mergeCell ref="B1:H1"/>
    <mergeCell ref="B2:H2"/>
    <mergeCell ref="B3:H3"/>
    <mergeCell ref="B12:H12"/>
    <mergeCell ref="B21:H21"/>
  </mergeCells>
  <hyperlinks>
    <hyperlink ref="K2" location="'Home Page'!A1" display="Back" xr:uid="{00000000-0004-0000-1C00-000000000000}"/>
  </hyperlinks>
  <pageMargins left="0.7" right="0.7" top="0.75" bottom="0.75" header="0.3" footer="0.3"/>
  <pageSetup orientation="portrait" r:id="rId1"/>
  <ignoredErrors>
    <ignoredError sqref="H7 H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7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6.3320312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18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41397</v>
      </c>
      <c r="C5" s="8" t="s">
        <v>20</v>
      </c>
      <c r="D5" s="8" t="s">
        <v>26</v>
      </c>
      <c r="E5" s="8">
        <v>145</v>
      </c>
      <c r="F5" s="8">
        <v>148</v>
      </c>
      <c r="G5" s="8">
        <v>8000</v>
      </c>
      <c r="H5" s="8">
        <v>24000</v>
      </c>
    </row>
    <row r="6" spans="1:10" ht="25.8" x14ac:dyDescent="0.5">
      <c r="B6" s="7">
        <v>41401</v>
      </c>
      <c r="C6" s="8" t="s">
        <v>13</v>
      </c>
      <c r="D6" s="8" t="s">
        <v>16</v>
      </c>
      <c r="E6" s="8">
        <v>434</v>
      </c>
      <c r="F6" s="8">
        <v>426</v>
      </c>
      <c r="G6" s="8">
        <v>2000</v>
      </c>
      <c r="H6" s="8">
        <v>16000</v>
      </c>
    </row>
    <row r="7" spans="1:10" ht="25.8" x14ac:dyDescent="0.5">
      <c r="B7" s="7">
        <v>41407</v>
      </c>
      <c r="C7" s="8" t="s">
        <v>8</v>
      </c>
      <c r="D7" s="8" t="s">
        <v>14</v>
      </c>
      <c r="E7" s="8">
        <v>233</v>
      </c>
      <c r="F7" s="8">
        <v>239</v>
      </c>
      <c r="G7" s="8">
        <v>2000</v>
      </c>
      <c r="H7" s="8">
        <v>12000</v>
      </c>
    </row>
    <row r="8" spans="1:10" ht="25.8" x14ac:dyDescent="0.5">
      <c r="B8" s="7">
        <v>41411</v>
      </c>
      <c r="C8" s="8" t="s">
        <v>13</v>
      </c>
      <c r="D8" s="8" t="s">
        <v>9</v>
      </c>
      <c r="E8" s="8">
        <v>425</v>
      </c>
      <c r="F8" s="8">
        <v>418</v>
      </c>
      <c r="G8" s="8">
        <v>2000</v>
      </c>
      <c r="H8" s="8">
        <v>14000</v>
      </c>
    </row>
    <row r="9" spans="1:10" ht="25.8" x14ac:dyDescent="0.5">
      <c r="B9" s="7">
        <v>41415</v>
      </c>
      <c r="C9" s="8" t="s">
        <v>13</v>
      </c>
      <c r="D9" s="8" t="s">
        <v>27</v>
      </c>
      <c r="E9" s="8">
        <v>304</v>
      </c>
      <c r="F9" s="8">
        <v>309</v>
      </c>
      <c r="G9" s="8">
        <v>2000</v>
      </c>
      <c r="H9" s="8">
        <v>-10000</v>
      </c>
    </row>
    <row r="10" spans="1:10" ht="25.8" x14ac:dyDescent="0.5">
      <c r="B10" s="7">
        <v>41418</v>
      </c>
      <c r="C10" s="8" t="s">
        <v>8</v>
      </c>
      <c r="D10" s="8" t="s">
        <v>28</v>
      </c>
      <c r="E10" s="8">
        <v>1180</v>
      </c>
      <c r="F10" s="8">
        <v>1200</v>
      </c>
      <c r="G10" s="8">
        <v>500</v>
      </c>
      <c r="H10" s="8">
        <v>10000</v>
      </c>
    </row>
    <row r="11" spans="1:10" ht="25.8" x14ac:dyDescent="0.5">
      <c r="B11" s="7">
        <v>41421</v>
      </c>
      <c r="C11" s="8" t="s">
        <v>13</v>
      </c>
      <c r="D11" s="8" t="s">
        <v>23</v>
      </c>
      <c r="E11" s="8">
        <v>334</v>
      </c>
      <c r="F11" s="8">
        <v>338</v>
      </c>
      <c r="G11" s="8">
        <v>2000</v>
      </c>
      <c r="H11" s="8">
        <v>-8000</v>
      </c>
    </row>
    <row r="12" spans="1:10" ht="25.8" x14ac:dyDescent="0.5">
      <c r="B12" s="7">
        <v>41424</v>
      </c>
      <c r="C12" s="8" t="s">
        <v>8</v>
      </c>
      <c r="D12" s="8" t="s">
        <v>23</v>
      </c>
      <c r="E12" s="8">
        <v>342</v>
      </c>
      <c r="F12" s="8">
        <v>346</v>
      </c>
      <c r="G12" s="8">
        <v>2000</v>
      </c>
      <c r="H12" s="8">
        <v>8000</v>
      </c>
    </row>
    <row r="13" spans="1:10" ht="25.8" x14ac:dyDescent="0.5">
      <c r="B13" s="10"/>
      <c r="C13" s="10"/>
      <c r="D13" s="10"/>
      <c r="E13" s="10"/>
      <c r="F13" s="10"/>
      <c r="G13" s="10"/>
      <c r="H13" s="9">
        <v>66000</v>
      </c>
    </row>
    <row r="15" spans="1:10" ht="15" thickBot="1" x14ac:dyDescent="0.35"/>
    <row r="16" spans="1:10" ht="16.2" thickBot="1" x14ac:dyDescent="0.35">
      <c r="B16" s="158" t="s">
        <v>40</v>
      </c>
      <c r="C16" s="158"/>
      <c r="D16" s="158"/>
      <c r="E16" s="158"/>
      <c r="F16" s="158"/>
      <c r="G16" s="158"/>
      <c r="H16" s="158"/>
    </row>
    <row r="17" spans="2:8" x14ac:dyDescent="0.3">
      <c r="B17" s="1" t="s">
        <v>1</v>
      </c>
      <c r="C17" s="2" t="s">
        <v>2</v>
      </c>
      <c r="D17" s="2" t="s">
        <v>3</v>
      </c>
      <c r="E17" s="3" t="s">
        <v>4</v>
      </c>
      <c r="F17" s="3" t="s">
        <v>5</v>
      </c>
      <c r="G17" s="3" t="s">
        <v>44</v>
      </c>
      <c r="H17" s="3" t="s">
        <v>31</v>
      </c>
    </row>
    <row r="18" spans="2:8" ht="25.8" x14ac:dyDescent="0.5">
      <c r="B18" s="7">
        <v>41397</v>
      </c>
      <c r="C18" s="8" t="s">
        <v>20</v>
      </c>
      <c r="D18" s="8" t="s">
        <v>30</v>
      </c>
      <c r="E18" s="8">
        <v>5950</v>
      </c>
      <c r="F18" s="8">
        <v>6010</v>
      </c>
      <c r="G18" s="8">
        <v>60</v>
      </c>
      <c r="H18" s="8">
        <v>30000</v>
      </c>
    </row>
    <row r="19" spans="2:8" ht="25.8" x14ac:dyDescent="0.5">
      <c r="B19" s="7">
        <v>41402</v>
      </c>
      <c r="C19" s="8" t="s">
        <v>8</v>
      </c>
      <c r="D19" s="8" t="s">
        <v>30</v>
      </c>
      <c r="E19" s="8">
        <v>6075</v>
      </c>
      <c r="F19" s="8">
        <v>6025</v>
      </c>
      <c r="G19" s="8">
        <v>50</v>
      </c>
      <c r="H19" s="8">
        <v>-25000</v>
      </c>
    </row>
    <row r="20" spans="2:8" ht="25.8" x14ac:dyDescent="0.5">
      <c r="B20" s="7">
        <v>41404</v>
      </c>
      <c r="C20" s="8" t="s">
        <v>13</v>
      </c>
      <c r="D20" s="8" t="s">
        <v>30</v>
      </c>
      <c r="E20" s="8">
        <v>6110</v>
      </c>
      <c r="F20" s="8">
        <v>6050</v>
      </c>
      <c r="G20" s="8">
        <v>60</v>
      </c>
      <c r="H20" s="8">
        <v>30000</v>
      </c>
    </row>
    <row r="21" spans="2:8" ht="25.8" x14ac:dyDescent="0.5">
      <c r="B21" s="7">
        <v>41410</v>
      </c>
      <c r="C21" s="8" t="s">
        <v>8</v>
      </c>
      <c r="D21" s="8" t="s">
        <v>30</v>
      </c>
      <c r="E21" s="8">
        <v>6175</v>
      </c>
      <c r="F21" s="8">
        <v>6215</v>
      </c>
      <c r="G21" s="8">
        <v>40</v>
      </c>
      <c r="H21" s="8">
        <v>20000</v>
      </c>
    </row>
    <row r="22" spans="2:8" ht="25.8" x14ac:dyDescent="0.5">
      <c r="B22" s="7">
        <v>41414</v>
      </c>
      <c r="C22" s="8" t="s">
        <v>13</v>
      </c>
      <c r="D22" s="8" t="s">
        <v>30</v>
      </c>
      <c r="E22" s="8">
        <v>6165</v>
      </c>
      <c r="F22" s="8">
        <v>6115</v>
      </c>
      <c r="G22" s="8">
        <v>50</v>
      </c>
      <c r="H22" s="8">
        <v>25000</v>
      </c>
    </row>
    <row r="23" spans="2:8" ht="25.8" x14ac:dyDescent="0.5">
      <c r="B23" s="7">
        <v>41419</v>
      </c>
      <c r="C23" s="8" t="s">
        <v>8</v>
      </c>
      <c r="D23" s="8" t="s">
        <v>30</v>
      </c>
      <c r="E23" s="8">
        <v>5990</v>
      </c>
      <c r="F23" s="8">
        <v>6040</v>
      </c>
      <c r="G23" s="8">
        <v>50</v>
      </c>
      <c r="H23" s="8">
        <v>25000</v>
      </c>
    </row>
    <row r="24" spans="2:8" ht="25.8" x14ac:dyDescent="0.5">
      <c r="B24" s="8"/>
      <c r="C24" s="8"/>
      <c r="D24" s="8"/>
      <c r="E24" s="8"/>
      <c r="F24" s="8"/>
      <c r="G24" s="8"/>
      <c r="H24" s="9">
        <v>105000</v>
      </c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ht="15" thickBot="1" x14ac:dyDescent="0.35">
      <c r="B26" s="12"/>
      <c r="C26" s="12"/>
      <c r="D26" s="12"/>
      <c r="E26" s="12"/>
      <c r="F26" s="12"/>
      <c r="G26" s="12"/>
      <c r="H26" s="12"/>
    </row>
    <row r="27" spans="2:8" ht="16.2" thickBot="1" x14ac:dyDescent="0.35">
      <c r="B27" s="158" t="s">
        <v>41</v>
      </c>
      <c r="C27" s="158"/>
      <c r="D27" s="158"/>
      <c r="E27" s="158"/>
      <c r="F27" s="158"/>
      <c r="G27" s="158"/>
      <c r="H27" s="158"/>
    </row>
    <row r="28" spans="2:8" x14ac:dyDescent="0.3">
      <c r="B28" s="1" t="s">
        <v>1</v>
      </c>
      <c r="C28" s="2" t="s">
        <v>2</v>
      </c>
      <c r="D28" s="2" t="s">
        <v>3</v>
      </c>
      <c r="E28" s="3" t="s">
        <v>4</v>
      </c>
      <c r="F28" s="3" t="s">
        <v>5</v>
      </c>
      <c r="G28" s="3" t="s">
        <v>6</v>
      </c>
      <c r="H28" s="3" t="s">
        <v>39</v>
      </c>
    </row>
    <row r="29" spans="2:8" ht="25.8" x14ac:dyDescent="0.5">
      <c r="B29" s="7">
        <v>41396</v>
      </c>
      <c r="C29" s="8" t="s">
        <v>20</v>
      </c>
      <c r="D29" s="8" t="s">
        <v>34</v>
      </c>
      <c r="E29" s="8">
        <v>130</v>
      </c>
      <c r="F29" s="8">
        <v>170</v>
      </c>
      <c r="G29" s="8">
        <v>50</v>
      </c>
      <c r="H29" s="8">
        <v>2000</v>
      </c>
    </row>
    <row r="30" spans="2:8" ht="25.8" x14ac:dyDescent="0.5">
      <c r="B30" s="7">
        <v>41401</v>
      </c>
      <c r="C30" s="8" t="s">
        <v>8</v>
      </c>
      <c r="D30" s="8" t="s">
        <v>51</v>
      </c>
      <c r="E30" s="8">
        <v>28.5</v>
      </c>
      <c r="F30" s="8">
        <v>16</v>
      </c>
      <c r="G30" s="8">
        <v>250</v>
      </c>
      <c r="H30" s="8">
        <v>-3125</v>
      </c>
    </row>
    <row r="31" spans="2:8" ht="25.8" x14ac:dyDescent="0.5">
      <c r="B31" s="7">
        <v>41403</v>
      </c>
      <c r="C31" s="8" t="s">
        <v>8</v>
      </c>
      <c r="D31" s="8" t="s">
        <v>52</v>
      </c>
      <c r="E31" s="8">
        <v>16</v>
      </c>
      <c r="F31" s="8">
        <v>24</v>
      </c>
      <c r="G31" s="8">
        <v>500</v>
      </c>
      <c r="H31" s="8">
        <v>4000</v>
      </c>
    </row>
    <row r="32" spans="2:8" ht="25.8" x14ac:dyDescent="0.5">
      <c r="B32" s="7">
        <v>41409</v>
      </c>
      <c r="C32" s="8" t="s">
        <v>8</v>
      </c>
      <c r="D32" s="8" t="s">
        <v>53</v>
      </c>
      <c r="E32" s="8">
        <v>74</v>
      </c>
      <c r="F32" s="8">
        <v>92</v>
      </c>
      <c r="G32" s="8">
        <v>50</v>
      </c>
      <c r="H32" s="8">
        <v>900</v>
      </c>
    </row>
    <row r="33" spans="2:8" ht="25.8" x14ac:dyDescent="0.5">
      <c r="B33" s="7">
        <v>41411</v>
      </c>
      <c r="C33" s="8" t="s">
        <v>8</v>
      </c>
      <c r="D33" s="8" t="s">
        <v>54</v>
      </c>
      <c r="E33" s="8">
        <v>65</v>
      </c>
      <c r="F33" s="8">
        <v>95</v>
      </c>
      <c r="G33" s="8">
        <v>250</v>
      </c>
      <c r="H33" s="8">
        <v>7500</v>
      </c>
    </row>
    <row r="34" spans="2:8" ht="25.8" x14ac:dyDescent="0.5">
      <c r="B34" s="7">
        <v>41417</v>
      </c>
      <c r="C34" s="8" t="s">
        <v>8</v>
      </c>
      <c r="D34" s="8" t="s">
        <v>55</v>
      </c>
      <c r="E34" s="8">
        <v>160</v>
      </c>
      <c r="F34" s="8">
        <v>210</v>
      </c>
      <c r="G34" s="8">
        <v>50</v>
      </c>
      <c r="H34" s="8">
        <v>2500</v>
      </c>
    </row>
    <row r="35" spans="2:8" ht="25.8" x14ac:dyDescent="0.5">
      <c r="B35" s="7">
        <v>41417</v>
      </c>
      <c r="C35" s="8" t="s">
        <v>8</v>
      </c>
      <c r="D35" s="8" t="s">
        <v>56</v>
      </c>
      <c r="E35" s="8">
        <v>20</v>
      </c>
      <c r="F35" s="8">
        <v>40</v>
      </c>
      <c r="G35" s="8">
        <v>250</v>
      </c>
      <c r="H35" s="8">
        <v>5000</v>
      </c>
    </row>
    <row r="36" spans="2:8" ht="25.8" x14ac:dyDescent="0.5">
      <c r="B36" s="7">
        <v>41424</v>
      </c>
      <c r="C36" s="8" t="s">
        <v>8</v>
      </c>
      <c r="D36" s="8" t="s">
        <v>57</v>
      </c>
      <c r="E36" s="8">
        <v>1.9</v>
      </c>
      <c r="F36" s="8">
        <v>5.9</v>
      </c>
      <c r="G36" s="8">
        <v>500</v>
      </c>
      <c r="H36" s="8">
        <v>2000</v>
      </c>
    </row>
    <row r="37" spans="2:8" ht="25.8" x14ac:dyDescent="0.5">
      <c r="B37" s="8"/>
      <c r="C37" s="8"/>
      <c r="D37" s="8"/>
      <c r="E37" s="8"/>
      <c r="F37" s="8"/>
      <c r="G37" s="8"/>
      <c r="H37" s="9">
        <v>20775</v>
      </c>
    </row>
  </sheetData>
  <mergeCells count="5">
    <mergeCell ref="B1:H1"/>
    <mergeCell ref="B2:H2"/>
    <mergeCell ref="B3:H3"/>
    <mergeCell ref="B16:H16"/>
    <mergeCell ref="B27:H27"/>
  </mergeCells>
  <hyperlinks>
    <hyperlink ref="J2" location="'Home Page'!A1" display="Back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K32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8" bestFit="1" customWidth="1"/>
    <col min="5" max="7" width="9.5546875" bestFit="1" customWidth="1"/>
    <col min="8" max="8" width="14.88671875" bestFit="1" customWidth="1"/>
    <col min="9" max="9" width="25.4414062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350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13">
        <v>42221</v>
      </c>
      <c r="C5" s="8" t="s">
        <v>13</v>
      </c>
      <c r="D5" s="8" t="s">
        <v>92</v>
      </c>
      <c r="E5" s="8">
        <v>840</v>
      </c>
      <c r="F5" s="8">
        <v>820</v>
      </c>
      <c r="G5" s="8">
        <v>500</v>
      </c>
      <c r="H5" s="8">
        <v>10000</v>
      </c>
      <c r="I5" s="8" t="s">
        <v>347</v>
      </c>
    </row>
    <row r="6" spans="1:11" ht="25.8" x14ac:dyDescent="0.5">
      <c r="B6" s="13">
        <v>42227</v>
      </c>
      <c r="C6" s="8" t="s">
        <v>13</v>
      </c>
      <c r="D6" s="8" t="s">
        <v>332</v>
      </c>
      <c r="E6" s="8">
        <v>1815</v>
      </c>
      <c r="F6" s="8">
        <v>1760</v>
      </c>
      <c r="G6" s="8">
        <v>250</v>
      </c>
      <c r="H6" s="8">
        <v>13750</v>
      </c>
      <c r="I6" s="8" t="s">
        <v>199</v>
      </c>
    </row>
    <row r="7" spans="1:11" ht="25.8" x14ac:dyDescent="0.5">
      <c r="B7" s="7">
        <v>42235</v>
      </c>
      <c r="C7" s="8" t="s">
        <v>13</v>
      </c>
      <c r="D7" s="8" t="s">
        <v>11</v>
      </c>
      <c r="E7" s="8">
        <v>280</v>
      </c>
      <c r="F7" s="8">
        <v>265</v>
      </c>
      <c r="G7" s="8">
        <v>2000</v>
      </c>
      <c r="H7" s="17" t="s">
        <v>226</v>
      </c>
      <c r="I7" s="17" t="s">
        <v>195</v>
      </c>
    </row>
    <row r="8" spans="1:11" ht="25.8" x14ac:dyDescent="0.5">
      <c r="B8" s="7">
        <v>42241</v>
      </c>
      <c r="C8" s="8" t="s">
        <v>13</v>
      </c>
      <c r="D8" s="8" t="s">
        <v>11</v>
      </c>
      <c r="E8" s="8">
        <v>250</v>
      </c>
      <c r="F8" s="8">
        <v>240</v>
      </c>
      <c r="G8" s="8">
        <v>2000</v>
      </c>
      <c r="H8" s="8">
        <v>20000</v>
      </c>
      <c r="I8" s="17" t="s">
        <v>199</v>
      </c>
    </row>
    <row r="9" spans="1:11" ht="25.8" x14ac:dyDescent="0.5">
      <c r="B9" s="7"/>
      <c r="C9" s="8"/>
      <c r="D9" s="8"/>
      <c r="E9" s="8"/>
      <c r="F9" s="8"/>
      <c r="G9" s="8"/>
      <c r="H9" s="9">
        <v>73750</v>
      </c>
      <c r="I9" s="17"/>
    </row>
    <row r="11" spans="1:11" ht="15" thickBot="1" x14ac:dyDescent="0.35"/>
    <row r="12" spans="1:11" ht="16.2" thickBot="1" x14ac:dyDescent="0.35">
      <c r="B12" s="158" t="s">
        <v>351</v>
      </c>
      <c r="C12" s="158"/>
      <c r="D12" s="158"/>
      <c r="E12" s="158"/>
      <c r="F12" s="158"/>
      <c r="G12" s="158"/>
      <c r="H12" s="158"/>
      <c r="I12" s="19"/>
    </row>
    <row r="13" spans="1:11" x14ac:dyDescent="0.3">
      <c r="B13" s="1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3" t="s">
        <v>44</v>
      </c>
      <c r="H13" s="3" t="s">
        <v>245</v>
      </c>
      <c r="I13" s="20" t="s">
        <v>200</v>
      </c>
    </row>
    <row r="14" spans="1:11" ht="25.8" x14ac:dyDescent="0.5">
      <c r="B14" s="13">
        <v>42221</v>
      </c>
      <c r="C14" s="8" t="s">
        <v>13</v>
      </c>
      <c r="D14" s="8" t="s">
        <v>30</v>
      </c>
      <c r="E14" s="8">
        <v>8605</v>
      </c>
      <c r="F14" s="8">
        <v>8450</v>
      </c>
      <c r="G14" s="8">
        <v>155</v>
      </c>
      <c r="H14" s="8">
        <v>77500</v>
      </c>
      <c r="I14" s="8" t="s">
        <v>195</v>
      </c>
    </row>
    <row r="15" spans="1:11" ht="25.8" x14ac:dyDescent="0.5">
      <c r="B15" s="13">
        <v>42230</v>
      </c>
      <c r="C15" s="8" t="s">
        <v>13</v>
      </c>
      <c r="D15" s="8" t="s">
        <v>30</v>
      </c>
      <c r="E15" s="8">
        <v>8550</v>
      </c>
      <c r="F15" s="8">
        <v>8440</v>
      </c>
      <c r="G15" s="8">
        <v>90</v>
      </c>
      <c r="H15" s="8">
        <v>45000</v>
      </c>
      <c r="I15" s="8" t="s">
        <v>199</v>
      </c>
    </row>
    <row r="16" spans="1:11" ht="25.8" x14ac:dyDescent="0.5">
      <c r="B16" s="13">
        <v>42235</v>
      </c>
      <c r="C16" s="8" t="s">
        <v>13</v>
      </c>
      <c r="D16" s="8" t="s">
        <v>30</v>
      </c>
      <c r="E16" s="8">
        <v>8520</v>
      </c>
      <c r="F16" s="8">
        <v>8370</v>
      </c>
      <c r="G16" s="8">
        <v>70</v>
      </c>
      <c r="H16" s="8">
        <v>35000</v>
      </c>
      <c r="I16" s="8" t="s">
        <v>195</v>
      </c>
    </row>
    <row r="17" spans="2:9" ht="25.8" x14ac:dyDescent="0.5">
      <c r="B17" s="7">
        <v>42241</v>
      </c>
      <c r="C17" s="8" t="s">
        <v>13</v>
      </c>
      <c r="D17" s="8" t="s">
        <v>30</v>
      </c>
      <c r="E17" s="8">
        <v>7750</v>
      </c>
      <c r="F17" s="8">
        <v>7690</v>
      </c>
      <c r="G17" s="8">
        <v>60</v>
      </c>
      <c r="H17" s="8">
        <v>30000</v>
      </c>
      <c r="I17" s="8" t="s">
        <v>270</v>
      </c>
    </row>
    <row r="18" spans="2:9" ht="25.8" x14ac:dyDescent="0.5">
      <c r="B18" s="7"/>
      <c r="C18" s="8"/>
      <c r="D18" s="8"/>
      <c r="E18" s="8"/>
      <c r="F18" s="8"/>
      <c r="G18" s="8"/>
      <c r="H18" s="9">
        <v>187500</v>
      </c>
      <c r="I18" s="8"/>
    </row>
    <row r="20" spans="2:9" ht="15" thickBot="1" x14ac:dyDescent="0.35"/>
    <row r="21" spans="2:9" ht="16.2" thickBot="1" x14ac:dyDescent="0.35">
      <c r="B21" s="158" t="s">
        <v>352</v>
      </c>
      <c r="C21" s="158"/>
      <c r="D21" s="158"/>
      <c r="E21" s="158"/>
      <c r="F21" s="158"/>
      <c r="G21" s="158"/>
      <c r="H21" s="158"/>
      <c r="I21" s="19"/>
    </row>
    <row r="22" spans="2:9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89</v>
      </c>
      <c r="I22" s="20" t="s">
        <v>200</v>
      </c>
    </row>
    <row r="23" spans="2:9" ht="25.8" x14ac:dyDescent="0.5">
      <c r="B23" s="13">
        <v>42221</v>
      </c>
      <c r="C23" s="8" t="s">
        <v>20</v>
      </c>
      <c r="D23" s="8" t="s">
        <v>283</v>
      </c>
      <c r="E23" s="8">
        <v>25</v>
      </c>
      <c r="F23" s="8">
        <v>32</v>
      </c>
      <c r="G23" s="8">
        <v>750</v>
      </c>
      <c r="H23" s="8">
        <v>5250</v>
      </c>
      <c r="I23" s="8" t="s">
        <v>198</v>
      </c>
    </row>
    <row r="24" spans="2:9" ht="25.8" x14ac:dyDescent="0.5">
      <c r="B24" s="13">
        <v>42227</v>
      </c>
      <c r="C24" s="8" t="s">
        <v>8</v>
      </c>
      <c r="D24" s="8" t="s">
        <v>348</v>
      </c>
      <c r="E24" s="8">
        <v>33</v>
      </c>
      <c r="F24" s="8">
        <v>60</v>
      </c>
      <c r="G24" s="8">
        <v>500</v>
      </c>
      <c r="H24" s="8">
        <v>13500</v>
      </c>
      <c r="I24" s="8" t="s">
        <v>195</v>
      </c>
    </row>
    <row r="25" spans="2:9" ht="28.8" x14ac:dyDescent="0.55000000000000004">
      <c r="B25" s="13">
        <v>42235</v>
      </c>
      <c r="C25" s="8" t="s">
        <v>8</v>
      </c>
      <c r="D25" s="8" t="s">
        <v>349</v>
      </c>
      <c r="E25" s="8">
        <v>7.5</v>
      </c>
      <c r="F25" s="8">
        <v>15</v>
      </c>
      <c r="G25" s="8">
        <v>3000</v>
      </c>
      <c r="H25" s="23">
        <v>22500</v>
      </c>
      <c r="I25" s="8" t="s">
        <v>195</v>
      </c>
    </row>
    <row r="26" spans="2:9" ht="28.8" x14ac:dyDescent="0.55000000000000004">
      <c r="B26" s="7">
        <v>42241</v>
      </c>
      <c r="C26" s="8" t="s">
        <v>8</v>
      </c>
      <c r="D26" s="8" t="s">
        <v>353</v>
      </c>
      <c r="E26" s="8">
        <v>45</v>
      </c>
      <c r="F26" s="8">
        <v>25</v>
      </c>
      <c r="G26" s="8">
        <v>500</v>
      </c>
      <c r="H26" s="23">
        <v>-10000</v>
      </c>
      <c r="I26" s="8" t="s">
        <v>197</v>
      </c>
    </row>
    <row r="27" spans="2:9" ht="25.8" x14ac:dyDescent="0.5">
      <c r="B27" s="7"/>
      <c r="C27" s="8"/>
      <c r="D27" s="8"/>
      <c r="E27" s="8"/>
      <c r="F27" s="8"/>
      <c r="G27" s="8"/>
      <c r="H27" s="9">
        <v>31250</v>
      </c>
      <c r="I27" s="17"/>
    </row>
    <row r="28" spans="2:9" ht="25.8" x14ac:dyDescent="0.5">
      <c r="B28" s="13"/>
      <c r="C28" s="8"/>
      <c r="D28" s="8"/>
      <c r="E28" s="8"/>
      <c r="F28" s="8"/>
      <c r="G28" s="8"/>
      <c r="H28" s="9"/>
      <c r="I28" s="8"/>
    </row>
    <row r="29" spans="2:9" ht="25.8" x14ac:dyDescent="0.5">
      <c r="B29" s="13"/>
      <c r="C29" s="8"/>
      <c r="D29" s="8"/>
      <c r="E29" s="8"/>
      <c r="F29" s="8"/>
      <c r="G29" s="8"/>
      <c r="H29" s="9"/>
      <c r="I29" s="8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H32" s="9"/>
      <c r="I32" s="9"/>
    </row>
  </sheetData>
  <mergeCells count="5">
    <mergeCell ref="B1:H1"/>
    <mergeCell ref="B2:H2"/>
    <mergeCell ref="B3:H3"/>
    <mergeCell ref="B12:H12"/>
    <mergeCell ref="B21:H21"/>
  </mergeCells>
  <hyperlinks>
    <hyperlink ref="K2" location="'Home Page'!A1" display="Back" xr:uid="{00000000-0004-0000-1D00-000000000000}"/>
  </hyperlinks>
  <pageMargins left="0.7" right="0.7" top="0.75" bottom="0.75" header="0.3" footer="0.3"/>
  <ignoredErrors>
    <ignoredError sqref="H7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K32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8" bestFit="1" customWidth="1"/>
    <col min="5" max="7" width="9.5546875" bestFit="1" customWidth="1"/>
    <col min="8" max="8" width="14.88671875" bestFit="1" customWidth="1"/>
    <col min="9" max="9" width="15.554687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357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13">
        <v>42249</v>
      </c>
      <c r="C5" s="8" t="s">
        <v>13</v>
      </c>
      <c r="D5" s="8" t="s">
        <v>25</v>
      </c>
      <c r="E5" s="8">
        <v>325</v>
      </c>
      <c r="F5" s="8">
        <v>310</v>
      </c>
      <c r="G5" s="8">
        <v>1000</v>
      </c>
      <c r="H5" s="8">
        <v>15000</v>
      </c>
      <c r="I5" s="8" t="s">
        <v>195</v>
      </c>
    </row>
    <row r="6" spans="1:11" ht="25.8" x14ac:dyDescent="0.5">
      <c r="B6" s="13">
        <v>42255</v>
      </c>
      <c r="C6" s="8" t="s">
        <v>20</v>
      </c>
      <c r="D6" s="8" t="s">
        <v>77</v>
      </c>
      <c r="E6" s="8">
        <v>2210</v>
      </c>
      <c r="F6" s="8">
        <v>2290</v>
      </c>
      <c r="G6" s="8">
        <v>250</v>
      </c>
      <c r="H6" s="8">
        <v>20000</v>
      </c>
      <c r="I6" s="8" t="s">
        <v>195</v>
      </c>
    </row>
    <row r="7" spans="1:11" ht="25.8" x14ac:dyDescent="0.5">
      <c r="B7" s="7">
        <v>42261</v>
      </c>
      <c r="C7" s="8" t="s">
        <v>8</v>
      </c>
      <c r="D7" s="8" t="s">
        <v>11</v>
      </c>
      <c r="E7" s="8">
        <v>234</v>
      </c>
      <c r="F7" s="8">
        <v>244</v>
      </c>
      <c r="G7" s="8">
        <v>2000</v>
      </c>
      <c r="H7" s="17" t="s">
        <v>211</v>
      </c>
      <c r="I7" s="17" t="s">
        <v>195</v>
      </c>
    </row>
    <row r="8" spans="1:11" ht="25.8" x14ac:dyDescent="0.5">
      <c r="B8" s="7">
        <v>42234</v>
      </c>
      <c r="C8" s="8" t="s">
        <v>13</v>
      </c>
      <c r="D8" s="8" t="s">
        <v>92</v>
      </c>
      <c r="E8" s="8">
        <v>765</v>
      </c>
      <c r="F8" s="8">
        <v>745</v>
      </c>
      <c r="G8" s="8">
        <v>1000</v>
      </c>
      <c r="H8" s="8">
        <v>20000</v>
      </c>
      <c r="I8" s="17" t="s">
        <v>195</v>
      </c>
    </row>
    <row r="9" spans="1:11" ht="25.8" x14ac:dyDescent="0.5">
      <c r="B9" s="7">
        <v>42275</v>
      </c>
      <c r="C9" s="8" t="s">
        <v>13</v>
      </c>
      <c r="D9" s="8" t="s">
        <v>11</v>
      </c>
      <c r="E9" s="8">
        <v>245</v>
      </c>
      <c r="F9" s="8">
        <v>237</v>
      </c>
      <c r="G9" s="8">
        <v>2000</v>
      </c>
      <c r="H9" s="8">
        <v>16000</v>
      </c>
      <c r="I9" s="17" t="s">
        <v>198</v>
      </c>
    </row>
    <row r="10" spans="1:11" ht="25.8" x14ac:dyDescent="0.5">
      <c r="B10" s="7"/>
      <c r="C10" s="8"/>
      <c r="D10" s="8"/>
      <c r="E10" s="8"/>
      <c r="F10" s="8"/>
      <c r="G10" s="8"/>
      <c r="H10" s="9">
        <v>91000</v>
      </c>
      <c r="I10" s="17"/>
    </row>
    <row r="12" spans="1:11" ht="15" thickBot="1" x14ac:dyDescent="0.35"/>
    <row r="13" spans="1:11" ht="16.2" thickBot="1" x14ac:dyDescent="0.35">
      <c r="B13" s="158" t="s">
        <v>358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245</v>
      </c>
      <c r="I14" s="20" t="s">
        <v>200</v>
      </c>
    </row>
    <row r="15" spans="1:11" ht="25.8" x14ac:dyDescent="0.5">
      <c r="B15" s="13">
        <v>42248</v>
      </c>
      <c r="C15" s="8" t="s">
        <v>13</v>
      </c>
      <c r="D15" s="8" t="s">
        <v>30</v>
      </c>
      <c r="E15" s="8">
        <v>7820</v>
      </c>
      <c r="F15" s="8">
        <v>7750</v>
      </c>
      <c r="G15" s="8">
        <v>70</v>
      </c>
      <c r="H15" s="8">
        <v>35000</v>
      </c>
      <c r="I15" s="8" t="s">
        <v>198</v>
      </c>
    </row>
    <row r="16" spans="1:11" ht="25.8" x14ac:dyDescent="0.5">
      <c r="B16" s="13">
        <v>42255</v>
      </c>
      <c r="C16" s="8" t="s">
        <v>13</v>
      </c>
      <c r="D16" s="8" t="s">
        <v>30</v>
      </c>
      <c r="E16" s="8">
        <v>7700</v>
      </c>
      <c r="F16" s="8">
        <v>7670</v>
      </c>
      <c r="G16" s="8">
        <v>30</v>
      </c>
      <c r="H16" s="8">
        <v>15000</v>
      </c>
      <c r="I16" s="8" t="s">
        <v>5</v>
      </c>
    </row>
    <row r="17" spans="2:9" ht="25.8" x14ac:dyDescent="0.5">
      <c r="B17" s="13">
        <v>42258</v>
      </c>
      <c r="C17" s="8" t="s">
        <v>20</v>
      </c>
      <c r="D17" s="8" t="s">
        <v>30</v>
      </c>
      <c r="E17" s="8">
        <v>7830</v>
      </c>
      <c r="F17" s="8">
        <v>7900</v>
      </c>
      <c r="G17" s="8">
        <v>70</v>
      </c>
      <c r="H17" s="8">
        <v>35000</v>
      </c>
      <c r="I17" s="8" t="s">
        <v>198</v>
      </c>
    </row>
    <row r="18" spans="2:9" ht="25.8" x14ac:dyDescent="0.5">
      <c r="B18" s="13">
        <v>42265</v>
      </c>
      <c r="C18" s="8" t="s">
        <v>13</v>
      </c>
      <c r="D18" s="8" t="s">
        <v>30</v>
      </c>
      <c r="E18" s="8">
        <v>8000</v>
      </c>
      <c r="F18" s="8">
        <v>7850</v>
      </c>
      <c r="G18" s="8">
        <v>150</v>
      </c>
      <c r="H18" s="8">
        <v>75000</v>
      </c>
      <c r="I18" s="8" t="s">
        <v>195</v>
      </c>
    </row>
    <row r="19" spans="2:9" ht="25.8" x14ac:dyDescent="0.5">
      <c r="B19" s="7">
        <v>42275</v>
      </c>
      <c r="C19" s="8" t="s">
        <v>13</v>
      </c>
      <c r="D19" s="8" t="s">
        <v>30</v>
      </c>
      <c r="E19" s="8">
        <v>7900</v>
      </c>
      <c r="F19" s="8">
        <v>7730</v>
      </c>
      <c r="G19" s="8">
        <v>170</v>
      </c>
      <c r="H19" s="8">
        <v>85000</v>
      </c>
      <c r="I19" s="8" t="s">
        <v>195</v>
      </c>
    </row>
    <row r="20" spans="2:9" ht="25.8" x14ac:dyDescent="0.5">
      <c r="H20" s="9">
        <v>245000</v>
      </c>
    </row>
    <row r="21" spans="2:9" ht="15" thickBot="1" x14ac:dyDescent="0.35"/>
    <row r="22" spans="2:9" ht="16.2" thickBot="1" x14ac:dyDescent="0.35">
      <c r="B22" s="158" t="s">
        <v>359</v>
      </c>
      <c r="C22" s="158"/>
      <c r="D22" s="158"/>
      <c r="E22" s="158"/>
      <c r="F22" s="158"/>
      <c r="G22" s="158"/>
      <c r="H22" s="158"/>
      <c r="I22" s="19"/>
    </row>
    <row r="23" spans="2:9" x14ac:dyDescent="0.3">
      <c r="B23" s="1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89</v>
      </c>
      <c r="I23" s="20" t="s">
        <v>200</v>
      </c>
    </row>
    <row r="24" spans="2:9" ht="25.8" x14ac:dyDescent="0.5">
      <c r="B24" s="13">
        <v>42250</v>
      </c>
      <c r="C24" s="8" t="s">
        <v>8</v>
      </c>
      <c r="D24" s="8" t="s">
        <v>355</v>
      </c>
      <c r="E24" s="8">
        <v>180</v>
      </c>
      <c r="F24" s="8">
        <v>280</v>
      </c>
      <c r="G24" s="8">
        <v>100</v>
      </c>
      <c r="H24" s="8">
        <v>10000</v>
      </c>
      <c r="I24" s="8" t="s">
        <v>195</v>
      </c>
    </row>
    <row r="25" spans="2:9" ht="25.8" x14ac:dyDescent="0.5">
      <c r="B25" s="13">
        <v>42256</v>
      </c>
      <c r="C25" s="8" t="s">
        <v>20</v>
      </c>
      <c r="D25" s="8" t="s">
        <v>354</v>
      </c>
      <c r="E25" s="8">
        <v>70</v>
      </c>
      <c r="F25" s="8">
        <v>95</v>
      </c>
      <c r="G25" s="8">
        <v>500</v>
      </c>
      <c r="H25" s="8">
        <v>12500</v>
      </c>
      <c r="I25" s="8" t="s">
        <v>198</v>
      </c>
    </row>
    <row r="26" spans="2:9" ht="28.8" x14ac:dyDescent="0.55000000000000004">
      <c r="B26" s="7">
        <v>42261</v>
      </c>
      <c r="C26" s="8" t="s">
        <v>8</v>
      </c>
      <c r="D26" s="8" t="s">
        <v>356</v>
      </c>
      <c r="E26" s="8">
        <v>20</v>
      </c>
      <c r="F26" s="8">
        <v>35</v>
      </c>
      <c r="G26" s="8">
        <v>1000</v>
      </c>
      <c r="H26" s="23">
        <v>15000</v>
      </c>
      <c r="I26" s="8" t="s">
        <v>195</v>
      </c>
    </row>
    <row r="27" spans="2:9" ht="25.8" x14ac:dyDescent="0.5">
      <c r="B27" s="7">
        <v>42265</v>
      </c>
      <c r="C27" s="8" t="s">
        <v>8</v>
      </c>
      <c r="D27" s="8" t="s">
        <v>360</v>
      </c>
      <c r="E27" s="8">
        <v>12</v>
      </c>
      <c r="F27" s="8">
        <v>22</v>
      </c>
      <c r="G27" s="8">
        <v>1500</v>
      </c>
      <c r="H27" s="8">
        <v>15000</v>
      </c>
      <c r="I27" s="17" t="s">
        <v>195</v>
      </c>
    </row>
    <row r="28" spans="2:9" ht="25.8" x14ac:dyDescent="0.5">
      <c r="B28" s="7">
        <v>42275</v>
      </c>
      <c r="C28" s="8" t="s">
        <v>8</v>
      </c>
      <c r="D28" s="8" t="s">
        <v>361</v>
      </c>
      <c r="E28" s="8">
        <v>8</v>
      </c>
      <c r="F28" s="8">
        <v>12</v>
      </c>
      <c r="G28" s="8">
        <v>2000</v>
      </c>
      <c r="H28" s="8">
        <v>8000</v>
      </c>
      <c r="I28" s="8" t="s">
        <v>198</v>
      </c>
    </row>
    <row r="29" spans="2:9" ht="25.8" x14ac:dyDescent="0.5">
      <c r="B29" s="13"/>
      <c r="C29" s="8"/>
      <c r="D29" s="8"/>
      <c r="E29" s="8"/>
      <c r="F29" s="8"/>
      <c r="G29" s="8"/>
      <c r="H29" s="9">
        <v>60500</v>
      </c>
      <c r="I29" s="8"/>
    </row>
    <row r="30" spans="2:9" ht="25.8" x14ac:dyDescent="0.5">
      <c r="B30" s="13"/>
      <c r="C30" s="8"/>
      <c r="D30" s="8"/>
      <c r="E30" s="8"/>
      <c r="F30" s="8"/>
      <c r="G30" s="8"/>
      <c r="H30" s="8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H32" s="9"/>
      <c r="I32" s="9"/>
    </row>
  </sheetData>
  <mergeCells count="5">
    <mergeCell ref="B1:H1"/>
    <mergeCell ref="B2:H2"/>
    <mergeCell ref="B3:H3"/>
    <mergeCell ref="B13:H13"/>
    <mergeCell ref="B22:H22"/>
  </mergeCells>
  <hyperlinks>
    <hyperlink ref="K2" location="'Home Page'!A1" display="Back" xr:uid="{00000000-0004-0000-1E00-000000000000}"/>
  </hyperlinks>
  <pageMargins left="0.7" right="0.7" top="0.75" bottom="0.75" header="0.3" footer="0.3"/>
  <pageSetup paperSize="9" orientation="portrait" horizontalDpi="300" verticalDpi="300" r:id="rId1"/>
  <ignoredErrors>
    <ignoredError sqref="H7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K33"/>
  <sheetViews>
    <sheetView workbookViewId="0">
      <selection activeCell="K2" sqref="K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2.5546875" bestFit="1" customWidth="1"/>
    <col min="5" max="7" width="9.5546875" bestFit="1" customWidth="1"/>
    <col min="8" max="8" width="14.88671875" bestFit="1" customWidth="1"/>
    <col min="9" max="9" width="22.33203125" bestFit="1" customWidth="1"/>
    <col min="10" max="10" width="9.109375" style="5"/>
  </cols>
  <sheetData>
    <row r="1" spans="1:11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  <c r="J1" s="4"/>
    </row>
    <row r="2" spans="1:11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8"/>
      <c r="J2" s="4"/>
      <c r="K2" s="30" t="s">
        <v>566</v>
      </c>
    </row>
    <row r="3" spans="1:11" ht="16.2" thickBot="1" x14ac:dyDescent="0.35">
      <c r="A3" s="6"/>
      <c r="B3" s="158" t="s">
        <v>362</v>
      </c>
      <c r="C3" s="158"/>
      <c r="D3" s="158"/>
      <c r="E3" s="158"/>
      <c r="F3" s="158"/>
      <c r="G3" s="158"/>
      <c r="H3" s="158"/>
      <c r="I3" s="19"/>
      <c r="J3" s="6"/>
    </row>
    <row r="4" spans="1:11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  <c r="I4" s="20" t="s">
        <v>200</v>
      </c>
    </row>
    <row r="5" spans="1:11" ht="25.8" x14ac:dyDescent="0.5">
      <c r="B5" s="13">
        <v>42284</v>
      </c>
      <c r="C5" s="8" t="s">
        <v>20</v>
      </c>
      <c r="D5" s="8" t="s">
        <v>25</v>
      </c>
      <c r="E5" s="8">
        <v>365</v>
      </c>
      <c r="F5" s="8">
        <v>385</v>
      </c>
      <c r="G5" s="8">
        <v>1000</v>
      </c>
      <c r="H5" s="8">
        <v>20000</v>
      </c>
      <c r="I5" s="8" t="s">
        <v>195</v>
      </c>
    </row>
    <row r="6" spans="1:11" ht="25.8" x14ac:dyDescent="0.5">
      <c r="B6" s="13">
        <v>42292</v>
      </c>
      <c r="C6" s="8" t="s">
        <v>13</v>
      </c>
      <c r="D6" s="8" t="s">
        <v>366</v>
      </c>
      <c r="E6" s="8">
        <v>329</v>
      </c>
      <c r="F6" s="8">
        <v>315</v>
      </c>
      <c r="G6" s="8">
        <v>2000</v>
      </c>
      <c r="H6" s="8">
        <v>28000</v>
      </c>
      <c r="I6" s="8" t="s">
        <v>195</v>
      </c>
    </row>
    <row r="7" spans="1:11" ht="25.8" x14ac:dyDescent="0.5">
      <c r="B7" s="7">
        <v>42300</v>
      </c>
      <c r="C7" s="8" t="s">
        <v>13</v>
      </c>
      <c r="D7" s="8" t="s">
        <v>327</v>
      </c>
      <c r="E7" s="8">
        <v>1240</v>
      </c>
      <c r="F7" s="8">
        <v>1200</v>
      </c>
      <c r="G7" s="8">
        <v>700</v>
      </c>
      <c r="H7" s="17" t="s">
        <v>368</v>
      </c>
      <c r="I7" s="17" t="s">
        <v>195</v>
      </c>
    </row>
    <row r="8" spans="1:11" ht="25.8" x14ac:dyDescent="0.5">
      <c r="B8" s="7"/>
      <c r="C8" s="8"/>
      <c r="D8" s="8"/>
      <c r="E8" s="8"/>
      <c r="F8" s="8"/>
      <c r="G8" s="8"/>
      <c r="H8" s="9">
        <v>76000</v>
      </c>
      <c r="I8" s="17"/>
    </row>
    <row r="9" spans="1:11" ht="25.8" x14ac:dyDescent="0.5">
      <c r="B9" s="7"/>
      <c r="C9" s="8"/>
      <c r="D9" s="8"/>
      <c r="E9" s="8"/>
      <c r="F9" s="8"/>
      <c r="G9" s="8"/>
      <c r="H9" s="8"/>
      <c r="I9" s="17"/>
    </row>
    <row r="10" spans="1:11" ht="25.8" x14ac:dyDescent="0.5">
      <c r="B10" s="7"/>
      <c r="C10" s="8"/>
      <c r="D10" s="8"/>
      <c r="E10" s="8"/>
      <c r="F10" s="8"/>
      <c r="G10" s="8"/>
      <c r="H10" s="9"/>
      <c r="I10" s="17"/>
    </row>
    <row r="12" spans="1:11" ht="15" thickBot="1" x14ac:dyDescent="0.35"/>
    <row r="13" spans="1:11" ht="16.2" thickBot="1" x14ac:dyDescent="0.35">
      <c r="B13" s="158" t="s">
        <v>369</v>
      </c>
      <c r="C13" s="158"/>
      <c r="D13" s="158"/>
      <c r="E13" s="158"/>
      <c r="F13" s="158"/>
      <c r="G13" s="158"/>
      <c r="H13" s="158"/>
      <c r="I13" s="19"/>
    </row>
    <row r="14" spans="1:11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245</v>
      </c>
      <c r="I14" s="20" t="s">
        <v>200</v>
      </c>
    </row>
    <row r="15" spans="1:11" ht="25.8" x14ac:dyDescent="0.5">
      <c r="B15" s="13">
        <v>42283</v>
      </c>
      <c r="C15" s="8" t="s">
        <v>13</v>
      </c>
      <c r="D15" s="8" t="s">
        <v>176</v>
      </c>
      <c r="E15" s="8">
        <v>8150</v>
      </c>
      <c r="F15" s="8">
        <v>8230</v>
      </c>
      <c r="G15" s="8">
        <v>-80</v>
      </c>
      <c r="H15" s="8">
        <v>-40000</v>
      </c>
      <c r="I15" s="8" t="s">
        <v>207</v>
      </c>
    </row>
    <row r="16" spans="1:11" ht="25.8" x14ac:dyDescent="0.5">
      <c r="B16" s="13">
        <v>42296</v>
      </c>
      <c r="C16" s="8" t="s">
        <v>13</v>
      </c>
      <c r="D16" s="8" t="s">
        <v>176</v>
      </c>
      <c r="E16" s="8">
        <v>8270</v>
      </c>
      <c r="F16" s="8">
        <v>8130</v>
      </c>
      <c r="G16" s="8">
        <v>140</v>
      </c>
      <c r="H16" s="8">
        <v>70000</v>
      </c>
      <c r="I16" s="8" t="s">
        <v>195</v>
      </c>
    </row>
    <row r="17" spans="2:9" ht="25.8" x14ac:dyDescent="0.5">
      <c r="B17" s="13">
        <v>42304</v>
      </c>
      <c r="C17" s="8" t="s">
        <v>13</v>
      </c>
      <c r="D17" s="8" t="s">
        <v>176</v>
      </c>
      <c r="E17" s="8">
        <v>8230</v>
      </c>
      <c r="F17" s="8">
        <v>8130</v>
      </c>
      <c r="G17" s="8">
        <v>100</v>
      </c>
      <c r="H17" s="8">
        <v>50000</v>
      </c>
      <c r="I17" s="8" t="s">
        <v>195</v>
      </c>
    </row>
    <row r="18" spans="2:9" ht="25.8" x14ac:dyDescent="0.5">
      <c r="B18" s="13"/>
      <c r="C18" s="8"/>
      <c r="D18" s="8"/>
      <c r="E18" s="8"/>
      <c r="F18" s="8"/>
      <c r="G18" s="8"/>
      <c r="H18" s="9">
        <v>80000</v>
      </c>
      <c r="I18" s="8"/>
    </row>
    <row r="19" spans="2:9" ht="25.8" x14ac:dyDescent="0.5">
      <c r="B19" s="7"/>
      <c r="C19" s="8"/>
      <c r="D19" s="8"/>
      <c r="E19" s="8"/>
      <c r="F19" s="8"/>
      <c r="G19" s="8"/>
      <c r="H19" s="8"/>
      <c r="I19" s="8"/>
    </row>
    <row r="20" spans="2:9" ht="25.8" x14ac:dyDescent="0.5">
      <c r="H20" s="9"/>
    </row>
    <row r="21" spans="2:9" ht="15" thickBot="1" x14ac:dyDescent="0.35"/>
    <row r="22" spans="2:9" ht="16.2" thickBot="1" x14ac:dyDescent="0.35">
      <c r="B22" s="158" t="s">
        <v>370</v>
      </c>
      <c r="C22" s="158"/>
      <c r="D22" s="158"/>
      <c r="E22" s="158"/>
      <c r="F22" s="158"/>
      <c r="G22" s="158"/>
      <c r="H22" s="158"/>
      <c r="I22" s="19"/>
    </row>
    <row r="23" spans="2:9" x14ac:dyDescent="0.3">
      <c r="B23" s="1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89</v>
      </c>
      <c r="I23" s="20" t="s">
        <v>200</v>
      </c>
    </row>
    <row r="24" spans="2:9" ht="25.8" x14ac:dyDescent="0.5">
      <c r="B24" s="13">
        <v>42284</v>
      </c>
      <c r="C24" s="8" t="s">
        <v>20</v>
      </c>
      <c r="D24" s="8" t="s">
        <v>363</v>
      </c>
      <c r="E24" s="8">
        <v>15</v>
      </c>
      <c r="F24" s="8">
        <v>20</v>
      </c>
      <c r="G24" s="8">
        <v>1500</v>
      </c>
      <c r="H24" s="8">
        <v>7500</v>
      </c>
      <c r="I24" s="8" t="s">
        <v>198</v>
      </c>
    </row>
    <row r="25" spans="2:9" ht="25.8" x14ac:dyDescent="0.5">
      <c r="B25" s="13">
        <v>42289</v>
      </c>
      <c r="C25" s="8" t="s">
        <v>8</v>
      </c>
      <c r="D25" s="8" t="s">
        <v>367</v>
      </c>
      <c r="E25" s="8">
        <v>70</v>
      </c>
      <c r="F25" s="8">
        <v>40</v>
      </c>
      <c r="G25" s="8">
        <v>250</v>
      </c>
      <c r="H25" s="8">
        <v>-7500</v>
      </c>
      <c r="I25" s="8" t="s">
        <v>197</v>
      </c>
    </row>
    <row r="26" spans="2:9" ht="25.8" x14ac:dyDescent="0.5">
      <c r="B26" s="13">
        <v>42296</v>
      </c>
      <c r="C26" s="8" t="s">
        <v>8</v>
      </c>
      <c r="D26" s="8" t="s">
        <v>364</v>
      </c>
      <c r="E26" s="8">
        <v>45</v>
      </c>
      <c r="F26" s="8">
        <v>65</v>
      </c>
      <c r="G26" s="8">
        <v>500</v>
      </c>
      <c r="H26" s="8">
        <v>12500</v>
      </c>
      <c r="I26" s="8" t="s">
        <v>246</v>
      </c>
    </row>
    <row r="27" spans="2:9" ht="28.8" x14ac:dyDescent="0.55000000000000004">
      <c r="B27" s="13">
        <v>42296</v>
      </c>
      <c r="C27" s="8" t="s">
        <v>8</v>
      </c>
      <c r="D27" s="8" t="s">
        <v>365</v>
      </c>
      <c r="E27" s="8">
        <v>12</v>
      </c>
      <c r="F27" s="8">
        <v>28</v>
      </c>
      <c r="G27" s="8">
        <v>2000</v>
      </c>
      <c r="H27" s="23">
        <v>32000</v>
      </c>
      <c r="I27" s="8" t="s">
        <v>195</v>
      </c>
    </row>
    <row r="28" spans="2:9" ht="25.8" x14ac:dyDescent="0.5">
      <c r="B28" s="7"/>
      <c r="C28" s="8"/>
      <c r="D28" s="8"/>
      <c r="E28" s="8"/>
      <c r="F28" s="8"/>
      <c r="G28" s="8"/>
      <c r="H28" s="9">
        <v>44500</v>
      </c>
      <c r="I28" s="17"/>
    </row>
    <row r="29" spans="2:9" ht="25.8" x14ac:dyDescent="0.5">
      <c r="B29" s="7"/>
      <c r="C29" s="8"/>
      <c r="D29" s="8"/>
      <c r="E29" s="8"/>
      <c r="F29" s="8"/>
      <c r="G29" s="8"/>
      <c r="H29" s="8"/>
      <c r="I29" s="8"/>
    </row>
    <row r="30" spans="2:9" ht="25.8" x14ac:dyDescent="0.5">
      <c r="B30" s="13"/>
      <c r="C30" s="8"/>
      <c r="D30" s="8"/>
      <c r="E30" s="8"/>
      <c r="F30" s="8"/>
      <c r="G30" s="8"/>
      <c r="H30" s="9"/>
      <c r="I30" s="8"/>
    </row>
    <row r="31" spans="2:9" ht="25.8" x14ac:dyDescent="0.5">
      <c r="B31" s="13"/>
      <c r="C31" s="8"/>
      <c r="D31" s="8"/>
      <c r="E31" s="8"/>
      <c r="F31" s="8"/>
      <c r="G31" s="8"/>
      <c r="H31" s="8"/>
      <c r="I31" s="8"/>
    </row>
    <row r="32" spans="2:9" ht="25.8" x14ac:dyDescent="0.5">
      <c r="B32" s="13"/>
      <c r="C32" s="8"/>
      <c r="D32" s="8"/>
      <c r="E32" s="8"/>
      <c r="F32" s="8"/>
      <c r="G32" s="8"/>
      <c r="H32" s="8"/>
      <c r="I32" s="8"/>
    </row>
    <row r="33" spans="8:9" ht="25.8" x14ac:dyDescent="0.5">
      <c r="H33" s="9"/>
      <c r="I33" s="9"/>
    </row>
  </sheetData>
  <mergeCells count="5">
    <mergeCell ref="B1:H1"/>
    <mergeCell ref="B2:H2"/>
    <mergeCell ref="B3:H3"/>
    <mergeCell ref="B13:H13"/>
    <mergeCell ref="B22:H22"/>
  </mergeCells>
  <hyperlinks>
    <hyperlink ref="K2" location="'Home Page'!A1" display="Back" xr:uid="{00000000-0004-0000-1F00-000000000000}"/>
  </hyperlinks>
  <pageMargins left="0.7" right="0.7" top="0.75" bottom="0.75" header="0.3" footer="0.3"/>
  <pageSetup paperSize="9" orientation="portrait" horizontalDpi="300" verticalDpi="300" r:id="rId1"/>
  <ignoredErrors>
    <ignoredError sqref="H7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L31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0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387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42326</v>
      </c>
      <c r="C5" s="8" t="s">
        <v>8</v>
      </c>
      <c r="D5" s="8" t="s">
        <v>380</v>
      </c>
      <c r="E5" s="8">
        <v>1135</v>
      </c>
      <c r="F5" s="8">
        <v>1170</v>
      </c>
      <c r="G5" s="8">
        <v>1200</v>
      </c>
      <c r="H5" s="8">
        <v>35</v>
      </c>
      <c r="I5" s="8">
        <f>G5*H5</f>
        <v>42000</v>
      </c>
      <c r="J5" s="17" t="s">
        <v>195</v>
      </c>
    </row>
    <row r="6" spans="1:12" ht="25.8" x14ac:dyDescent="0.5">
      <c r="B6" s="7">
        <v>42327</v>
      </c>
      <c r="C6" s="8" t="s">
        <v>13</v>
      </c>
      <c r="D6" s="8" t="s">
        <v>386</v>
      </c>
      <c r="E6" s="8">
        <v>137</v>
      </c>
      <c r="F6" s="8">
        <v>134</v>
      </c>
      <c r="G6" s="8">
        <v>6000</v>
      </c>
      <c r="H6" s="8">
        <v>3</v>
      </c>
      <c r="I6" s="8">
        <f>G6*H6</f>
        <v>18000</v>
      </c>
      <c r="J6" s="17" t="s">
        <v>383</v>
      </c>
    </row>
    <row r="8" spans="1:12" ht="25.8" x14ac:dyDescent="0.5">
      <c r="B8" s="7"/>
      <c r="C8" s="8"/>
      <c r="D8" s="8"/>
      <c r="E8" s="8"/>
      <c r="F8" s="8"/>
      <c r="G8" s="8"/>
      <c r="H8" s="8"/>
      <c r="I8" s="9">
        <v>60000</v>
      </c>
      <c r="J8" s="17"/>
    </row>
    <row r="9" spans="1:12" ht="25.8" x14ac:dyDescent="0.5">
      <c r="B9" s="7"/>
      <c r="C9" s="8"/>
      <c r="D9" s="8"/>
      <c r="E9" s="8"/>
      <c r="F9" s="8"/>
      <c r="G9" s="8"/>
      <c r="H9" s="8"/>
      <c r="J9" s="17"/>
    </row>
    <row r="11" spans="1:12" ht="15" thickBot="1" x14ac:dyDescent="0.35"/>
    <row r="12" spans="1:12" ht="16.2" thickBot="1" x14ac:dyDescent="0.35">
      <c r="B12" s="158" t="s">
        <v>371</v>
      </c>
      <c r="C12" s="158"/>
      <c r="D12" s="158"/>
      <c r="E12" s="158"/>
      <c r="F12" s="158"/>
      <c r="G12" s="158"/>
      <c r="H12" s="158"/>
      <c r="I12" s="158"/>
      <c r="J12" s="19"/>
    </row>
    <row r="13" spans="1:12" x14ac:dyDescent="0.3">
      <c r="B13" s="1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3" t="s">
        <v>382</v>
      </c>
      <c r="H13" s="3" t="s">
        <v>381</v>
      </c>
      <c r="I13" s="3" t="s">
        <v>375</v>
      </c>
      <c r="J13" s="20" t="s">
        <v>200</v>
      </c>
    </row>
    <row r="14" spans="1:12" ht="25.8" x14ac:dyDescent="0.5">
      <c r="B14" s="13">
        <v>42311</v>
      </c>
      <c r="C14" s="8" t="s">
        <v>13</v>
      </c>
      <c r="D14" s="8" t="s">
        <v>374</v>
      </c>
      <c r="E14" s="8">
        <v>8090</v>
      </c>
      <c r="F14" s="8">
        <v>7990</v>
      </c>
      <c r="G14" s="8">
        <v>375</v>
      </c>
      <c r="H14" s="8">
        <v>100</v>
      </c>
      <c r="I14" s="8">
        <f>G14*H14</f>
        <v>37500</v>
      </c>
      <c r="J14" s="8" t="s">
        <v>199</v>
      </c>
    </row>
    <row r="15" spans="1:12" ht="25.8" x14ac:dyDescent="0.5">
      <c r="B15" s="13">
        <v>42326</v>
      </c>
      <c r="C15" s="8" t="s">
        <v>13</v>
      </c>
      <c r="D15" s="8" t="s">
        <v>374</v>
      </c>
      <c r="E15" s="8">
        <v>7760</v>
      </c>
      <c r="F15" s="8">
        <v>7830</v>
      </c>
      <c r="G15" s="8">
        <v>375</v>
      </c>
      <c r="H15" s="8">
        <v>-70</v>
      </c>
      <c r="I15" s="8">
        <f t="shared" ref="I15" si="0">G15*H15</f>
        <v>-26250</v>
      </c>
      <c r="J15" s="8" t="s">
        <v>197</v>
      </c>
    </row>
    <row r="16" spans="1:12" ht="25.8" x14ac:dyDescent="0.5">
      <c r="B16" s="13"/>
      <c r="C16" s="8"/>
      <c r="D16" s="8"/>
      <c r="E16" s="8"/>
      <c r="F16" s="8"/>
      <c r="G16" s="8"/>
      <c r="H16" s="8"/>
      <c r="I16" s="8"/>
      <c r="J16" s="8"/>
    </row>
    <row r="17" spans="2:10" ht="25.8" x14ac:dyDescent="0.5">
      <c r="B17" s="7"/>
      <c r="C17" s="8"/>
      <c r="D17" s="8"/>
      <c r="E17" s="8"/>
      <c r="F17" s="8"/>
      <c r="G17" s="8"/>
      <c r="H17" s="8"/>
      <c r="I17" s="9">
        <v>11250</v>
      </c>
      <c r="J17" s="8"/>
    </row>
    <row r="18" spans="2:10" ht="25.8" x14ac:dyDescent="0.5">
      <c r="I18" s="9"/>
    </row>
    <row r="19" spans="2:10" ht="15" thickBot="1" x14ac:dyDescent="0.35"/>
    <row r="20" spans="2:10" ht="16.2" thickBot="1" x14ac:dyDescent="0.35">
      <c r="B20" s="158" t="s">
        <v>372</v>
      </c>
      <c r="C20" s="158"/>
      <c r="D20" s="158"/>
      <c r="E20" s="158"/>
      <c r="F20" s="158"/>
      <c r="G20" s="158"/>
      <c r="H20" s="158"/>
      <c r="I20" s="158"/>
      <c r="J20" s="19"/>
    </row>
    <row r="21" spans="2:10" x14ac:dyDescent="0.3">
      <c r="B21" s="1" t="s">
        <v>1</v>
      </c>
      <c r="C21" s="2" t="s">
        <v>2</v>
      </c>
      <c r="D21" s="2" t="s">
        <v>3</v>
      </c>
      <c r="E21" s="3" t="s">
        <v>4</v>
      </c>
      <c r="F21" s="3" t="s">
        <v>5</v>
      </c>
      <c r="G21" s="3" t="s">
        <v>6</v>
      </c>
      <c r="H21" s="3" t="s">
        <v>381</v>
      </c>
      <c r="I21" s="3" t="s">
        <v>89</v>
      </c>
      <c r="J21" s="20" t="s">
        <v>200</v>
      </c>
    </row>
    <row r="22" spans="2:10" ht="25.8" x14ac:dyDescent="0.5">
      <c r="B22" s="13">
        <v>42311</v>
      </c>
      <c r="C22" s="8" t="s">
        <v>20</v>
      </c>
      <c r="D22" s="8" t="s">
        <v>373</v>
      </c>
      <c r="E22" s="8">
        <v>32</v>
      </c>
      <c r="F22" s="8">
        <v>18</v>
      </c>
      <c r="G22" s="8">
        <v>600</v>
      </c>
      <c r="H22" s="8">
        <v>-14</v>
      </c>
      <c r="I22" s="8">
        <f>G22*H22</f>
        <v>-8400</v>
      </c>
      <c r="J22" s="8" t="s">
        <v>197</v>
      </c>
    </row>
    <row r="23" spans="2:10" ht="25.8" x14ac:dyDescent="0.5">
      <c r="B23" s="13">
        <v>42313</v>
      </c>
      <c r="C23" s="8" t="s">
        <v>20</v>
      </c>
      <c r="D23" s="8" t="s">
        <v>376</v>
      </c>
      <c r="E23" s="8">
        <v>50</v>
      </c>
      <c r="F23" s="8">
        <v>60</v>
      </c>
      <c r="G23" s="8">
        <v>300</v>
      </c>
      <c r="H23" s="8">
        <v>10</v>
      </c>
      <c r="I23" s="8">
        <f t="shared" ref="I23:I28" si="1">G23*H23</f>
        <v>3000</v>
      </c>
      <c r="J23" s="8" t="s">
        <v>270</v>
      </c>
    </row>
    <row r="24" spans="2:10" ht="25.8" x14ac:dyDescent="0.5">
      <c r="B24" s="13">
        <v>42314</v>
      </c>
      <c r="C24" s="8" t="s">
        <v>8</v>
      </c>
      <c r="D24" s="8" t="s">
        <v>377</v>
      </c>
      <c r="E24" s="8">
        <v>38</v>
      </c>
      <c r="F24" s="8">
        <v>45</v>
      </c>
      <c r="G24" s="8">
        <v>700</v>
      </c>
      <c r="H24" s="8">
        <v>7</v>
      </c>
      <c r="I24" s="8">
        <f t="shared" si="1"/>
        <v>4900</v>
      </c>
      <c r="J24" s="8" t="s">
        <v>270</v>
      </c>
    </row>
    <row r="25" spans="2:10" ht="25.8" x14ac:dyDescent="0.5">
      <c r="B25" s="13">
        <v>42326</v>
      </c>
      <c r="C25" s="8" t="s">
        <v>8</v>
      </c>
      <c r="D25" s="8" t="s">
        <v>378</v>
      </c>
      <c r="E25" s="8">
        <v>11</v>
      </c>
      <c r="F25" s="8">
        <v>17</v>
      </c>
      <c r="G25" s="8">
        <v>2000</v>
      </c>
      <c r="H25" s="8">
        <v>6</v>
      </c>
      <c r="I25" s="8">
        <f t="shared" si="1"/>
        <v>12000</v>
      </c>
      <c r="J25" s="8" t="s">
        <v>199</v>
      </c>
    </row>
    <row r="26" spans="2:10" ht="25.8" x14ac:dyDescent="0.5">
      <c r="B26" s="13">
        <v>42326</v>
      </c>
      <c r="C26" s="8" t="s">
        <v>8</v>
      </c>
      <c r="D26" s="8" t="s">
        <v>379</v>
      </c>
      <c r="E26" s="8">
        <v>5</v>
      </c>
      <c r="F26" s="8">
        <v>9.5</v>
      </c>
      <c r="G26" s="8">
        <v>4400</v>
      </c>
      <c r="H26" s="8">
        <v>4.5</v>
      </c>
      <c r="I26" s="8">
        <f t="shared" si="1"/>
        <v>19800</v>
      </c>
      <c r="J26" s="17" t="s">
        <v>199</v>
      </c>
    </row>
    <row r="27" spans="2:10" ht="25.8" x14ac:dyDescent="0.5">
      <c r="B27" s="7">
        <v>42327</v>
      </c>
      <c r="C27" s="8" t="s">
        <v>8</v>
      </c>
      <c r="D27" s="8" t="s">
        <v>384</v>
      </c>
      <c r="E27" s="8">
        <v>9</v>
      </c>
      <c r="F27" s="8">
        <v>12</v>
      </c>
      <c r="G27" s="8">
        <v>2000</v>
      </c>
      <c r="H27" s="8">
        <v>3</v>
      </c>
      <c r="I27" s="8">
        <f t="shared" si="1"/>
        <v>6000</v>
      </c>
      <c r="J27" s="8" t="s">
        <v>270</v>
      </c>
    </row>
    <row r="28" spans="2:10" ht="25.8" x14ac:dyDescent="0.5">
      <c r="B28" s="13">
        <v>42327</v>
      </c>
      <c r="C28" s="8" t="s">
        <v>8</v>
      </c>
      <c r="D28" s="8" t="s">
        <v>385</v>
      </c>
      <c r="E28" s="8">
        <v>2</v>
      </c>
      <c r="F28" s="8">
        <v>3</v>
      </c>
      <c r="G28" s="8">
        <v>9000</v>
      </c>
      <c r="H28" s="8">
        <v>1</v>
      </c>
      <c r="I28" s="8">
        <f t="shared" si="1"/>
        <v>9000</v>
      </c>
      <c r="J28" s="8" t="s">
        <v>270</v>
      </c>
    </row>
    <row r="29" spans="2:10" ht="25.8" x14ac:dyDescent="0.5">
      <c r="B29" s="13"/>
      <c r="C29" s="8"/>
      <c r="D29" s="8"/>
      <c r="E29" s="8"/>
      <c r="F29" s="8"/>
      <c r="G29" s="8"/>
      <c r="H29" s="8"/>
      <c r="I29" s="8"/>
      <c r="J29" s="8"/>
    </row>
    <row r="30" spans="2:10" ht="25.8" x14ac:dyDescent="0.5">
      <c r="B30" s="13"/>
      <c r="C30" s="8"/>
      <c r="D30" s="8"/>
      <c r="E30" s="8"/>
      <c r="F30" s="8"/>
      <c r="G30" s="8"/>
      <c r="H30" s="8"/>
      <c r="I30" s="9">
        <v>46300</v>
      </c>
      <c r="J30" s="8"/>
    </row>
    <row r="31" spans="2:10" ht="25.8" x14ac:dyDescent="0.5">
      <c r="I31" s="9"/>
      <c r="J31" s="9"/>
    </row>
  </sheetData>
  <mergeCells count="5">
    <mergeCell ref="B1:I1"/>
    <mergeCell ref="B2:I2"/>
    <mergeCell ref="B3:I3"/>
    <mergeCell ref="B12:I12"/>
    <mergeCell ref="B20:I20"/>
  </mergeCells>
  <hyperlinks>
    <hyperlink ref="L2" location="'Home Page'!A1" display="Back" xr:uid="{00000000-0004-0000-20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L32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0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4.10937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388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42339</v>
      </c>
      <c r="C5" s="8" t="s">
        <v>13</v>
      </c>
      <c r="D5" s="8" t="s">
        <v>366</v>
      </c>
      <c r="E5" s="8">
        <v>265</v>
      </c>
      <c r="F5" s="8">
        <v>250</v>
      </c>
      <c r="G5" s="8">
        <v>3200</v>
      </c>
      <c r="H5" s="8">
        <v>15</v>
      </c>
      <c r="I5" s="8">
        <f>G5*H5</f>
        <v>48000</v>
      </c>
      <c r="J5" s="17" t="s">
        <v>195</v>
      </c>
    </row>
    <row r="6" spans="1:12" ht="25.8" x14ac:dyDescent="0.5">
      <c r="B6" s="7">
        <v>42342</v>
      </c>
      <c r="C6" s="8" t="s">
        <v>13</v>
      </c>
      <c r="D6" s="8" t="s">
        <v>23</v>
      </c>
      <c r="E6" s="8">
        <v>326</v>
      </c>
      <c r="F6" s="8">
        <v>318</v>
      </c>
      <c r="G6" s="8">
        <v>3200</v>
      </c>
      <c r="H6" s="8">
        <v>8</v>
      </c>
      <c r="I6" s="8">
        <f>G6*H6</f>
        <v>25600</v>
      </c>
      <c r="J6" s="17" t="s">
        <v>198</v>
      </c>
    </row>
    <row r="7" spans="1:12" ht="25.8" x14ac:dyDescent="0.5">
      <c r="B7" s="7">
        <v>42348</v>
      </c>
      <c r="C7" s="8" t="s">
        <v>13</v>
      </c>
      <c r="D7" s="8" t="s">
        <v>393</v>
      </c>
      <c r="E7" s="8">
        <v>1950</v>
      </c>
      <c r="F7" s="8">
        <v>1980</v>
      </c>
      <c r="G7" s="8">
        <v>500</v>
      </c>
      <c r="H7" s="8">
        <v>-40</v>
      </c>
      <c r="I7" s="8">
        <f t="shared" ref="I7:I9" si="0">G7*H7</f>
        <v>-20000</v>
      </c>
      <c r="J7" s="17" t="s">
        <v>343</v>
      </c>
    </row>
    <row r="8" spans="1:12" ht="25.8" x14ac:dyDescent="0.5">
      <c r="B8" s="7">
        <v>42349</v>
      </c>
      <c r="C8" s="8" t="s">
        <v>13</v>
      </c>
      <c r="D8" s="8" t="s">
        <v>92</v>
      </c>
      <c r="E8" s="8">
        <v>700</v>
      </c>
      <c r="F8" s="8">
        <v>685</v>
      </c>
      <c r="G8" s="8">
        <v>1400</v>
      </c>
      <c r="H8" s="8">
        <v>15</v>
      </c>
      <c r="I8" s="8">
        <f t="shared" si="0"/>
        <v>21000</v>
      </c>
      <c r="J8" s="17" t="s">
        <v>198</v>
      </c>
    </row>
    <row r="9" spans="1:12" ht="25.8" x14ac:dyDescent="0.5">
      <c r="B9" s="7">
        <v>42353</v>
      </c>
      <c r="C9" s="8" t="s">
        <v>13</v>
      </c>
      <c r="D9" s="8" t="s">
        <v>394</v>
      </c>
      <c r="E9" s="8">
        <v>473</v>
      </c>
      <c r="F9" s="8">
        <v>468</v>
      </c>
      <c r="G9" s="8">
        <v>2200</v>
      </c>
      <c r="H9" s="8">
        <v>5</v>
      </c>
      <c r="I9" s="8">
        <f t="shared" si="0"/>
        <v>11000</v>
      </c>
      <c r="J9" s="17" t="s">
        <v>270</v>
      </c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v>85600</v>
      </c>
      <c r="J10" s="17"/>
    </row>
    <row r="12" spans="1:12" ht="15" thickBot="1" x14ac:dyDescent="0.35"/>
    <row r="13" spans="1:12" ht="16.2" thickBot="1" x14ac:dyDescent="0.35">
      <c r="B13" s="158" t="s">
        <v>389</v>
      </c>
      <c r="C13" s="158"/>
      <c r="D13" s="158"/>
      <c r="E13" s="158"/>
      <c r="F13" s="158"/>
      <c r="G13" s="158"/>
      <c r="H13" s="158"/>
      <c r="I13" s="158"/>
      <c r="J13" s="19"/>
    </row>
    <row r="14" spans="1:12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382</v>
      </c>
      <c r="H14" s="3" t="s">
        <v>381</v>
      </c>
      <c r="I14" s="3" t="s">
        <v>375</v>
      </c>
      <c r="J14" s="20" t="s">
        <v>200</v>
      </c>
    </row>
    <row r="15" spans="1:12" ht="25.8" x14ac:dyDescent="0.5">
      <c r="B15" s="13">
        <v>42339</v>
      </c>
      <c r="C15" s="8" t="s">
        <v>13</v>
      </c>
      <c r="D15" s="8" t="s">
        <v>30</v>
      </c>
      <c r="E15" s="8">
        <v>8000</v>
      </c>
      <c r="F15" s="8">
        <v>7830</v>
      </c>
      <c r="G15" s="8">
        <v>375</v>
      </c>
      <c r="H15" s="8">
        <v>170</v>
      </c>
      <c r="I15" s="8">
        <f>G15*H15</f>
        <v>63750</v>
      </c>
      <c r="J15" s="8" t="s">
        <v>195</v>
      </c>
    </row>
    <row r="16" spans="1:12" ht="25.8" x14ac:dyDescent="0.5">
      <c r="B16" s="13">
        <v>42342</v>
      </c>
      <c r="C16" s="8" t="s">
        <v>13</v>
      </c>
      <c r="D16" s="8" t="s">
        <v>30</v>
      </c>
      <c r="E16" s="8">
        <v>7850</v>
      </c>
      <c r="F16" s="8">
        <v>7700</v>
      </c>
      <c r="G16" s="8">
        <v>375</v>
      </c>
      <c r="H16" s="8">
        <v>150</v>
      </c>
      <c r="I16" s="8">
        <f t="shared" ref="I16:I17" si="1">G16*H16</f>
        <v>56250</v>
      </c>
      <c r="J16" s="8" t="s">
        <v>195</v>
      </c>
    </row>
    <row r="17" spans="2:10" ht="25.8" x14ac:dyDescent="0.5">
      <c r="B17" s="13">
        <v>42349</v>
      </c>
      <c r="C17" s="8" t="s">
        <v>13</v>
      </c>
      <c r="D17" s="8" t="s">
        <v>30</v>
      </c>
      <c r="E17" s="8">
        <v>7640</v>
      </c>
      <c r="F17" s="8">
        <v>7730</v>
      </c>
      <c r="G17" s="8">
        <v>375</v>
      </c>
      <c r="H17" s="8">
        <v>-90</v>
      </c>
      <c r="I17" s="8">
        <f t="shared" si="1"/>
        <v>-33750</v>
      </c>
      <c r="J17" s="8" t="s">
        <v>207</v>
      </c>
    </row>
    <row r="18" spans="2:10" ht="25.8" x14ac:dyDescent="0.5">
      <c r="B18" s="7"/>
      <c r="C18" s="8"/>
      <c r="D18" s="8"/>
      <c r="E18" s="8"/>
      <c r="F18" s="8"/>
      <c r="G18" s="8"/>
      <c r="H18" s="8"/>
      <c r="I18" s="9">
        <v>86250</v>
      </c>
      <c r="J18" s="8"/>
    </row>
    <row r="19" spans="2:10" ht="25.8" x14ac:dyDescent="0.5">
      <c r="I19" s="9"/>
    </row>
    <row r="20" spans="2:10" ht="15" thickBot="1" x14ac:dyDescent="0.35"/>
    <row r="21" spans="2:10" ht="16.2" thickBot="1" x14ac:dyDescent="0.35">
      <c r="B21" s="158" t="s">
        <v>390</v>
      </c>
      <c r="C21" s="158"/>
      <c r="D21" s="158"/>
      <c r="E21" s="158"/>
      <c r="F21" s="158"/>
      <c r="G21" s="158"/>
      <c r="H21" s="158"/>
      <c r="I21" s="158"/>
      <c r="J21" s="19"/>
    </row>
    <row r="22" spans="2:10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381</v>
      </c>
      <c r="I22" s="3" t="s">
        <v>89</v>
      </c>
      <c r="J22" s="20" t="s">
        <v>200</v>
      </c>
    </row>
    <row r="23" spans="2:10" ht="25.8" x14ac:dyDescent="0.5">
      <c r="B23" s="13">
        <v>42339</v>
      </c>
      <c r="C23" s="8" t="s">
        <v>20</v>
      </c>
      <c r="D23" s="8" t="s">
        <v>360</v>
      </c>
      <c r="E23" s="8">
        <v>18</v>
      </c>
      <c r="F23" s="8">
        <v>36</v>
      </c>
      <c r="G23" s="8">
        <v>1400</v>
      </c>
      <c r="H23" s="8">
        <v>18</v>
      </c>
      <c r="I23" s="8">
        <f>G23*H23</f>
        <v>25200</v>
      </c>
      <c r="J23" s="8" t="s">
        <v>195</v>
      </c>
    </row>
    <row r="24" spans="2:10" ht="25.8" x14ac:dyDescent="0.5">
      <c r="B24" s="13">
        <v>42342</v>
      </c>
      <c r="C24" s="8" t="s">
        <v>8</v>
      </c>
      <c r="D24" s="8" t="s">
        <v>392</v>
      </c>
      <c r="E24" s="8">
        <v>8</v>
      </c>
      <c r="F24" s="8">
        <v>14</v>
      </c>
      <c r="G24" s="8">
        <v>3200</v>
      </c>
      <c r="H24" s="8">
        <v>6</v>
      </c>
      <c r="I24" s="8">
        <f t="shared" ref="I24:I29" si="2">G24*H24</f>
        <v>19200</v>
      </c>
      <c r="J24" s="8" t="s">
        <v>195</v>
      </c>
    </row>
    <row r="25" spans="2:10" ht="25.8" x14ac:dyDescent="0.5">
      <c r="B25" s="13">
        <v>42342</v>
      </c>
      <c r="C25" s="8" t="s">
        <v>8</v>
      </c>
      <c r="D25" s="8" t="s">
        <v>391</v>
      </c>
      <c r="E25" s="8">
        <v>23</v>
      </c>
      <c r="F25" s="8">
        <v>33</v>
      </c>
      <c r="G25" s="8">
        <v>800</v>
      </c>
      <c r="H25" s="8">
        <v>10</v>
      </c>
      <c r="I25" s="8">
        <f t="shared" si="2"/>
        <v>8000</v>
      </c>
      <c r="J25" s="8" t="s">
        <v>198</v>
      </c>
    </row>
    <row r="26" spans="2:10" ht="25.8" x14ac:dyDescent="0.5">
      <c r="B26" s="13">
        <v>42349</v>
      </c>
      <c r="C26" s="8" t="s">
        <v>8</v>
      </c>
      <c r="D26" s="8" t="s">
        <v>249</v>
      </c>
      <c r="E26" s="8">
        <v>14</v>
      </c>
      <c r="F26" s="8">
        <v>30</v>
      </c>
      <c r="G26" s="8">
        <v>1400</v>
      </c>
      <c r="H26" s="8">
        <v>16</v>
      </c>
      <c r="I26" s="8">
        <f t="shared" si="2"/>
        <v>22400</v>
      </c>
      <c r="J26" s="8" t="s">
        <v>195</v>
      </c>
    </row>
    <row r="27" spans="2:10" ht="25.8" x14ac:dyDescent="0.5">
      <c r="B27" s="13">
        <v>42354</v>
      </c>
      <c r="C27" s="8" t="s">
        <v>8</v>
      </c>
      <c r="D27" s="8" t="s">
        <v>249</v>
      </c>
      <c r="E27" s="8">
        <v>16</v>
      </c>
      <c r="F27" s="8">
        <v>8</v>
      </c>
      <c r="G27" s="8">
        <v>1400</v>
      </c>
      <c r="H27" s="8">
        <v>-8</v>
      </c>
      <c r="I27" s="8">
        <f t="shared" si="2"/>
        <v>-11200</v>
      </c>
      <c r="J27" s="17" t="s">
        <v>197</v>
      </c>
    </row>
    <row r="28" spans="2:10" ht="25.8" x14ac:dyDescent="0.5">
      <c r="B28" s="7">
        <v>42360</v>
      </c>
      <c r="C28" s="8" t="s">
        <v>8</v>
      </c>
      <c r="D28" s="8" t="s">
        <v>395</v>
      </c>
      <c r="E28" s="8">
        <v>37</v>
      </c>
      <c r="F28" s="8">
        <v>49</v>
      </c>
      <c r="G28" s="8">
        <v>400</v>
      </c>
      <c r="H28" s="8">
        <v>12</v>
      </c>
      <c r="I28" s="8">
        <f t="shared" si="2"/>
        <v>4800</v>
      </c>
      <c r="J28" s="8" t="s">
        <v>270</v>
      </c>
    </row>
    <row r="29" spans="2:10" ht="25.8" x14ac:dyDescent="0.5">
      <c r="B29" s="13">
        <v>42362</v>
      </c>
      <c r="C29" s="8" t="s">
        <v>8</v>
      </c>
      <c r="D29" s="8" t="s">
        <v>396</v>
      </c>
      <c r="E29" s="8">
        <v>16</v>
      </c>
      <c r="F29" s="8">
        <v>6</v>
      </c>
      <c r="G29" s="8">
        <v>600</v>
      </c>
      <c r="H29" s="8">
        <v>-10</v>
      </c>
      <c r="I29" s="8">
        <f t="shared" si="2"/>
        <v>-6000</v>
      </c>
      <c r="J29" s="8" t="s">
        <v>197</v>
      </c>
    </row>
    <row r="30" spans="2:10" ht="25.8" x14ac:dyDescent="0.5">
      <c r="B30" s="13"/>
      <c r="C30" s="8"/>
      <c r="D30" s="8"/>
      <c r="E30" s="8"/>
      <c r="F30" s="8"/>
      <c r="G30" s="8"/>
      <c r="H30" s="8"/>
      <c r="I30" s="9">
        <v>62400</v>
      </c>
      <c r="J30" s="8"/>
    </row>
    <row r="31" spans="2:10" ht="25.8" x14ac:dyDescent="0.5">
      <c r="B31" s="13"/>
      <c r="C31" s="8"/>
      <c r="D31" s="8"/>
      <c r="E31" s="8"/>
      <c r="F31" s="8"/>
      <c r="G31" s="8"/>
      <c r="H31" s="8"/>
      <c r="I31" s="9"/>
      <c r="J31" s="8"/>
    </row>
    <row r="32" spans="2:10" ht="25.8" x14ac:dyDescent="0.5">
      <c r="I32" s="9"/>
      <c r="J32" s="9"/>
    </row>
  </sheetData>
  <mergeCells count="5">
    <mergeCell ref="B1:I1"/>
    <mergeCell ref="B2:I2"/>
    <mergeCell ref="B3:I3"/>
    <mergeCell ref="B13:I13"/>
    <mergeCell ref="B21:I21"/>
  </mergeCells>
  <hyperlinks>
    <hyperlink ref="L2" location="'Home Page'!A1" display="Back" xr:uid="{00000000-0004-0000-21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L37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0" bestFit="1" customWidth="1"/>
    <col min="5" max="5" width="11.5546875" bestFit="1" customWidth="1"/>
    <col min="6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397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42375</v>
      </c>
      <c r="C5" s="8" t="s">
        <v>13</v>
      </c>
      <c r="D5" s="8" t="s">
        <v>400</v>
      </c>
      <c r="E5" s="8">
        <v>364</v>
      </c>
      <c r="F5" s="8">
        <v>355</v>
      </c>
      <c r="G5" s="8">
        <v>3400</v>
      </c>
      <c r="H5" s="8">
        <v>-9</v>
      </c>
      <c r="I5" s="8">
        <f>G5*H5</f>
        <v>-30600</v>
      </c>
      <c r="J5" s="17" t="s">
        <v>197</v>
      </c>
    </row>
    <row r="6" spans="1:12" ht="25.8" x14ac:dyDescent="0.5">
      <c r="B6" s="7">
        <v>42375</v>
      </c>
      <c r="C6" s="8" t="s">
        <v>13</v>
      </c>
      <c r="D6" s="8" t="s">
        <v>28</v>
      </c>
      <c r="E6" s="8">
        <v>250</v>
      </c>
      <c r="F6" s="8">
        <v>244</v>
      </c>
      <c r="G6" s="8">
        <v>3400</v>
      </c>
      <c r="H6" s="8">
        <v>6</v>
      </c>
      <c r="I6" s="8">
        <f>G6*H6</f>
        <v>20400</v>
      </c>
      <c r="J6" s="17" t="s">
        <v>198</v>
      </c>
    </row>
    <row r="7" spans="1:12" ht="25.8" x14ac:dyDescent="0.5">
      <c r="B7" s="7">
        <v>42377</v>
      </c>
      <c r="C7" s="8" t="s">
        <v>13</v>
      </c>
      <c r="D7" s="8" t="s">
        <v>158</v>
      </c>
      <c r="E7" s="8">
        <v>2500</v>
      </c>
      <c r="F7" s="8">
        <v>2435</v>
      </c>
      <c r="G7" s="8">
        <v>400</v>
      </c>
      <c r="H7" s="8">
        <v>65</v>
      </c>
      <c r="I7" s="8">
        <f t="shared" ref="I7:I9" si="0">G7*H7</f>
        <v>26000</v>
      </c>
      <c r="J7" s="17" t="s">
        <v>199</v>
      </c>
    </row>
    <row r="8" spans="1:12" ht="25.8" x14ac:dyDescent="0.5">
      <c r="B8" s="7">
        <v>42388</v>
      </c>
      <c r="C8" s="8" t="s">
        <v>13</v>
      </c>
      <c r="D8" s="8" t="s">
        <v>386</v>
      </c>
      <c r="E8" s="8">
        <v>109.5</v>
      </c>
      <c r="F8" s="8">
        <v>108</v>
      </c>
      <c r="G8" s="8">
        <v>6000</v>
      </c>
      <c r="H8" s="8">
        <v>1.5</v>
      </c>
      <c r="I8" s="8">
        <f t="shared" si="0"/>
        <v>9000</v>
      </c>
      <c r="J8" s="17" t="s">
        <v>403</v>
      </c>
    </row>
    <row r="9" spans="1:12" ht="25.8" x14ac:dyDescent="0.5">
      <c r="B9" s="7">
        <v>42390</v>
      </c>
      <c r="C9" s="8" t="s">
        <v>20</v>
      </c>
      <c r="D9" s="8" t="s">
        <v>15</v>
      </c>
      <c r="E9" s="8">
        <v>775</v>
      </c>
      <c r="F9" s="8">
        <v>825</v>
      </c>
      <c r="G9" s="8">
        <v>1000</v>
      </c>
      <c r="H9" s="8">
        <v>50</v>
      </c>
      <c r="I9" s="8">
        <f t="shared" si="0"/>
        <v>50000</v>
      </c>
      <c r="J9" s="17" t="s">
        <v>195</v>
      </c>
    </row>
    <row r="10" spans="1:12" ht="25.8" x14ac:dyDescent="0.5">
      <c r="B10" s="7"/>
      <c r="C10" s="8"/>
      <c r="D10" s="8"/>
      <c r="E10" s="8"/>
      <c r="F10" s="8"/>
      <c r="G10" s="8"/>
      <c r="H10" s="8"/>
      <c r="I10" s="9"/>
      <c r="J10" s="17"/>
    </row>
    <row r="11" spans="1:12" ht="25.8" x14ac:dyDescent="0.5">
      <c r="B11" s="7"/>
      <c r="C11" s="8"/>
      <c r="D11" s="8"/>
      <c r="E11" s="8"/>
      <c r="F11" s="8"/>
      <c r="G11" s="8"/>
      <c r="H11" s="8"/>
      <c r="I11" s="9">
        <v>74800</v>
      </c>
      <c r="J11" s="17"/>
    </row>
    <row r="12" spans="1:12" ht="25.8" x14ac:dyDescent="0.5">
      <c r="B12" s="7"/>
      <c r="C12" s="8"/>
      <c r="D12" s="8"/>
      <c r="E12" s="8"/>
      <c r="F12" s="8"/>
      <c r="G12" s="8"/>
      <c r="H12" s="8"/>
      <c r="I12" s="9"/>
      <c r="J12" s="17"/>
    </row>
    <row r="14" spans="1:12" ht="15" thickBot="1" x14ac:dyDescent="0.35"/>
    <row r="15" spans="1:12" ht="16.2" thickBot="1" x14ac:dyDescent="0.35">
      <c r="B15" s="158" t="s">
        <v>398</v>
      </c>
      <c r="C15" s="158"/>
      <c r="D15" s="158"/>
      <c r="E15" s="158"/>
      <c r="F15" s="158"/>
      <c r="G15" s="158"/>
      <c r="H15" s="158"/>
      <c r="I15" s="158"/>
      <c r="J15" s="19"/>
    </row>
    <row r="16" spans="1:12" x14ac:dyDescent="0.3">
      <c r="B16" s="1" t="s">
        <v>1</v>
      </c>
      <c r="C16" s="2" t="s">
        <v>2</v>
      </c>
      <c r="D16" s="2" t="s">
        <v>3</v>
      </c>
      <c r="E16" s="3" t="s">
        <v>4</v>
      </c>
      <c r="F16" s="3" t="s">
        <v>5</v>
      </c>
      <c r="G16" s="3" t="s">
        <v>382</v>
      </c>
      <c r="H16" s="3" t="s">
        <v>381</v>
      </c>
      <c r="I16" s="3" t="s">
        <v>375</v>
      </c>
      <c r="J16" s="20" t="s">
        <v>200</v>
      </c>
    </row>
    <row r="17" spans="2:10" ht="25.8" x14ac:dyDescent="0.5">
      <c r="B17" s="13">
        <v>42375</v>
      </c>
      <c r="C17" s="8" t="s">
        <v>13</v>
      </c>
      <c r="D17" s="8" t="s">
        <v>30</v>
      </c>
      <c r="E17" s="8">
        <v>7800</v>
      </c>
      <c r="F17" s="8">
        <v>7600</v>
      </c>
      <c r="G17" s="8">
        <v>375</v>
      </c>
      <c r="H17" s="8">
        <v>200</v>
      </c>
      <c r="I17" s="8">
        <f>G17*H17</f>
        <v>75000</v>
      </c>
      <c r="J17" s="8" t="s">
        <v>195</v>
      </c>
    </row>
    <row r="18" spans="2:10" ht="25.8" x14ac:dyDescent="0.5">
      <c r="B18" s="13">
        <v>42377</v>
      </c>
      <c r="C18" s="8" t="s">
        <v>13</v>
      </c>
      <c r="D18" s="8" t="s">
        <v>30</v>
      </c>
      <c r="E18" s="8">
        <v>7600</v>
      </c>
      <c r="F18" s="8">
        <v>7530</v>
      </c>
      <c r="G18" s="8">
        <v>375</v>
      </c>
      <c r="H18" s="8">
        <v>70</v>
      </c>
      <c r="I18" s="8">
        <f t="shared" ref="I18:I20" si="1">G18*H18</f>
        <v>26250</v>
      </c>
      <c r="J18" s="8" t="s">
        <v>198</v>
      </c>
    </row>
    <row r="19" spans="2:10" ht="25.8" x14ac:dyDescent="0.5">
      <c r="B19" s="13">
        <v>42380</v>
      </c>
      <c r="C19" s="8" t="s">
        <v>13</v>
      </c>
      <c r="D19" s="8" t="s">
        <v>30</v>
      </c>
      <c r="E19" s="8">
        <v>7610</v>
      </c>
      <c r="F19" s="8">
        <v>7470</v>
      </c>
      <c r="G19" s="8">
        <v>375</v>
      </c>
      <c r="H19" s="8">
        <v>140</v>
      </c>
      <c r="I19" s="8">
        <f t="shared" si="1"/>
        <v>52500</v>
      </c>
      <c r="J19" s="8" t="s">
        <v>199</v>
      </c>
    </row>
    <row r="20" spans="2:10" ht="25.8" x14ac:dyDescent="0.5">
      <c r="B20" s="7">
        <v>42387</v>
      </c>
      <c r="C20" s="8" t="s">
        <v>13</v>
      </c>
      <c r="D20" s="8" t="s">
        <v>30</v>
      </c>
      <c r="E20" s="8">
        <v>7420</v>
      </c>
      <c r="F20" s="8">
        <v>7280</v>
      </c>
      <c r="G20" s="8">
        <v>375</v>
      </c>
      <c r="H20" s="8">
        <v>140</v>
      </c>
      <c r="I20" s="8">
        <f t="shared" si="1"/>
        <v>52500</v>
      </c>
      <c r="J20" s="8" t="s">
        <v>195</v>
      </c>
    </row>
    <row r="21" spans="2:10" ht="25.8" x14ac:dyDescent="0.5">
      <c r="B21" s="7"/>
      <c r="C21" s="8"/>
      <c r="D21" s="8"/>
      <c r="E21" s="8"/>
      <c r="F21" s="8"/>
      <c r="G21" s="8"/>
      <c r="H21" s="8"/>
      <c r="I21" s="8"/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9">
        <v>206250</v>
      </c>
      <c r="J22" s="8"/>
    </row>
    <row r="23" spans="2:10" ht="25.8" x14ac:dyDescent="0.5">
      <c r="B23" s="7"/>
      <c r="C23" s="8"/>
      <c r="D23" s="8"/>
      <c r="E23" s="8"/>
      <c r="F23" s="8"/>
      <c r="G23" s="8"/>
      <c r="H23" s="8"/>
      <c r="I23" s="8"/>
      <c r="J23" s="8"/>
    </row>
    <row r="24" spans="2:10" ht="25.8" x14ac:dyDescent="0.5">
      <c r="I24" s="9"/>
    </row>
    <row r="25" spans="2:10" ht="15" thickBot="1" x14ac:dyDescent="0.35"/>
    <row r="26" spans="2:10" ht="16.2" thickBot="1" x14ac:dyDescent="0.35">
      <c r="B26" s="158" t="s">
        <v>399</v>
      </c>
      <c r="C26" s="158"/>
      <c r="D26" s="158"/>
      <c r="E26" s="158"/>
      <c r="F26" s="158"/>
      <c r="G26" s="158"/>
      <c r="H26" s="158"/>
      <c r="I26" s="158"/>
      <c r="J26" s="19"/>
    </row>
    <row r="27" spans="2:10" x14ac:dyDescent="0.3">
      <c r="B27" s="1" t="s">
        <v>1</v>
      </c>
      <c r="C27" s="2" t="s">
        <v>2</v>
      </c>
      <c r="D27" s="2" t="s">
        <v>3</v>
      </c>
      <c r="E27" s="3" t="s">
        <v>4</v>
      </c>
      <c r="F27" s="3" t="s">
        <v>5</v>
      </c>
      <c r="G27" s="3" t="s">
        <v>6</v>
      </c>
      <c r="H27" s="3" t="s">
        <v>381</v>
      </c>
      <c r="I27" s="3" t="s">
        <v>89</v>
      </c>
      <c r="J27" s="20" t="s">
        <v>200</v>
      </c>
    </row>
    <row r="28" spans="2:10" ht="25.8" x14ac:dyDescent="0.5">
      <c r="B28" s="13">
        <v>42374</v>
      </c>
      <c r="C28" s="8" t="s">
        <v>20</v>
      </c>
      <c r="D28" s="8" t="s">
        <v>249</v>
      </c>
      <c r="E28" s="8">
        <v>22</v>
      </c>
      <c r="F28" s="8">
        <v>33</v>
      </c>
      <c r="G28" s="8">
        <v>1400</v>
      </c>
      <c r="H28" s="8">
        <v>11</v>
      </c>
      <c r="I28" s="8">
        <f>G28*H28</f>
        <v>15400</v>
      </c>
      <c r="J28" s="8" t="s">
        <v>199</v>
      </c>
    </row>
    <row r="29" spans="2:10" ht="25.8" x14ac:dyDescent="0.5">
      <c r="B29" s="13">
        <v>42377</v>
      </c>
      <c r="C29" s="8" t="s">
        <v>8</v>
      </c>
      <c r="D29" s="8" t="s">
        <v>401</v>
      </c>
      <c r="E29" s="8">
        <v>52</v>
      </c>
      <c r="F29" s="8">
        <v>80</v>
      </c>
      <c r="G29" s="8">
        <v>400</v>
      </c>
      <c r="H29" s="8">
        <f>F29-E29</f>
        <v>28</v>
      </c>
      <c r="I29" s="8">
        <f t="shared" ref="I29:I31" si="2">G29*H29</f>
        <v>11200</v>
      </c>
      <c r="J29" s="8" t="s">
        <v>195</v>
      </c>
    </row>
    <row r="30" spans="2:10" ht="25.8" x14ac:dyDescent="0.5">
      <c r="B30" s="13">
        <v>42382</v>
      </c>
      <c r="C30" s="8" t="s">
        <v>8</v>
      </c>
      <c r="D30" s="8" t="s">
        <v>402</v>
      </c>
      <c r="E30" s="8">
        <v>28</v>
      </c>
      <c r="F30" s="8">
        <v>55</v>
      </c>
      <c r="G30" s="8">
        <v>600</v>
      </c>
      <c r="H30" s="8">
        <f t="shared" ref="H30:H31" si="3">F30-E30</f>
        <v>27</v>
      </c>
      <c r="I30" s="8">
        <f t="shared" si="2"/>
        <v>16200</v>
      </c>
      <c r="J30" s="8" t="s">
        <v>195</v>
      </c>
    </row>
    <row r="31" spans="2:10" ht="25.8" x14ac:dyDescent="0.5">
      <c r="B31" s="13">
        <v>42389</v>
      </c>
      <c r="C31" s="8" t="s">
        <v>8</v>
      </c>
      <c r="D31" s="8" t="s">
        <v>404</v>
      </c>
      <c r="E31" s="8">
        <v>21</v>
      </c>
      <c r="F31" s="8">
        <v>32</v>
      </c>
      <c r="G31" s="8">
        <v>1400</v>
      </c>
      <c r="H31" s="8">
        <f t="shared" si="3"/>
        <v>11</v>
      </c>
      <c r="I31" s="8">
        <f t="shared" si="2"/>
        <v>15400</v>
      </c>
      <c r="J31" s="8" t="s">
        <v>198</v>
      </c>
    </row>
    <row r="32" spans="2:10" ht="25.8" x14ac:dyDescent="0.5">
      <c r="B32" s="13"/>
      <c r="C32" s="8"/>
      <c r="D32" s="8"/>
      <c r="E32" s="8"/>
      <c r="F32" s="8"/>
      <c r="G32" s="8"/>
      <c r="H32" s="8"/>
      <c r="I32" s="8"/>
      <c r="J32" s="17"/>
    </row>
    <row r="33" spans="2:10" ht="25.8" x14ac:dyDescent="0.5">
      <c r="B33" s="7"/>
      <c r="C33" s="8"/>
      <c r="D33" s="8"/>
      <c r="E33" s="8"/>
      <c r="F33" s="8"/>
      <c r="G33" s="8"/>
      <c r="H33" s="8"/>
      <c r="I33" s="8"/>
      <c r="J33" s="8"/>
    </row>
    <row r="34" spans="2:10" ht="25.8" x14ac:dyDescent="0.5">
      <c r="B34" s="13"/>
      <c r="C34" s="8"/>
      <c r="D34" s="8"/>
      <c r="E34" s="8"/>
      <c r="F34" s="8"/>
      <c r="G34" s="8"/>
      <c r="H34" s="8"/>
      <c r="I34" s="8"/>
      <c r="J34" s="8"/>
    </row>
    <row r="35" spans="2:10" ht="25.8" x14ac:dyDescent="0.5">
      <c r="B35" s="13"/>
      <c r="C35" s="8"/>
      <c r="D35" s="8"/>
      <c r="E35" s="8"/>
      <c r="F35" s="8"/>
      <c r="G35" s="8"/>
      <c r="H35" s="8"/>
      <c r="I35" s="9">
        <v>58200</v>
      </c>
      <c r="J35" s="8"/>
    </row>
    <row r="36" spans="2:10" ht="25.8" x14ac:dyDescent="0.5">
      <c r="B36" s="13"/>
      <c r="C36" s="8"/>
      <c r="D36" s="8"/>
      <c r="E36" s="8"/>
      <c r="F36" s="8"/>
      <c r="G36" s="8"/>
      <c r="H36" s="8"/>
      <c r="I36" s="9"/>
      <c r="J36" s="8"/>
    </row>
    <row r="37" spans="2:10" ht="25.8" x14ac:dyDescent="0.5">
      <c r="I37" s="9"/>
      <c r="J37" s="9"/>
    </row>
  </sheetData>
  <mergeCells count="5">
    <mergeCell ref="B1:I1"/>
    <mergeCell ref="B2:I2"/>
    <mergeCell ref="B3:I3"/>
    <mergeCell ref="B15:I15"/>
    <mergeCell ref="B26:I26"/>
  </mergeCells>
  <hyperlinks>
    <hyperlink ref="L2" location="'Home Page'!A1" display="Back" xr:uid="{00000000-0004-0000-22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L37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3.554687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406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42401</v>
      </c>
      <c r="C5" s="8" t="s">
        <v>13</v>
      </c>
      <c r="D5" s="8" t="s">
        <v>11</v>
      </c>
      <c r="E5" s="8">
        <v>177</v>
      </c>
      <c r="F5" s="8">
        <v>165</v>
      </c>
      <c r="G5" s="8">
        <v>4000</v>
      </c>
      <c r="H5" s="8">
        <v>12</v>
      </c>
      <c r="I5" s="8">
        <f>G5*H5</f>
        <v>48000</v>
      </c>
      <c r="J5" s="17" t="s">
        <v>195</v>
      </c>
    </row>
    <row r="6" spans="1:12" ht="25.8" x14ac:dyDescent="0.5">
      <c r="B6" s="7">
        <v>42403</v>
      </c>
      <c r="C6" s="8" t="s">
        <v>13</v>
      </c>
      <c r="D6" s="8" t="s">
        <v>11</v>
      </c>
      <c r="E6" s="8">
        <v>168</v>
      </c>
      <c r="F6" s="8">
        <v>162</v>
      </c>
      <c r="G6" s="8">
        <v>4000</v>
      </c>
      <c r="H6" s="8">
        <v>6</v>
      </c>
      <c r="I6" s="8">
        <f>G6*H6</f>
        <v>24000</v>
      </c>
      <c r="J6" s="17" t="s">
        <v>198</v>
      </c>
    </row>
    <row r="7" spans="1:12" ht="25.8" x14ac:dyDescent="0.5">
      <c r="B7" s="7">
        <v>42408</v>
      </c>
      <c r="C7" s="8" t="s">
        <v>20</v>
      </c>
      <c r="D7" s="8" t="s">
        <v>410</v>
      </c>
      <c r="E7" s="8">
        <v>1275</v>
      </c>
      <c r="F7" s="8">
        <v>1293</v>
      </c>
      <c r="G7" s="8">
        <v>750</v>
      </c>
      <c r="H7" s="8">
        <v>17</v>
      </c>
      <c r="I7" s="8">
        <f t="shared" ref="I7:I9" si="0">G7*H7</f>
        <v>12750</v>
      </c>
      <c r="J7" s="17" t="s">
        <v>270</v>
      </c>
    </row>
    <row r="8" spans="1:12" ht="25.8" x14ac:dyDescent="0.5">
      <c r="B8" s="7">
        <v>42410</v>
      </c>
      <c r="C8" s="8" t="s">
        <v>13</v>
      </c>
      <c r="D8" s="8" t="s">
        <v>92</v>
      </c>
      <c r="E8" s="8">
        <v>743</v>
      </c>
      <c r="F8" s="8">
        <v>705</v>
      </c>
      <c r="G8" s="8">
        <v>1400</v>
      </c>
      <c r="H8" s="8">
        <v>38</v>
      </c>
      <c r="I8" s="8">
        <f t="shared" si="0"/>
        <v>53200</v>
      </c>
      <c r="J8" s="17" t="s">
        <v>195</v>
      </c>
    </row>
    <row r="9" spans="1:12" ht="25.8" x14ac:dyDescent="0.5">
      <c r="B9" s="7">
        <v>42418</v>
      </c>
      <c r="C9" s="8" t="s">
        <v>13</v>
      </c>
      <c r="D9" s="8" t="s">
        <v>28</v>
      </c>
      <c r="E9" s="8">
        <v>198</v>
      </c>
      <c r="F9" s="8">
        <v>185</v>
      </c>
      <c r="G9" s="8">
        <v>3400</v>
      </c>
      <c r="H9" s="8">
        <v>13</v>
      </c>
      <c r="I9" s="8">
        <f t="shared" si="0"/>
        <v>44200</v>
      </c>
      <c r="J9" s="17" t="s">
        <v>195</v>
      </c>
    </row>
    <row r="10" spans="1:12" ht="25.8" x14ac:dyDescent="0.5">
      <c r="B10" s="7"/>
      <c r="C10" s="8"/>
      <c r="D10" s="8"/>
      <c r="E10" s="8"/>
      <c r="F10" s="8"/>
      <c r="G10" s="8"/>
      <c r="H10" s="8"/>
      <c r="I10" s="9"/>
      <c r="J10" s="17"/>
    </row>
    <row r="11" spans="1:12" ht="25.8" x14ac:dyDescent="0.5">
      <c r="B11" s="7"/>
      <c r="C11" s="8"/>
      <c r="D11" s="8"/>
      <c r="E11" s="8"/>
      <c r="F11" s="8"/>
      <c r="G11" s="8"/>
      <c r="H11" s="8"/>
      <c r="I11" s="9">
        <v>182150</v>
      </c>
      <c r="J11" s="17"/>
    </row>
    <row r="12" spans="1:12" ht="25.8" x14ac:dyDescent="0.5">
      <c r="B12" s="7"/>
      <c r="C12" s="8"/>
      <c r="D12" s="8"/>
      <c r="E12" s="8"/>
      <c r="F12" s="8"/>
      <c r="G12" s="8"/>
      <c r="H12" s="8"/>
      <c r="I12" s="9"/>
      <c r="J12" s="17"/>
    </row>
    <row r="14" spans="1:12" ht="15" thickBot="1" x14ac:dyDescent="0.35"/>
    <row r="15" spans="1:12" ht="16.2" thickBot="1" x14ac:dyDescent="0.35">
      <c r="B15" s="158" t="s">
        <v>407</v>
      </c>
      <c r="C15" s="158"/>
      <c r="D15" s="158"/>
      <c r="E15" s="158"/>
      <c r="F15" s="158"/>
      <c r="G15" s="158"/>
      <c r="H15" s="158"/>
      <c r="I15" s="158"/>
      <c r="J15" s="19"/>
    </row>
    <row r="16" spans="1:12" x14ac:dyDescent="0.3">
      <c r="B16" s="1" t="s">
        <v>1</v>
      </c>
      <c r="C16" s="2" t="s">
        <v>2</v>
      </c>
      <c r="D16" s="2" t="s">
        <v>3</v>
      </c>
      <c r="E16" s="3" t="s">
        <v>4</v>
      </c>
      <c r="F16" s="3" t="s">
        <v>5</v>
      </c>
      <c r="G16" s="3" t="s">
        <v>382</v>
      </c>
      <c r="H16" s="3" t="s">
        <v>381</v>
      </c>
      <c r="I16" s="3" t="s">
        <v>375</v>
      </c>
      <c r="J16" s="20" t="s">
        <v>200</v>
      </c>
    </row>
    <row r="17" spans="2:10" ht="25.8" x14ac:dyDescent="0.5">
      <c r="B17" s="13">
        <v>42401</v>
      </c>
      <c r="C17" s="8" t="s">
        <v>287</v>
      </c>
      <c r="D17" s="8" t="s">
        <v>30</v>
      </c>
      <c r="E17" s="8">
        <v>7580</v>
      </c>
      <c r="F17" s="8">
        <v>7400</v>
      </c>
      <c r="G17" s="8">
        <v>375</v>
      </c>
      <c r="H17" s="8">
        <v>180</v>
      </c>
      <c r="I17" s="8">
        <f>G17*H17</f>
        <v>67500</v>
      </c>
      <c r="J17" s="8" t="s">
        <v>195</v>
      </c>
    </row>
    <row r="18" spans="2:10" ht="25.8" x14ac:dyDescent="0.5">
      <c r="B18" s="13">
        <v>42408</v>
      </c>
      <c r="C18" s="8" t="s">
        <v>287</v>
      </c>
      <c r="D18" s="8" t="s">
        <v>30</v>
      </c>
      <c r="E18" s="8">
        <v>7450</v>
      </c>
      <c r="F18" s="8">
        <v>7270</v>
      </c>
      <c r="G18" s="8">
        <v>375</v>
      </c>
      <c r="H18" s="8">
        <v>180</v>
      </c>
      <c r="I18" s="8">
        <f t="shared" ref="I18:I20" si="1">G18*H18</f>
        <v>67500</v>
      </c>
      <c r="J18" s="8" t="s">
        <v>195</v>
      </c>
    </row>
    <row r="19" spans="2:10" ht="25.8" x14ac:dyDescent="0.5">
      <c r="B19" s="13">
        <v>42416</v>
      </c>
      <c r="C19" s="8" t="s">
        <v>287</v>
      </c>
      <c r="D19" s="8" t="s">
        <v>30</v>
      </c>
      <c r="E19" s="8">
        <v>7190</v>
      </c>
      <c r="F19" s="8">
        <v>7010</v>
      </c>
      <c r="G19" s="8">
        <v>375</v>
      </c>
      <c r="H19" s="8">
        <f>E19-F19</f>
        <v>180</v>
      </c>
      <c r="I19" s="8">
        <f t="shared" si="1"/>
        <v>67500</v>
      </c>
      <c r="J19" s="8" t="s">
        <v>195</v>
      </c>
    </row>
    <row r="20" spans="2:10" ht="25.8" x14ac:dyDescent="0.5">
      <c r="B20" s="7">
        <v>42423</v>
      </c>
      <c r="C20" s="8" t="s">
        <v>287</v>
      </c>
      <c r="D20" s="8" t="s">
        <v>30</v>
      </c>
      <c r="E20" s="8">
        <v>7150</v>
      </c>
      <c r="F20" s="8">
        <v>7000</v>
      </c>
      <c r="G20" s="8">
        <v>375</v>
      </c>
      <c r="H20" s="8">
        <v>150</v>
      </c>
      <c r="I20" s="8">
        <f t="shared" si="1"/>
        <v>56250</v>
      </c>
      <c r="J20" s="8" t="s">
        <v>195</v>
      </c>
    </row>
    <row r="21" spans="2:10" ht="25.8" x14ac:dyDescent="0.5">
      <c r="B21" s="7"/>
      <c r="C21" s="8"/>
      <c r="D21" s="8"/>
      <c r="E21" s="8"/>
      <c r="F21" s="8"/>
      <c r="G21" s="8"/>
      <c r="H21" s="8"/>
      <c r="I21" s="8"/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9">
        <f>SUM(I17:I21)</f>
        <v>258750</v>
      </c>
      <c r="J22" s="8"/>
    </row>
    <row r="23" spans="2:10" ht="25.8" x14ac:dyDescent="0.5">
      <c r="B23" s="7"/>
      <c r="C23" s="8"/>
      <c r="D23" s="8"/>
      <c r="E23" s="8"/>
      <c r="F23" s="8"/>
      <c r="G23" s="8"/>
      <c r="H23" s="8"/>
      <c r="I23" s="8"/>
      <c r="J23" s="8"/>
    </row>
    <row r="24" spans="2:10" ht="25.8" x14ac:dyDescent="0.5">
      <c r="I24" s="9"/>
    </row>
    <row r="25" spans="2:10" ht="15" thickBot="1" x14ac:dyDescent="0.35"/>
    <row r="26" spans="2:10" ht="16.2" thickBot="1" x14ac:dyDescent="0.35">
      <c r="B26" s="158" t="s">
        <v>408</v>
      </c>
      <c r="C26" s="158"/>
      <c r="D26" s="158"/>
      <c r="E26" s="158"/>
      <c r="F26" s="158"/>
      <c r="G26" s="158"/>
      <c r="H26" s="158"/>
      <c r="I26" s="158"/>
      <c r="J26" s="19"/>
    </row>
    <row r="27" spans="2:10" x14ac:dyDescent="0.3">
      <c r="B27" s="1" t="s">
        <v>1</v>
      </c>
      <c r="C27" s="2" t="s">
        <v>2</v>
      </c>
      <c r="D27" s="2" t="s">
        <v>3</v>
      </c>
      <c r="E27" s="3" t="s">
        <v>4</v>
      </c>
      <c r="F27" s="3" t="s">
        <v>5</v>
      </c>
      <c r="G27" s="3" t="s">
        <v>6</v>
      </c>
      <c r="H27" s="3" t="s">
        <v>381</v>
      </c>
      <c r="I27" s="3" t="s">
        <v>89</v>
      </c>
      <c r="J27" s="20" t="s">
        <v>200</v>
      </c>
    </row>
    <row r="28" spans="2:10" ht="25.8" x14ac:dyDescent="0.5">
      <c r="B28" s="13">
        <v>42401</v>
      </c>
      <c r="C28" s="8" t="s">
        <v>20</v>
      </c>
      <c r="D28" s="8" t="s">
        <v>405</v>
      </c>
      <c r="E28" s="8">
        <v>10</v>
      </c>
      <c r="F28" s="8">
        <v>18.5</v>
      </c>
      <c r="G28" s="8">
        <v>2000</v>
      </c>
      <c r="H28" s="8">
        <v>8.5</v>
      </c>
      <c r="I28" s="8">
        <f>G28*H28</f>
        <v>17000</v>
      </c>
      <c r="J28" s="8" t="s">
        <v>199</v>
      </c>
    </row>
    <row r="29" spans="2:10" ht="25.8" x14ac:dyDescent="0.5">
      <c r="B29" s="13">
        <v>42408</v>
      </c>
      <c r="C29" s="8" t="s">
        <v>8</v>
      </c>
      <c r="D29" s="8" t="s">
        <v>409</v>
      </c>
      <c r="E29" s="8">
        <v>30</v>
      </c>
      <c r="F29" s="8">
        <v>57</v>
      </c>
      <c r="G29" s="8">
        <v>800</v>
      </c>
      <c r="H29" s="8">
        <v>27</v>
      </c>
      <c r="I29" s="8">
        <f t="shared" ref="I29:I31" si="2">G29*H29</f>
        <v>21600</v>
      </c>
      <c r="J29" s="8" t="s">
        <v>195</v>
      </c>
    </row>
    <row r="30" spans="2:10" ht="25.8" x14ac:dyDescent="0.5">
      <c r="B30" s="13">
        <v>42416</v>
      </c>
      <c r="C30" s="8" t="s">
        <v>8</v>
      </c>
      <c r="D30" s="8" t="s">
        <v>411</v>
      </c>
      <c r="E30" s="8">
        <v>23</v>
      </c>
      <c r="F30" s="8">
        <v>35</v>
      </c>
      <c r="G30" s="8">
        <v>1200</v>
      </c>
      <c r="H30" s="8">
        <v>12</v>
      </c>
      <c r="I30" s="8">
        <f t="shared" si="2"/>
        <v>14400</v>
      </c>
      <c r="J30" s="8" t="s">
        <v>198</v>
      </c>
    </row>
    <row r="31" spans="2:10" ht="25.8" x14ac:dyDescent="0.5">
      <c r="B31" s="13">
        <v>42423</v>
      </c>
      <c r="C31" s="8" t="s">
        <v>8</v>
      </c>
      <c r="D31" s="8" t="s">
        <v>412</v>
      </c>
      <c r="E31" s="8">
        <v>24</v>
      </c>
      <c r="F31" s="8">
        <v>42</v>
      </c>
      <c r="G31" s="8">
        <v>700</v>
      </c>
      <c r="H31" s="8">
        <v>18</v>
      </c>
      <c r="I31" s="8">
        <f t="shared" si="2"/>
        <v>12600</v>
      </c>
      <c r="J31" s="8" t="s">
        <v>199</v>
      </c>
    </row>
    <row r="32" spans="2:10" ht="25.8" x14ac:dyDescent="0.5">
      <c r="B32" s="13"/>
      <c r="C32" s="8"/>
      <c r="D32" s="8"/>
      <c r="E32" s="8"/>
      <c r="F32" s="8"/>
      <c r="G32" s="8"/>
      <c r="H32" s="8"/>
      <c r="I32" s="8"/>
      <c r="J32" s="17"/>
    </row>
    <row r="33" spans="2:10" ht="25.8" x14ac:dyDescent="0.5">
      <c r="B33" s="7"/>
      <c r="C33" s="8"/>
      <c r="D33" s="8"/>
      <c r="E33" s="8"/>
      <c r="F33" s="8"/>
      <c r="G33" s="8"/>
      <c r="H33" s="8"/>
      <c r="I33" s="9">
        <f>SUM(I28:I32)</f>
        <v>65600</v>
      </c>
      <c r="J33" s="8"/>
    </row>
    <row r="34" spans="2:10" ht="25.8" x14ac:dyDescent="0.5">
      <c r="B34" s="13"/>
      <c r="C34" s="8"/>
      <c r="D34" s="8"/>
      <c r="E34" s="8"/>
      <c r="F34" s="8"/>
      <c r="G34" s="8"/>
      <c r="H34" s="8"/>
      <c r="I34" s="8"/>
      <c r="J34" s="8"/>
    </row>
    <row r="35" spans="2:10" ht="25.8" x14ac:dyDescent="0.5">
      <c r="B35" s="13"/>
      <c r="C35" s="8"/>
      <c r="D35" s="8"/>
      <c r="E35" s="8"/>
      <c r="F35" s="8"/>
      <c r="G35" s="8"/>
      <c r="H35" s="8"/>
      <c r="I35" s="9"/>
      <c r="J35" s="8"/>
    </row>
    <row r="36" spans="2:10" ht="25.8" x14ac:dyDescent="0.5">
      <c r="B36" s="13"/>
      <c r="C36" s="8"/>
      <c r="D36" s="8"/>
      <c r="E36" s="8"/>
      <c r="F36" s="8"/>
      <c r="G36" s="8"/>
      <c r="H36" s="8"/>
      <c r="I36" s="9"/>
      <c r="J36" s="8"/>
    </row>
    <row r="37" spans="2:10" ht="25.8" x14ac:dyDescent="0.5">
      <c r="I37" s="9"/>
      <c r="J37" s="9"/>
    </row>
  </sheetData>
  <mergeCells count="5">
    <mergeCell ref="B1:I1"/>
    <mergeCell ref="B2:I2"/>
    <mergeCell ref="B3:I3"/>
    <mergeCell ref="B15:I15"/>
    <mergeCell ref="B26:I26"/>
  </mergeCells>
  <hyperlinks>
    <hyperlink ref="L2" location="'Home Page'!A1" display="Back" xr:uid="{00000000-0004-0000-23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L37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9.554687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414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42433</v>
      </c>
      <c r="C5" s="8" t="s">
        <v>13</v>
      </c>
      <c r="D5" s="8" t="s">
        <v>28</v>
      </c>
      <c r="E5" s="8">
        <v>220</v>
      </c>
      <c r="F5" s="8">
        <v>210</v>
      </c>
      <c r="G5" s="8">
        <v>3400</v>
      </c>
      <c r="H5" s="8">
        <v>10</v>
      </c>
      <c r="I5" s="8">
        <f>G5*H5</f>
        <v>34000</v>
      </c>
      <c r="J5" s="17" t="s">
        <v>199</v>
      </c>
    </row>
    <row r="6" spans="1:12" ht="25.8" x14ac:dyDescent="0.5">
      <c r="B6" s="7">
        <v>42445</v>
      </c>
      <c r="C6" s="8" t="s">
        <v>13</v>
      </c>
      <c r="D6" s="8" t="s">
        <v>418</v>
      </c>
      <c r="E6" s="8">
        <v>187</v>
      </c>
      <c r="F6" s="8">
        <v>186</v>
      </c>
      <c r="G6" s="8">
        <v>4000</v>
      </c>
      <c r="H6" s="8">
        <v>1</v>
      </c>
      <c r="I6" s="8">
        <f>G6*H6</f>
        <v>4000</v>
      </c>
      <c r="J6" s="17" t="s">
        <v>5</v>
      </c>
    </row>
    <row r="7" spans="1:12" ht="25.8" x14ac:dyDescent="0.5">
      <c r="B7" s="7">
        <v>42446</v>
      </c>
      <c r="C7" s="8" t="s">
        <v>13</v>
      </c>
      <c r="D7" s="8" t="s">
        <v>420</v>
      </c>
      <c r="E7" s="8">
        <v>1710</v>
      </c>
      <c r="F7" s="8">
        <v>1640</v>
      </c>
      <c r="G7" s="8">
        <v>600</v>
      </c>
      <c r="H7" s="8">
        <v>70</v>
      </c>
      <c r="I7" s="8">
        <f t="shared" ref="I7:I9" si="0">G7*H7</f>
        <v>42000</v>
      </c>
      <c r="J7" s="17" t="s">
        <v>195</v>
      </c>
    </row>
    <row r="8" spans="1:12" ht="25.8" x14ac:dyDescent="0.5">
      <c r="B8" s="7">
        <v>42447</v>
      </c>
      <c r="C8" s="8" t="s">
        <v>13</v>
      </c>
      <c r="D8" s="8" t="s">
        <v>422</v>
      </c>
      <c r="E8" s="8">
        <v>925</v>
      </c>
      <c r="F8" s="8">
        <v>960</v>
      </c>
      <c r="G8" s="8">
        <v>750</v>
      </c>
      <c r="H8" s="8">
        <v>-35</v>
      </c>
      <c r="I8" s="8">
        <f t="shared" si="0"/>
        <v>-26250</v>
      </c>
      <c r="J8" s="17" t="s">
        <v>197</v>
      </c>
    </row>
    <row r="9" spans="1:12" ht="25.8" x14ac:dyDescent="0.5">
      <c r="B9" s="7">
        <v>42451</v>
      </c>
      <c r="C9" s="8" t="s">
        <v>13</v>
      </c>
      <c r="D9" s="8" t="s">
        <v>28</v>
      </c>
      <c r="E9" s="8">
        <v>234</v>
      </c>
      <c r="F9" s="8">
        <v>225</v>
      </c>
      <c r="G9" s="8">
        <v>3400</v>
      </c>
      <c r="H9" s="8">
        <v>11</v>
      </c>
      <c r="I9" s="8">
        <f t="shared" si="0"/>
        <v>37400</v>
      </c>
      <c r="J9" s="17" t="s">
        <v>195</v>
      </c>
    </row>
    <row r="10" spans="1:12" ht="25.8" x14ac:dyDescent="0.5">
      <c r="B10" s="7"/>
      <c r="C10" s="8"/>
      <c r="D10" s="8"/>
      <c r="E10" s="8"/>
      <c r="F10" s="8"/>
      <c r="G10" s="8"/>
      <c r="H10" s="8"/>
      <c r="I10" s="9"/>
      <c r="J10" s="17"/>
    </row>
    <row r="11" spans="1:12" ht="25.8" x14ac:dyDescent="0.5">
      <c r="B11" s="7"/>
      <c r="C11" s="8"/>
      <c r="D11" s="8"/>
      <c r="E11" s="8"/>
      <c r="F11" s="8"/>
      <c r="G11" s="8"/>
      <c r="H11" s="8"/>
      <c r="I11" s="9">
        <f>SUM(I5:I9)</f>
        <v>91150</v>
      </c>
      <c r="J11" s="17"/>
    </row>
    <row r="12" spans="1:12" ht="25.8" x14ac:dyDescent="0.5">
      <c r="B12" s="7"/>
      <c r="C12" s="8"/>
      <c r="D12" s="8"/>
      <c r="E12" s="8" t="s">
        <v>421</v>
      </c>
      <c r="F12" s="8"/>
      <c r="G12" s="8"/>
      <c r="H12" s="8"/>
      <c r="I12" s="9"/>
      <c r="J12" s="17"/>
    </row>
    <row r="14" spans="1:12" ht="15" thickBot="1" x14ac:dyDescent="0.35"/>
    <row r="15" spans="1:12" ht="16.2" thickBot="1" x14ac:dyDescent="0.35">
      <c r="B15" s="158" t="s">
        <v>415</v>
      </c>
      <c r="C15" s="158"/>
      <c r="D15" s="158"/>
      <c r="E15" s="158"/>
      <c r="F15" s="158"/>
      <c r="G15" s="158"/>
      <c r="H15" s="158"/>
      <c r="I15" s="158"/>
      <c r="J15" s="19"/>
    </row>
    <row r="16" spans="1:12" x14ac:dyDescent="0.3">
      <c r="B16" s="1" t="s">
        <v>1</v>
      </c>
      <c r="C16" s="2" t="s">
        <v>2</v>
      </c>
      <c r="D16" s="2" t="s">
        <v>3</v>
      </c>
      <c r="E16" s="3" t="s">
        <v>4</v>
      </c>
      <c r="F16" s="3" t="s">
        <v>5</v>
      </c>
      <c r="G16" s="3" t="s">
        <v>382</v>
      </c>
      <c r="H16" s="3" t="s">
        <v>381</v>
      </c>
      <c r="I16" s="3" t="s">
        <v>375</v>
      </c>
      <c r="J16" s="20" t="s">
        <v>200</v>
      </c>
    </row>
    <row r="17" spans="2:10" ht="25.8" x14ac:dyDescent="0.5">
      <c r="B17" s="13">
        <v>42430</v>
      </c>
      <c r="C17" s="8" t="s">
        <v>13</v>
      </c>
      <c r="D17" s="8" t="s">
        <v>30</v>
      </c>
      <c r="E17" s="8">
        <v>7230</v>
      </c>
      <c r="F17" s="8">
        <v>7300</v>
      </c>
      <c r="G17" s="8">
        <v>375</v>
      </c>
      <c r="H17" s="8">
        <v>-70</v>
      </c>
      <c r="I17" s="8">
        <f>G17*H17</f>
        <v>-26250</v>
      </c>
      <c r="J17" s="8" t="s">
        <v>197</v>
      </c>
    </row>
    <row r="18" spans="2:10" ht="25.8" x14ac:dyDescent="0.5">
      <c r="B18" s="13">
        <v>42432</v>
      </c>
      <c r="C18" s="8" t="s">
        <v>20</v>
      </c>
      <c r="D18" s="8" t="s">
        <v>30</v>
      </c>
      <c r="E18" s="8">
        <v>7400</v>
      </c>
      <c r="F18" s="8">
        <v>7493</v>
      </c>
      <c r="G18" s="8">
        <v>375</v>
      </c>
      <c r="H18" s="8">
        <v>93</v>
      </c>
      <c r="I18" s="8">
        <f t="shared" ref="I18:I21" si="1">G18*H18</f>
        <v>34875</v>
      </c>
      <c r="J18" s="8" t="s">
        <v>198</v>
      </c>
    </row>
    <row r="19" spans="2:10" ht="25.8" x14ac:dyDescent="0.5">
      <c r="B19" s="13">
        <v>42437</v>
      </c>
      <c r="C19" s="8" t="s">
        <v>13</v>
      </c>
      <c r="D19" s="8" t="s">
        <v>30</v>
      </c>
      <c r="E19" s="8">
        <v>7450</v>
      </c>
      <c r="F19" s="8">
        <v>7410</v>
      </c>
      <c r="G19" s="8">
        <v>375</v>
      </c>
      <c r="H19" s="8">
        <v>40</v>
      </c>
      <c r="I19" s="8">
        <f t="shared" si="1"/>
        <v>15000</v>
      </c>
      <c r="J19" s="8" t="s">
        <v>270</v>
      </c>
    </row>
    <row r="20" spans="2:10" ht="25.8" x14ac:dyDescent="0.5">
      <c r="B20" s="7">
        <v>42078</v>
      </c>
      <c r="C20" s="8" t="s">
        <v>13</v>
      </c>
      <c r="D20" s="8" t="s">
        <v>30</v>
      </c>
      <c r="E20" s="8">
        <v>7520</v>
      </c>
      <c r="F20" s="8">
        <v>7440</v>
      </c>
      <c r="G20" s="8">
        <v>375</v>
      </c>
      <c r="H20" s="8">
        <v>80</v>
      </c>
      <c r="I20" s="8">
        <f t="shared" si="1"/>
        <v>30000</v>
      </c>
      <c r="J20" s="8" t="s">
        <v>198</v>
      </c>
    </row>
    <row r="21" spans="2:10" ht="25.8" x14ac:dyDescent="0.5">
      <c r="B21" s="7">
        <v>42447</v>
      </c>
      <c r="C21" s="8" t="s">
        <v>8</v>
      </c>
      <c r="D21" s="8" t="s">
        <v>30</v>
      </c>
      <c r="E21" s="8">
        <v>7590</v>
      </c>
      <c r="F21" s="8">
        <v>7720</v>
      </c>
      <c r="G21" s="8">
        <v>375</v>
      </c>
      <c r="H21" s="8">
        <v>130</v>
      </c>
      <c r="I21" s="8">
        <f t="shared" si="1"/>
        <v>48750</v>
      </c>
      <c r="J21" s="8" t="s">
        <v>195</v>
      </c>
    </row>
    <row r="22" spans="2:10" ht="25.8" x14ac:dyDescent="0.5">
      <c r="B22" s="7"/>
      <c r="C22" s="8"/>
      <c r="D22" s="8"/>
      <c r="E22" s="8"/>
      <c r="F22" s="8"/>
      <c r="G22" s="8"/>
      <c r="H22" s="8"/>
      <c r="I22" s="9">
        <f>SUM(I17:I21)</f>
        <v>102375</v>
      </c>
      <c r="J22" s="8"/>
    </row>
    <row r="23" spans="2:10" ht="25.8" x14ac:dyDescent="0.5">
      <c r="B23" s="7"/>
      <c r="C23" s="8"/>
      <c r="D23" s="8"/>
      <c r="E23" s="8"/>
      <c r="F23" s="8"/>
      <c r="G23" s="8"/>
      <c r="H23" s="8"/>
      <c r="I23" s="8"/>
      <c r="J23" s="8"/>
    </row>
    <row r="24" spans="2:10" ht="25.8" x14ac:dyDescent="0.5">
      <c r="I24" s="9"/>
    </row>
    <row r="25" spans="2:10" ht="15" thickBot="1" x14ac:dyDescent="0.35"/>
    <row r="26" spans="2:10" ht="16.2" thickBot="1" x14ac:dyDescent="0.35">
      <c r="B26" s="158" t="s">
        <v>416</v>
      </c>
      <c r="C26" s="158"/>
      <c r="D26" s="158"/>
      <c r="E26" s="158"/>
      <c r="F26" s="158"/>
      <c r="G26" s="158"/>
      <c r="H26" s="158"/>
      <c r="I26" s="158"/>
      <c r="J26" s="19"/>
    </row>
    <row r="27" spans="2:10" x14ac:dyDescent="0.3">
      <c r="B27" s="1" t="s">
        <v>1</v>
      </c>
      <c r="C27" s="2" t="s">
        <v>2</v>
      </c>
      <c r="D27" s="2" t="s">
        <v>3</v>
      </c>
      <c r="E27" s="3" t="s">
        <v>4</v>
      </c>
      <c r="F27" s="3" t="s">
        <v>5</v>
      </c>
      <c r="G27" s="3" t="s">
        <v>6</v>
      </c>
      <c r="H27" s="3" t="s">
        <v>381</v>
      </c>
      <c r="I27" s="3" t="s">
        <v>89</v>
      </c>
      <c r="J27" s="20" t="s">
        <v>200</v>
      </c>
    </row>
    <row r="28" spans="2:10" ht="25.8" x14ac:dyDescent="0.5">
      <c r="B28" s="13">
        <v>42430</v>
      </c>
      <c r="C28" s="8" t="s">
        <v>20</v>
      </c>
      <c r="D28" s="8" t="s">
        <v>413</v>
      </c>
      <c r="E28" s="8">
        <v>6</v>
      </c>
      <c r="F28" s="8">
        <v>3</v>
      </c>
      <c r="G28" s="8">
        <v>2000</v>
      </c>
      <c r="H28" s="8">
        <v>-3</v>
      </c>
      <c r="I28" s="8">
        <f>G28*H28</f>
        <v>-6000</v>
      </c>
      <c r="J28" s="8" t="s">
        <v>197</v>
      </c>
    </row>
    <row r="29" spans="2:10" ht="25.8" x14ac:dyDescent="0.5">
      <c r="B29" s="13">
        <v>42433</v>
      </c>
      <c r="C29" s="8" t="s">
        <v>8</v>
      </c>
      <c r="D29" s="8" t="s">
        <v>360</v>
      </c>
      <c r="E29" s="8">
        <v>25</v>
      </c>
      <c r="F29" s="8">
        <v>32</v>
      </c>
      <c r="G29" s="8">
        <v>1400</v>
      </c>
      <c r="H29" s="8">
        <v>7</v>
      </c>
      <c r="I29" s="8">
        <f t="shared" ref="I29:I32" si="2">G29*H29</f>
        <v>9800</v>
      </c>
      <c r="J29" s="8" t="s">
        <v>198</v>
      </c>
    </row>
    <row r="30" spans="2:10" ht="25.8" x14ac:dyDescent="0.5">
      <c r="B30" s="13">
        <v>42444</v>
      </c>
      <c r="C30" s="8" t="s">
        <v>8</v>
      </c>
      <c r="D30" s="8" t="s">
        <v>417</v>
      </c>
      <c r="E30" s="8">
        <v>8</v>
      </c>
      <c r="F30" s="8">
        <v>10.199999999999999</v>
      </c>
      <c r="G30" s="8">
        <v>3400</v>
      </c>
      <c r="H30" s="8">
        <v>2.2000000000000002</v>
      </c>
      <c r="I30" s="8">
        <f t="shared" si="2"/>
        <v>7480.0000000000009</v>
      </c>
      <c r="J30" s="8" t="s">
        <v>270</v>
      </c>
    </row>
    <row r="31" spans="2:10" ht="25.8" x14ac:dyDescent="0.5">
      <c r="B31" s="13">
        <v>42446</v>
      </c>
      <c r="C31" s="8" t="s">
        <v>8</v>
      </c>
      <c r="D31" s="8" t="s">
        <v>419</v>
      </c>
      <c r="E31" s="8">
        <v>34</v>
      </c>
      <c r="F31" s="8">
        <v>70</v>
      </c>
      <c r="G31" s="8">
        <v>600</v>
      </c>
      <c r="H31" s="8">
        <v>36</v>
      </c>
      <c r="I31" s="8">
        <f t="shared" si="2"/>
        <v>21600</v>
      </c>
      <c r="J31" s="8" t="s">
        <v>195</v>
      </c>
    </row>
    <row r="32" spans="2:10" ht="25.8" x14ac:dyDescent="0.5">
      <c r="B32" s="13">
        <v>42451</v>
      </c>
      <c r="C32" s="8" t="s">
        <v>8</v>
      </c>
      <c r="D32" s="8" t="s">
        <v>423</v>
      </c>
      <c r="E32" s="8">
        <v>10</v>
      </c>
      <c r="F32" s="8">
        <v>5</v>
      </c>
      <c r="G32" s="8">
        <v>2100</v>
      </c>
      <c r="H32" s="8">
        <v>-5</v>
      </c>
      <c r="I32" s="8">
        <f t="shared" si="2"/>
        <v>-10500</v>
      </c>
      <c r="J32" s="17" t="s">
        <v>197</v>
      </c>
    </row>
    <row r="33" spans="2:10" ht="25.8" x14ac:dyDescent="0.5">
      <c r="B33" s="7"/>
      <c r="C33" s="8"/>
      <c r="D33" s="8"/>
      <c r="E33" s="8"/>
      <c r="F33" s="8"/>
      <c r="G33" s="8"/>
      <c r="H33" s="8"/>
      <c r="I33" s="9">
        <f>SUM(I28:I32)</f>
        <v>22380</v>
      </c>
      <c r="J33" s="8"/>
    </row>
    <row r="34" spans="2:10" ht="25.8" x14ac:dyDescent="0.5">
      <c r="B34" s="13"/>
      <c r="C34" s="8"/>
      <c r="D34" s="8"/>
      <c r="E34" s="8"/>
      <c r="F34" s="8"/>
      <c r="G34" s="8"/>
      <c r="H34" s="8"/>
      <c r="I34" s="8"/>
      <c r="J34" s="8"/>
    </row>
    <row r="35" spans="2:10" ht="25.8" x14ac:dyDescent="0.5">
      <c r="B35" s="13"/>
      <c r="C35" s="8"/>
      <c r="D35" s="8"/>
      <c r="E35" s="8"/>
      <c r="F35" s="8"/>
      <c r="G35" s="8"/>
      <c r="H35" s="8"/>
      <c r="I35" s="9"/>
      <c r="J35" s="8"/>
    </row>
    <row r="36" spans="2:10" ht="25.8" x14ac:dyDescent="0.5">
      <c r="B36" s="13"/>
      <c r="C36" s="8"/>
      <c r="D36" s="8"/>
      <c r="E36" s="8"/>
      <c r="F36" s="8"/>
      <c r="G36" s="8"/>
      <c r="H36" s="8"/>
      <c r="I36" s="9"/>
      <c r="J36" s="8"/>
    </row>
    <row r="37" spans="2:10" ht="25.8" x14ac:dyDescent="0.5">
      <c r="I37" s="9"/>
      <c r="J37" s="9"/>
    </row>
  </sheetData>
  <mergeCells count="5">
    <mergeCell ref="B1:I1"/>
    <mergeCell ref="B2:I2"/>
    <mergeCell ref="B3:I3"/>
    <mergeCell ref="B15:I15"/>
    <mergeCell ref="B26:I26"/>
  </mergeCells>
  <hyperlinks>
    <hyperlink ref="L2" location="'Home Page'!A1" display="Back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L36"/>
  <sheetViews>
    <sheetView workbookViewId="0">
      <selection activeCell="L2" sqref="L2"/>
    </sheetView>
  </sheetViews>
  <sheetFormatPr defaultColWidth="8.6640625"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6.44140625" bestFit="1" customWidth="1"/>
    <col min="5" max="5" width="9.5546875" bestFit="1" customWidth="1"/>
    <col min="6" max="7" width="11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8.664062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424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42465</v>
      </c>
      <c r="C5" s="8" t="s">
        <v>13</v>
      </c>
      <c r="D5" s="8" t="s">
        <v>11</v>
      </c>
      <c r="E5" s="8">
        <v>187</v>
      </c>
      <c r="F5" s="8">
        <v>181</v>
      </c>
      <c r="G5" s="8">
        <v>4000</v>
      </c>
      <c r="H5" s="8">
        <v>6</v>
      </c>
      <c r="I5" s="8">
        <f>G5*H5</f>
        <v>24000</v>
      </c>
      <c r="J5" s="17" t="s">
        <v>199</v>
      </c>
    </row>
    <row r="6" spans="1:12" ht="25.8" x14ac:dyDescent="0.5">
      <c r="B6" s="7">
        <v>42467</v>
      </c>
      <c r="C6" s="8" t="s">
        <v>20</v>
      </c>
      <c r="D6" s="8" t="s">
        <v>430</v>
      </c>
      <c r="E6" s="8">
        <v>620</v>
      </c>
      <c r="F6" s="8">
        <v>640</v>
      </c>
      <c r="G6" s="8">
        <v>1800</v>
      </c>
      <c r="H6" s="8">
        <v>20</v>
      </c>
      <c r="I6" s="8">
        <f>H6*G6</f>
        <v>36000</v>
      </c>
      <c r="J6" s="17" t="s">
        <v>198</v>
      </c>
    </row>
    <row r="7" spans="1:12" ht="25.8" x14ac:dyDescent="0.5">
      <c r="B7" s="7">
        <v>42468</v>
      </c>
      <c r="C7" s="8" t="s">
        <v>20</v>
      </c>
      <c r="D7" s="8" t="s">
        <v>428</v>
      </c>
      <c r="E7" s="8">
        <v>119</v>
      </c>
      <c r="F7" s="8">
        <v>129.5</v>
      </c>
      <c r="G7" s="8">
        <v>10000</v>
      </c>
      <c r="H7" s="8">
        <v>10.5</v>
      </c>
      <c r="I7" s="8">
        <f>H7*G7</f>
        <v>105000</v>
      </c>
      <c r="J7" s="17" t="s">
        <v>195</v>
      </c>
    </row>
    <row r="8" spans="1:12" ht="25.8" x14ac:dyDescent="0.5">
      <c r="B8" s="7">
        <v>42478</v>
      </c>
      <c r="C8" s="8" t="s">
        <v>8</v>
      </c>
      <c r="D8" s="8" t="s">
        <v>9</v>
      </c>
      <c r="E8" s="8">
        <v>517</v>
      </c>
      <c r="F8" s="8">
        <v>535</v>
      </c>
      <c r="G8" s="8">
        <v>1600</v>
      </c>
      <c r="H8" s="8">
        <v>18</v>
      </c>
      <c r="I8" s="8">
        <f t="shared" ref="I8:I9" si="0">H8*G8</f>
        <v>28800</v>
      </c>
      <c r="J8" s="17" t="s">
        <v>199</v>
      </c>
    </row>
    <row r="9" spans="1:12" ht="25.8" x14ac:dyDescent="0.5">
      <c r="B9" s="7">
        <v>42481</v>
      </c>
      <c r="C9" s="8" t="s">
        <v>13</v>
      </c>
      <c r="D9" s="8" t="s">
        <v>92</v>
      </c>
      <c r="E9" s="8">
        <v>892</v>
      </c>
      <c r="F9" s="8">
        <v>875</v>
      </c>
      <c r="G9" s="8">
        <v>1400</v>
      </c>
      <c r="H9" s="8">
        <v>17</v>
      </c>
      <c r="I9" s="8">
        <f t="shared" si="0"/>
        <v>23800</v>
      </c>
      <c r="J9" s="17" t="s">
        <v>199</v>
      </c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217600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425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42465</v>
      </c>
      <c r="C16" s="8" t="s">
        <v>13</v>
      </c>
      <c r="D16" s="8" t="s">
        <v>30</v>
      </c>
      <c r="E16" s="8">
        <v>7710</v>
      </c>
      <c r="F16" s="8">
        <v>7570</v>
      </c>
      <c r="G16" s="8">
        <v>375</v>
      </c>
      <c r="H16" s="8">
        <v>140</v>
      </c>
      <c r="I16" s="8">
        <f>G16*H16</f>
        <v>52500</v>
      </c>
      <c r="J16" s="8" t="s">
        <v>199</v>
      </c>
    </row>
    <row r="17" spans="2:10" ht="25.8" x14ac:dyDescent="0.5">
      <c r="B17" s="13">
        <v>42471</v>
      </c>
      <c r="C17" s="8" t="s">
        <v>13</v>
      </c>
      <c r="D17" s="8" t="s">
        <v>30</v>
      </c>
      <c r="E17" s="8">
        <v>7650</v>
      </c>
      <c r="F17" s="8">
        <v>7720</v>
      </c>
      <c r="G17" s="8">
        <v>375</v>
      </c>
      <c r="H17" s="8">
        <v>-70</v>
      </c>
      <c r="I17" s="8">
        <f t="shared" ref="I17:I20" si="1">G17*H17</f>
        <v>-26250</v>
      </c>
      <c r="J17" s="8" t="s">
        <v>197</v>
      </c>
    </row>
    <row r="18" spans="2:10" ht="25.8" x14ac:dyDescent="0.5">
      <c r="B18" s="13">
        <v>42482</v>
      </c>
      <c r="C18" s="8" t="s">
        <v>13</v>
      </c>
      <c r="D18" s="8" t="s">
        <v>30</v>
      </c>
      <c r="E18" s="8">
        <v>7900</v>
      </c>
      <c r="F18" s="8">
        <v>7830</v>
      </c>
      <c r="G18" s="8">
        <v>375</v>
      </c>
      <c r="H18" s="8">
        <v>70</v>
      </c>
      <c r="I18" s="8">
        <f t="shared" si="1"/>
        <v>26250</v>
      </c>
      <c r="J18" s="8" t="s">
        <v>198</v>
      </c>
    </row>
    <row r="19" spans="2:10" ht="25.8" x14ac:dyDescent="0.5">
      <c r="B19" s="7">
        <v>42485</v>
      </c>
      <c r="C19" s="8" t="s">
        <v>20</v>
      </c>
      <c r="D19" s="8" t="s">
        <v>30</v>
      </c>
      <c r="E19" s="8">
        <v>7860</v>
      </c>
      <c r="F19" s="8">
        <v>8000</v>
      </c>
      <c r="G19" s="8">
        <v>375</v>
      </c>
      <c r="H19" s="8">
        <v>140</v>
      </c>
      <c r="I19" s="8">
        <f t="shared" si="1"/>
        <v>52500</v>
      </c>
      <c r="J19" s="8" t="s">
        <v>195</v>
      </c>
    </row>
    <row r="20" spans="2:10" ht="25.8" x14ac:dyDescent="0.5">
      <c r="B20" s="7">
        <v>42488</v>
      </c>
      <c r="C20" s="8" t="s">
        <v>13</v>
      </c>
      <c r="D20" s="8" t="s">
        <v>30</v>
      </c>
      <c r="E20" s="8">
        <v>7950</v>
      </c>
      <c r="F20" s="8">
        <v>7910</v>
      </c>
      <c r="G20" s="8">
        <v>375</v>
      </c>
      <c r="H20" s="8">
        <v>40</v>
      </c>
      <c r="I20" s="8">
        <f t="shared" si="1"/>
        <v>15000</v>
      </c>
      <c r="J20" s="8" t="s">
        <v>270</v>
      </c>
    </row>
    <row r="21" spans="2:10" ht="25.8" x14ac:dyDescent="0.5">
      <c r="B21" s="7"/>
      <c r="C21" s="8"/>
      <c r="D21" s="8"/>
      <c r="E21" s="8"/>
      <c r="F21" s="8"/>
      <c r="G21" s="8"/>
      <c r="H21" s="8"/>
      <c r="I21" s="9">
        <f>SUM(I16:I20)</f>
        <v>120000</v>
      </c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I23" s="9"/>
    </row>
    <row r="24" spans="2:10" ht="15" thickBot="1" x14ac:dyDescent="0.35"/>
    <row r="25" spans="2:10" ht="16.2" thickBot="1" x14ac:dyDescent="0.35">
      <c r="B25" s="158" t="s">
        <v>426</v>
      </c>
      <c r="C25" s="158"/>
      <c r="D25" s="158"/>
      <c r="E25" s="158"/>
      <c r="F25" s="158"/>
      <c r="G25" s="158"/>
      <c r="H25" s="158"/>
      <c r="I25" s="158"/>
      <c r="J25" s="19"/>
    </row>
    <row r="26" spans="2:10" x14ac:dyDescent="0.3">
      <c r="B26" s="1" t="s">
        <v>1</v>
      </c>
      <c r="C26" s="2" t="s">
        <v>2</v>
      </c>
      <c r="D26" s="2" t="s">
        <v>3</v>
      </c>
      <c r="E26" s="3" t="s">
        <v>4</v>
      </c>
      <c r="F26" s="3" t="s">
        <v>5</v>
      </c>
      <c r="G26" s="3" t="s">
        <v>6</v>
      </c>
      <c r="H26" s="3" t="s">
        <v>381</v>
      </c>
      <c r="I26" s="3" t="s">
        <v>89</v>
      </c>
      <c r="J26" s="20" t="s">
        <v>200</v>
      </c>
    </row>
    <row r="27" spans="2:10" ht="25.8" x14ac:dyDescent="0.5">
      <c r="B27" s="13">
        <v>42095</v>
      </c>
      <c r="C27" s="8" t="s">
        <v>20</v>
      </c>
      <c r="D27" s="8" t="s">
        <v>427</v>
      </c>
      <c r="E27" s="8">
        <v>14</v>
      </c>
      <c r="F27" s="8">
        <v>19.5</v>
      </c>
      <c r="G27" s="8">
        <v>3000</v>
      </c>
      <c r="H27" s="8">
        <v>5.5</v>
      </c>
      <c r="I27" s="8">
        <f>G27*H27</f>
        <v>16500</v>
      </c>
      <c r="J27" s="8" t="s">
        <v>198</v>
      </c>
    </row>
    <row r="28" spans="2:10" ht="25.8" x14ac:dyDescent="0.5">
      <c r="B28" s="13">
        <v>42468</v>
      </c>
      <c r="C28" s="8" t="s">
        <v>8</v>
      </c>
      <c r="D28" s="8" t="s">
        <v>429</v>
      </c>
      <c r="E28" s="8">
        <v>6</v>
      </c>
      <c r="F28" s="8">
        <v>8</v>
      </c>
      <c r="G28" s="8">
        <v>3200</v>
      </c>
      <c r="H28" s="8">
        <v>2</v>
      </c>
      <c r="I28" s="8">
        <f t="shared" ref="I28:I31" si="2">G28*H28</f>
        <v>6400</v>
      </c>
      <c r="J28" s="8" t="s">
        <v>262</v>
      </c>
    </row>
    <row r="29" spans="2:10" ht="25.8" x14ac:dyDescent="0.5">
      <c r="B29" s="13">
        <v>42471</v>
      </c>
      <c r="C29" s="8" t="s">
        <v>8</v>
      </c>
      <c r="D29" s="8" t="s">
        <v>431</v>
      </c>
      <c r="E29" s="8">
        <v>35</v>
      </c>
      <c r="F29" s="8">
        <v>50</v>
      </c>
      <c r="G29" s="8">
        <v>1000</v>
      </c>
      <c r="H29" s="8">
        <v>15</v>
      </c>
      <c r="I29" s="8">
        <f t="shared" si="2"/>
        <v>15000</v>
      </c>
      <c r="J29" s="8" t="s">
        <v>198</v>
      </c>
    </row>
    <row r="30" spans="2:10" ht="25.8" x14ac:dyDescent="0.5">
      <c r="B30" s="13">
        <v>42473</v>
      </c>
      <c r="C30" s="8" t="s">
        <v>8</v>
      </c>
      <c r="D30" s="8" t="s">
        <v>432</v>
      </c>
      <c r="E30" s="8">
        <v>37</v>
      </c>
      <c r="F30" s="8">
        <v>55</v>
      </c>
      <c r="G30" s="8">
        <v>600</v>
      </c>
      <c r="H30" s="8">
        <v>18</v>
      </c>
      <c r="I30" s="8">
        <f t="shared" si="2"/>
        <v>10800</v>
      </c>
      <c r="J30" s="8" t="s">
        <v>198</v>
      </c>
    </row>
    <row r="31" spans="2:10" ht="25.8" x14ac:dyDescent="0.5">
      <c r="B31" s="13">
        <v>42482</v>
      </c>
      <c r="C31" s="8" t="s">
        <v>8</v>
      </c>
      <c r="D31" s="8" t="s">
        <v>433</v>
      </c>
      <c r="E31" s="8">
        <v>14</v>
      </c>
      <c r="F31" s="8">
        <v>18</v>
      </c>
      <c r="G31" s="8">
        <v>1400</v>
      </c>
      <c r="H31" s="8">
        <v>4</v>
      </c>
      <c r="I31" s="8">
        <f t="shared" si="2"/>
        <v>5600</v>
      </c>
      <c r="J31" s="17" t="s">
        <v>270</v>
      </c>
    </row>
    <row r="32" spans="2:10" ht="25.8" x14ac:dyDescent="0.5">
      <c r="B32" s="7"/>
      <c r="C32" s="8"/>
      <c r="D32" s="8"/>
      <c r="E32" s="8"/>
      <c r="F32" s="8"/>
      <c r="G32" s="8"/>
      <c r="H32" s="8"/>
      <c r="I32" s="9">
        <f>SUM(I27:I31)</f>
        <v>54300</v>
      </c>
      <c r="J32" s="8"/>
    </row>
    <row r="33" spans="2:10" ht="25.8" x14ac:dyDescent="0.5">
      <c r="B33" s="13"/>
      <c r="C33" s="8"/>
      <c r="D33" s="8"/>
      <c r="E33" s="8"/>
      <c r="F33" s="8"/>
      <c r="G33" s="8"/>
      <c r="H33" s="8"/>
      <c r="I33" s="8"/>
      <c r="J33" s="8"/>
    </row>
    <row r="34" spans="2:10" ht="25.8" x14ac:dyDescent="0.5">
      <c r="B34" s="13"/>
      <c r="C34" s="8"/>
      <c r="D34" s="8"/>
      <c r="E34" s="8"/>
      <c r="F34" s="8"/>
      <c r="G34" s="8"/>
      <c r="H34" s="8"/>
      <c r="I34" s="9"/>
      <c r="J34" s="8"/>
    </row>
    <row r="35" spans="2:10" ht="25.8" x14ac:dyDescent="0.5">
      <c r="B35" s="13"/>
      <c r="C35" s="8"/>
      <c r="D35" s="8"/>
      <c r="E35" s="8"/>
      <c r="F35" s="8"/>
      <c r="G35" s="8"/>
      <c r="H35" s="8"/>
      <c r="I35" s="9"/>
      <c r="J35" s="8"/>
    </row>
    <row r="36" spans="2:10" ht="25.8" x14ac:dyDescent="0.5">
      <c r="I36" s="9"/>
      <c r="J36" s="9"/>
    </row>
  </sheetData>
  <mergeCells count="5">
    <mergeCell ref="B1:I1"/>
    <mergeCell ref="B2:I2"/>
    <mergeCell ref="B3:I3"/>
    <mergeCell ref="B14:I14"/>
    <mergeCell ref="B25:I25"/>
  </mergeCells>
  <hyperlinks>
    <hyperlink ref="L2" location="'Home Page'!A1" display="Back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L37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9.5546875" bestFit="1" customWidth="1"/>
    <col min="5" max="5" width="9.5546875" bestFit="1" customWidth="1"/>
    <col min="6" max="6" width="11.5546875" bestFit="1" customWidth="1"/>
    <col min="7" max="7" width="9.5546875" bestFit="1" customWidth="1"/>
    <col min="8" max="8" width="14.88671875" bestFit="1" customWidth="1"/>
    <col min="9" max="9" width="13.88671875" bestFit="1" customWidth="1"/>
    <col min="10" max="10" width="27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436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42493</v>
      </c>
      <c r="C5" s="8" t="s">
        <v>13</v>
      </c>
      <c r="D5" s="8" t="s">
        <v>28</v>
      </c>
      <c r="E5" s="8">
        <v>225</v>
      </c>
      <c r="F5" s="8">
        <v>218</v>
      </c>
      <c r="G5" s="8">
        <v>3400</v>
      </c>
      <c r="H5" s="8">
        <v>7</v>
      </c>
      <c r="I5" s="8">
        <f>G5*H5</f>
        <v>23800</v>
      </c>
      <c r="J5" s="17" t="s">
        <v>198</v>
      </c>
    </row>
    <row r="6" spans="1:12" ht="25.8" x14ac:dyDescent="0.5">
      <c r="B6" s="7">
        <v>42495</v>
      </c>
      <c r="C6" s="8" t="s">
        <v>13</v>
      </c>
      <c r="D6" s="8" t="s">
        <v>28</v>
      </c>
      <c r="E6" s="8">
        <v>219</v>
      </c>
      <c r="F6" s="8">
        <v>214.5</v>
      </c>
      <c r="G6" s="8">
        <v>3400</v>
      </c>
      <c r="H6" s="8">
        <v>4.5</v>
      </c>
      <c r="I6" s="8">
        <f>H6*G6</f>
        <v>15300</v>
      </c>
      <c r="J6" s="17" t="s">
        <v>198</v>
      </c>
    </row>
    <row r="7" spans="1:12" ht="25.8" x14ac:dyDescent="0.5">
      <c r="B7" s="7">
        <v>42501</v>
      </c>
      <c r="C7" s="8" t="s">
        <v>13</v>
      </c>
      <c r="D7" s="8" t="s">
        <v>74</v>
      </c>
      <c r="E7" s="8">
        <v>167</v>
      </c>
      <c r="F7" s="8">
        <v>163</v>
      </c>
      <c r="G7" s="8">
        <v>4000</v>
      </c>
      <c r="H7" s="8">
        <v>4</v>
      </c>
      <c r="I7" s="8">
        <f>H7*G7</f>
        <v>16000</v>
      </c>
      <c r="J7" s="17" t="s">
        <v>441</v>
      </c>
    </row>
    <row r="8" spans="1:12" ht="25.8" x14ac:dyDescent="0.5">
      <c r="B8" s="7">
        <v>42507</v>
      </c>
      <c r="C8" s="8" t="s">
        <v>13</v>
      </c>
      <c r="D8" s="8" t="s">
        <v>92</v>
      </c>
      <c r="E8" s="8">
        <v>988</v>
      </c>
      <c r="F8" s="8">
        <v>965</v>
      </c>
      <c r="G8" s="8">
        <v>1400</v>
      </c>
      <c r="H8" s="8">
        <v>23</v>
      </c>
      <c r="I8" s="8">
        <f t="shared" ref="I8:I9" si="0">H8*G8</f>
        <v>32200</v>
      </c>
      <c r="J8" s="17" t="s">
        <v>199</v>
      </c>
    </row>
    <row r="9" spans="1:12" ht="25.8" x14ac:dyDescent="0.5">
      <c r="B9" s="7">
        <v>42513</v>
      </c>
      <c r="C9" s="8" t="s">
        <v>13</v>
      </c>
      <c r="D9" s="8" t="s">
        <v>393</v>
      </c>
      <c r="E9" s="8">
        <v>1000</v>
      </c>
      <c r="F9" s="8">
        <v>987</v>
      </c>
      <c r="G9" s="8">
        <v>1000</v>
      </c>
      <c r="H9" s="8">
        <v>13</v>
      </c>
      <c r="I9" s="8">
        <f t="shared" si="0"/>
        <v>13000</v>
      </c>
      <c r="J9" s="17" t="s">
        <v>270</v>
      </c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100300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435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42493</v>
      </c>
      <c r="C16" s="8" t="s">
        <v>13</v>
      </c>
      <c r="D16" s="8" t="s">
        <v>30</v>
      </c>
      <c r="E16" s="8">
        <v>7800</v>
      </c>
      <c r="F16" s="8">
        <v>7710</v>
      </c>
      <c r="G16" s="8">
        <v>375</v>
      </c>
      <c r="H16" s="8">
        <v>90</v>
      </c>
      <c r="I16" s="8">
        <f>G16*H16</f>
        <v>33750</v>
      </c>
      <c r="J16" s="8" t="s">
        <v>438</v>
      </c>
    </row>
    <row r="17" spans="2:10" ht="25.8" x14ac:dyDescent="0.5">
      <c r="B17" s="13">
        <v>42501</v>
      </c>
      <c r="C17" s="8" t="s">
        <v>13</v>
      </c>
      <c r="D17" s="8" t="s">
        <v>30</v>
      </c>
      <c r="E17" s="8">
        <v>7880</v>
      </c>
      <c r="F17" s="8">
        <v>7800</v>
      </c>
      <c r="G17" s="8">
        <v>375</v>
      </c>
      <c r="H17" s="8">
        <v>80</v>
      </c>
      <c r="I17" s="8">
        <f t="shared" ref="I17:I20" si="1">G17*H17</f>
        <v>30000</v>
      </c>
      <c r="J17" s="8" t="s">
        <v>198</v>
      </c>
    </row>
    <row r="18" spans="2:10" ht="25.8" x14ac:dyDescent="0.5">
      <c r="B18" s="13">
        <v>42507</v>
      </c>
      <c r="C18" s="8" t="s">
        <v>13</v>
      </c>
      <c r="D18" s="8" t="s">
        <v>30</v>
      </c>
      <c r="E18" s="8">
        <v>7945</v>
      </c>
      <c r="F18" s="8">
        <v>7800</v>
      </c>
      <c r="G18" s="8">
        <v>375</v>
      </c>
      <c r="H18" s="8">
        <v>145</v>
      </c>
      <c r="I18" s="8">
        <f t="shared" si="1"/>
        <v>54375</v>
      </c>
      <c r="J18" s="8" t="s">
        <v>195</v>
      </c>
    </row>
    <row r="19" spans="2:10" ht="25.8" x14ac:dyDescent="0.5">
      <c r="B19" s="7"/>
      <c r="C19" s="8"/>
      <c r="D19" s="8"/>
      <c r="E19" s="8"/>
      <c r="F19" s="8"/>
      <c r="G19" s="8"/>
      <c r="H19" s="8"/>
      <c r="I19" s="8"/>
      <c r="J19" s="8"/>
    </row>
    <row r="20" spans="2:10" ht="25.8" x14ac:dyDescent="0.5">
      <c r="B20" s="7"/>
      <c r="C20" s="8"/>
      <c r="D20" s="8"/>
      <c r="E20" s="8"/>
      <c r="F20" s="8"/>
      <c r="G20" s="8"/>
      <c r="H20" s="8"/>
      <c r="I20" s="8">
        <f t="shared" si="1"/>
        <v>0</v>
      </c>
      <c r="J20" s="8"/>
    </row>
    <row r="21" spans="2:10" ht="25.8" x14ac:dyDescent="0.5">
      <c r="B21" s="7"/>
      <c r="C21" s="8"/>
      <c r="D21" s="8"/>
      <c r="E21" s="8"/>
      <c r="F21" s="8"/>
      <c r="G21" s="8"/>
      <c r="H21" s="8"/>
      <c r="I21" s="9">
        <f>SUM(I16:I20)</f>
        <v>118125</v>
      </c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I23" s="9"/>
    </row>
    <row r="24" spans="2:10" ht="15" thickBot="1" x14ac:dyDescent="0.35"/>
    <row r="25" spans="2:10" ht="16.2" thickBot="1" x14ac:dyDescent="0.35">
      <c r="B25" s="158" t="s">
        <v>434</v>
      </c>
      <c r="C25" s="158"/>
      <c r="D25" s="158"/>
      <c r="E25" s="158"/>
      <c r="F25" s="158"/>
      <c r="G25" s="158"/>
      <c r="H25" s="158"/>
      <c r="I25" s="158"/>
      <c r="J25" s="19"/>
    </row>
    <row r="26" spans="2:10" x14ac:dyDescent="0.3">
      <c r="B26" s="1" t="s">
        <v>1</v>
      </c>
      <c r="C26" s="2" t="s">
        <v>2</v>
      </c>
      <c r="D26" s="2" t="s">
        <v>3</v>
      </c>
      <c r="E26" s="3" t="s">
        <v>4</v>
      </c>
      <c r="F26" s="3" t="s">
        <v>5</v>
      </c>
      <c r="G26" s="3" t="s">
        <v>6</v>
      </c>
      <c r="H26" s="3" t="s">
        <v>381</v>
      </c>
      <c r="I26" s="3" t="s">
        <v>89</v>
      </c>
      <c r="J26" s="20" t="s">
        <v>200</v>
      </c>
    </row>
    <row r="27" spans="2:10" ht="25.8" x14ac:dyDescent="0.5">
      <c r="B27" s="13">
        <v>42492</v>
      </c>
      <c r="C27" s="8" t="s">
        <v>20</v>
      </c>
      <c r="D27" s="8" t="s">
        <v>437</v>
      </c>
      <c r="E27" s="8">
        <v>9</v>
      </c>
      <c r="F27" s="8">
        <v>16</v>
      </c>
      <c r="G27" s="8">
        <v>3400</v>
      </c>
      <c r="H27" s="8">
        <v>7</v>
      </c>
      <c r="I27" s="8">
        <f>G27*H27</f>
        <v>23800</v>
      </c>
      <c r="J27" s="8" t="s">
        <v>199</v>
      </c>
    </row>
    <row r="28" spans="2:10" ht="25.8" x14ac:dyDescent="0.5">
      <c r="B28" s="13">
        <v>42495</v>
      </c>
      <c r="C28" s="8" t="s">
        <v>8</v>
      </c>
      <c r="D28" s="8" t="s">
        <v>439</v>
      </c>
      <c r="E28" s="8">
        <v>25</v>
      </c>
      <c r="F28" s="8">
        <v>20</v>
      </c>
      <c r="G28" s="8">
        <v>1400</v>
      </c>
      <c r="H28" s="8">
        <v>-5</v>
      </c>
      <c r="I28" s="8">
        <f t="shared" ref="I28:I32" si="2">G28*H28</f>
        <v>-7000</v>
      </c>
      <c r="J28" s="8" t="s">
        <v>5</v>
      </c>
    </row>
    <row r="29" spans="2:10" ht="25.8" x14ac:dyDescent="0.5">
      <c r="B29" s="13">
        <v>42501</v>
      </c>
      <c r="C29" s="8" t="s">
        <v>8</v>
      </c>
      <c r="D29" s="8" t="s">
        <v>440</v>
      </c>
      <c r="E29" s="8">
        <v>6.5</v>
      </c>
      <c r="F29" s="8">
        <v>14</v>
      </c>
      <c r="G29" s="8">
        <v>4000</v>
      </c>
      <c r="H29" s="8">
        <v>7.5</v>
      </c>
      <c r="I29" s="8">
        <f t="shared" si="2"/>
        <v>30000</v>
      </c>
      <c r="J29" s="8" t="s">
        <v>195</v>
      </c>
    </row>
    <row r="30" spans="2:10" ht="25.8" x14ac:dyDescent="0.5">
      <c r="B30" s="13">
        <v>42507</v>
      </c>
      <c r="C30" s="8" t="s">
        <v>8</v>
      </c>
      <c r="D30" s="8" t="s">
        <v>442</v>
      </c>
      <c r="E30" s="8">
        <v>14</v>
      </c>
      <c r="F30" s="8">
        <v>24</v>
      </c>
      <c r="G30" s="8">
        <v>1400</v>
      </c>
      <c r="H30" s="8">
        <v>10</v>
      </c>
      <c r="I30" s="8">
        <f t="shared" si="2"/>
        <v>14000</v>
      </c>
      <c r="J30" s="8" t="s">
        <v>199</v>
      </c>
    </row>
    <row r="31" spans="2:10" ht="25.8" x14ac:dyDescent="0.5">
      <c r="B31" s="13">
        <v>42515</v>
      </c>
      <c r="C31" s="8" t="s">
        <v>8</v>
      </c>
      <c r="D31" s="8" t="s">
        <v>443</v>
      </c>
      <c r="E31" s="8">
        <v>18</v>
      </c>
      <c r="F31" s="8">
        <v>5</v>
      </c>
      <c r="G31" s="8">
        <v>600</v>
      </c>
      <c r="H31" s="8">
        <v>-13</v>
      </c>
      <c r="I31" s="8">
        <f t="shared" si="2"/>
        <v>-7800</v>
      </c>
      <c r="J31" s="17" t="s">
        <v>197</v>
      </c>
    </row>
    <row r="32" spans="2:10" ht="25.8" x14ac:dyDescent="0.5">
      <c r="B32" s="13">
        <v>42517</v>
      </c>
      <c r="C32" s="8" t="s">
        <v>8</v>
      </c>
      <c r="D32" s="8" t="s">
        <v>440</v>
      </c>
      <c r="E32" s="8">
        <v>8.5</v>
      </c>
      <c r="F32" s="8">
        <v>12</v>
      </c>
      <c r="G32" s="8">
        <v>2000</v>
      </c>
      <c r="H32" s="8">
        <v>3.5</v>
      </c>
      <c r="I32" s="8">
        <f t="shared" si="2"/>
        <v>7000</v>
      </c>
      <c r="J32" s="17" t="s">
        <v>270</v>
      </c>
    </row>
    <row r="33" spans="2:10" ht="25.8" x14ac:dyDescent="0.5">
      <c r="B33" s="7"/>
      <c r="C33" s="8"/>
      <c r="D33" s="8"/>
      <c r="E33" s="8"/>
      <c r="F33" s="8"/>
      <c r="G33" s="8"/>
      <c r="H33" s="8"/>
      <c r="I33" s="9">
        <f>SUM(I27:I32)</f>
        <v>60000</v>
      </c>
      <c r="J33" s="8"/>
    </row>
    <row r="34" spans="2:10" ht="25.8" x14ac:dyDescent="0.5">
      <c r="B34" s="13"/>
      <c r="C34" s="8"/>
      <c r="D34" s="8"/>
      <c r="E34" s="8"/>
      <c r="F34" s="8"/>
      <c r="G34" s="8"/>
      <c r="H34" s="8"/>
      <c r="I34" s="8"/>
      <c r="J34" s="8"/>
    </row>
    <row r="35" spans="2:10" ht="25.8" x14ac:dyDescent="0.5">
      <c r="B35" s="13"/>
      <c r="C35" s="8"/>
      <c r="D35" s="8"/>
      <c r="E35" s="8"/>
      <c r="F35" s="8"/>
      <c r="G35" s="8"/>
      <c r="H35" s="8"/>
      <c r="I35" s="9"/>
      <c r="J35" s="8"/>
    </row>
    <row r="36" spans="2:10" ht="25.8" x14ac:dyDescent="0.5">
      <c r="B36" s="13"/>
      <c r="C36" s="8"/>
      <c r="D36" s="8"/>
      <c r="E36" s="8"/>
      <c r="F36" s="8"/>
      <c r="G36" s="8"/>
      <c r="H36" s="8"/>
      <c r="I36" s="9"/>
      <c r="J36" s="8"/>
    </row>
    <row r="37" spans="2:10" ht="25.8" x14ac:dyDescent="0.5">
      <c r="I37" s="9"/>
      <c r="J37" s="9"/>
    </row>
  </sheetData>
  <mergeCells count="5">
    <mergeCell ref="B1:I1"/>
    <mergeCell ref="B2:I2"/>
    <mergeCell ref="B3:I3"/>
    <mergeCell ref="B14:I14"/>
    <mergeCell ref="B25:I25"/>
  </mergeCells>
  <hyperlinks>
    <hyperlink ref="L2" location="'Home Page'!A1" display="Back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6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3.664062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58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41428</v>
      </c>
      <c r="C5" s="8" t="s">
        <v>20</v>
      </c>
      <c r="D5" s="8" t="s">
        <v>9</v>
      </c>
      <c r="E5" s="8">
        <v>371</v>
      </c>
      <c r="F5" s="8">
        <v>377</v>
      </c>
      <c r="G5" s="8">
        <v>2000</v>
      </c>
      <c r="H5" s="8">
        <v>12000</v>
      </c>
    </row>
    <row r="6" spans="1:10" ht="25.8" x14ac:dyDescent="0.5">
      <c r="B6" s="7">
        <v>41430</v>
      </c>
      <c r="C6" s="8" t="s">
        <v>13</v>
      </c>
      <c r="D6" s="8" t="s">
        <v>14</v>
      </c>
      <c r="E6" s="8">
        <v>194</v>
      </c>
      <c r="F6" s="8">
        <v>200</v>
      </c>
      <c r="G6" s="8">
        <v>2000</v>
      </c>
      <c r="H6" s="8">
        <v>-12000</v>
      </c>
    </row>
    <row r="7" spans="1:10" ht="25.8" x14ac:dyDescent="0.5">
      <c r="B7" s="7">
        <v>41435</v>
      </c>
      <c r="C7" s="8" t="s">
        <v>13</v>
      </c>
      <c r="D7" s="8" t="s">
        <v>61</v>
      </c>
      <c r="E7" s="8">
        <v>1525</v>
      </c>
      <c r="F7" s="8">
        <v>1495</v>
      </c>
      <c r="G7" s="8">
        <v>500</v>
      </c>
      <c r="H7" s="8">
        <v>15000</v>
      </c>
    </row>
    <row r="8" spans="1:10" ht="25.8" x14ac:dyDescent="0.5">
      <c r="B8" s="7">
        <v>41438</v>
      </c>
      <c r="C8" s="8" t="s">
        <v>8</v>
      </c>
      <c r="D8" s="8" t="s">
        <v>27</v>
      </c>
      <c r="E8" s="8">
        <v>284</v>
      </c>
      <c r="F8" s="8">
        <v>290</v>
      </c>
      <c r="G8" s="8">
        <v>2000</v>
      </c>
      <c r="H8" s="8">
        <v>12000</v>
      </c>
    </row>
    <row r="9" spans="1:10" ht="25.8" x14ac:dyDescent="0.5">
      <c r="B9" s="7">
        <v>41442</v>
      </c>
      <c r="C9" s="8" t="s">
        <v>8</v>
      </c>
      <c r="D9" s="8" t="s">
        <v>64</v>
      </c>
      <c r="E9" s="8">
        <v>110</v>
      </c>
      <c r="F9" s="8">
        <v>113</v>
      </c>
      <c r="G9" s="8">
        <v>8000</v>
      </c>
      <c r="H9" s="8">
        <v>24000</v>
      </c>
    </row>
    <row r="10" spans="1:10" ht="25.8" x14ac:dyDescent="0.5">
      <c r="B10" s="7">
        <v>41444</v>
      </c>
      <c r="C10" s="8" t="s">
        <v>13</v>
      </c>
      <c r="D10" s="8" t="s">
        <v>67</v>
      </c>
      <c r="E10" s="8">
        <v>825</v>
      </c>
      <c r="F10" s="8">
        <v>800</v>
      </c>
      <c r="G10" s="8">
        <v>500</v>
      </c>
      <c r="H10" s="8">
        <v>12500</v>
      </c>
    </row>
    <row r="11" spans="1:10" ht="25.8" x14ac:dyDescent="0.5">
      <c r="B11" s="7">
        <v>41450</v>
      </c>
      <c r="C11" s="8" t="s">
        <v>8</v>
      </c>
      <c r="D11" s="8" t="s">
        <v>68</v>
      </c>
      <c r="E11" s="8">
        <v>1010</v>
      </c>
      <c r="F11" s="8">
        <v>1040</v>
      </c>
      <c r="G11" s="8">
        <v>500</v>
      </c>
      <c r="H11" s="8">
        <v>15000</v>
      </c>
    </row>
    <row r="12" spans="1:10" ht="25.8" x14ac:dyDescent="0.5">
      <c r="B12" s="7"/>
      <c r="C12" s="8"/>
      <c r="D12" s="8"/>
      <c r="E12" s="8"/>
      <c r="F12" s="8"/>
      <c r="G12" s="8"/>
      <c r="H12" s="9">
        <v>78500</v>
      </c>
    </row>
    <row r="13" spans="1:10" x14ac:dyDescent="0.3">
      <c r="H13" s="14"/>
    </row>
    <row r="14" spans="1:10" ht="15" thickBot="1" x14ac:dyDescent="0.35"/>
    <row r="15" spans="1:10" ht="16.2" thickBot="1" x14ac:dyDescent="0.35">
      <c r="B15" s="158" t="s">
        <v>59</v>
      </c>
      <c r="C15" s="158"/>
      <c r="D15" s="158"/>
      <c r="E15" s="158"/>
      <c r="F15" s="158"/>
      <c r="G15" s="158"/>
      <c r="H15" s="158"/>
    </row>
    <row r="16" spans="1:10" x14ac:dyDescent="0.3">
      <c r="B16" s="1" t="s">
        <v>1</v>
      </c>
      <c r="C16" s="2" t="s">
        <v>2</v>
      </c>
      <c r="D16" s="2" t="s">
        <v>3</v>
      </c>
      <c r="E16" s="3" t="s">
        <v>4</v>
      </c>
      <c r="F16" s="3" t="s">
        <v>5</v>
      </c>
      <c r="G16" s="3" t="s">
        <v>44</v>
      </c>
      <c r="H16" s="3" t="s">
        <v>31</v>
      </c>
    </row>
    <row r="17" spans="2:8" ht="25.8" x14ac:dyDescent="0.5">
      <c r="B17" s="7">
        <v>41428</v>
      </c>
      <c r="C17" s="8" t="s">
        <v>13</v>
      </c>
      <c r="D17" s="8" t="s">
        <v>30</v>
      </c>
      <c r="E17" s="8">
        <v>5960</v>
      </c>
      <c r="F17" s="8">
        <v>5910</v>
      </c>
      <c r="G17" s="8">
        <v>50</v>
      </c>
      <c r="H17" s="8">
        <v>25000</v>
      </c>
    </row>
    <row r="18" spans="2:8" ht="25.8" x14ac:dyDescent="0.5">
      <c r="B18" s="7">
        <v>41432</v>
      </c>
      <c r="C18" s="8" t="s">
        <v>13</v>
      </c>
      <c r="D18" s="8" t="s">
        <v>30</v>
      </c>
      <c r="E18" s="8">
        <v>5900</v>
      </c>
      <c r="F18" s="8">
        <v>5820</v>
      </c>
      <c r="G18" s="8">
        <v>80</v>
      </c>
      <c r="H18" s="8">
        <v>40000</v>
      </c>
    </row>
    <row r="19" spans="2:8" ht="25.8" x14ac:dyDescent="0.5">
      <c r="B19" s="7">
        <v>41436</v>
      </c>
      <c r="C19" s="8" t="s">
        <v>13</v>
      </c>
      <c r="D19" s="8" t="s">
        <v>30</v>
      </c>
      <c r="E19" s="8">
        <v>5800</v>
      </c>
      <c r="F19" s="8">
        <v>5740</v>
      </c>
      <c r="G19" s="8">
        <v>60</v>
      </c>
      <c r="H19" s="8">
        <v>30000</v>
      </c>
    </row>
    <row r="20" spans="2:8" ht="25.8" x14ac:dyDescent="0.5">
      <c r="B20" s="7">
        <v>41443</v>
      </c>
      <c r="C20" s="8" t="s">
        <v>13</v>
      </c>
      <c r="D20" s="8" t="s">
        <v>30</v>
      </c>
      <c r="E20" s="8">
        <v>5830</v>
      </c>
      <c r="F20" s="8">
        <v>5730</v>
      </c>
      <c r="G20" s="8">
        <v>100</v>
      </c>
      <c r="H20" s="8">
        <v>50000</v>
      </c>
    </row>
    <row r="21" spans="2:8" ht="25.8" x14ac:dyDescent="0.5">
      <c r="B21" s="7">
        <v>41445</v>
      </c>
      <c r="C21" s="8" t="s">
        <v>13</v>
      </c>
      <c r="D21" s="8" t="s">
        <v>30</v>
      </c>
      <c r="E21" s="8">
        <v>5650</v>
      </c>
      <c r="F21" s="8">
        <v>5600</v>
      </c>
      <c r="G21" s="8">
        <v>50</v>
      </c>
      <c r="H21" s="8">
        <v>25000</v>
      </c>
    </row>
    <row r="22" spans="2:8" ht="25.8" x14ac:dyDescent="0.5">
      <c r="B22" s="7">
        <v>41450</v>
      </c>
      <c r="C22" s="8" t="s">
        <v>13</v>
      </c>
      <c r="D22" s="8" t="s">
        <v>30</v>
      </c>
      <c r="E22" s="8">
        <v>5600</v>
      </c>
      <c r="F22" s="8">
        <v>5660</v>
      </c>
      <c r="G22" s="8">
        <v>60</v>
      </c>
      <c r="H22" s="8">
        <v>-30000</v>
      </c>
    </row>
    <row r="23" spans="2:8" ht="25.8" x14ac:dyDescent="0.5">
      <c r="B23" s="8"/>
      <c r="C23" s="8"/>
      <c r="D23" s="8"/>
      <c r="E23" s="8"/>
      <c r="F23" s="8"/>
      <c r="G23" s="8"/>
      <c r="H23" s="9">
        <v>140000</v>
      </c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ht="15" thickBot="1" x14ac:dyDescent="0.35">
      <c r="B25" s="12"/>
      <c r="C25" s="12"/>
      <c r="D25" s="12"/>
      <c r="E25" s="12"/>
      <c r="F25" s="12"/>
      <c r="G25" s="12"/>
      <c r="H25" s="12"/>
    </row>
    <row r="26" spans="2:8" ht="16.2" thickBot="1" x14ac:dyDescent="0.35">
      <c r="B26" s="158" t="s">
        <v>60</v>
      </c>
      <c r="C26" s="158"/>
      <c r="D26" s="158"/>
      <c r="E26" s="158"/>
      <c r="F26" s="158"/>
      <c r="G26" s="158"/>
      <c r="H26" s="158"/>
    </row>
    <row r="27" spans="2:8" x14ac:dyDescent="0.3">
      <c r="B27" s="1" t="s">
        <v>1</v>
      </c>
      <c r="C27" s="2" t="s">
        <v>2</v>
      </c>
      <c r="D27" s="2" t="s">
        <v>3</v>
      </c>
      <c r="E27" s="3" t="s">
        <v>4</v>
      </c>
      <c r="F27" s="3" t="s">
        <v>5</v>
      </c>
      <c r="G27" s="3" t="s">
        <v>6</v>
      </c>
      <c r="H27" s="3" t="s">
        <v>39</v>
      </c>
    </row>
    <row r="28" spans="2:8" ht="25.8" x14ac:dyDescent="0.5">
      <c r="B28" s="7">
        <v>41428</v>
      </c>
      <c r="C28" s="8" t="s">
        <v>8</v>
      </c>
      <c r="D28" s="8" t="s">
        <v>66</v>
      </c>
      <c r="E28" s="8">
        <v>5</v>
      </c>
      <c r="F28" s="8">
        <v>12</v>
      </c>
      <c r="G28" s="8">
        <v>1000</v>
      </c>
      <c r="H28" s="8">
        <v>28000</v>
      </c>
    </row>
    <row r="29" spans="2:8" ht="25.8" x14ac:dyDescent="0.5">
      <c r="B29" s="7">
        <v>41431</v>
      </c>
      <c r="C29" s="8" t="s">
        <v>8</v>
      </c>
      <c r="D29" s="8" t="s">
        <v>62</v>
      </c>
      <c r="E29" s="8">
        <v>2.2000000000000002</v>
      </c>
      <c r="F29" s="8">
        <v>4.2</v>
      </c>
      <c r="G29" s="8">
        <v>2000</v>
      </c>
      <c r="H29" s="8">
        <v>4000</v>
      </c>
    </row>
    <row r="30" spans="2:8" ht="25.8" x14ac:dyDescent="0.5">
      <c r="B30" s="7">
        <v>41432</v>
      </c>
      <c r="C30" s="8" t="s">
        <v>8</v>
      </c>
      <c r="D30" s="8" t="s">
        <v>36</v>
      </c>
      <c r="E30" s="8">
        <v>55</v>
      </c>
      <c r="F30" s="8">
        <v>105</v>
      </c>
      <c r="G30" s="8">
        <v>50</v>
      </c>
      <c r="H30" s="8">
        <v>2500</v>
      </c>
    </row>
    <row r="31" spans="2:8" ht="25.8" x14ac:dyDescent="0.5">
      <c r="B31" s="7">
        <v>41439</v>
      </c>
      <c r="C31" s="8" t="s">
        <v>8</v>
      </c>
      <c r="D31" s="8" t="s">
        <v>63</v>
      </c>
      <c r="E31" s="8">
        <v>8</v>
      </c>
      <c r="F31" s="8">
        <v>16</v>
      </c>
      <c r="G31" s="8">
        <v>1000</v>
      </c>
      <c r="H31" s="8">
        <v>8000</v>
      </c>
    </row>
    <row r="32" spans="2:8" ht="25.8" x14ac:dyDescent="0.5">
      <c r="B32" s="7">
        <v>41446</v>
      </c>
      <c r="C32" s="8" t="s">
        <v>8</v>
      </c>
      <c r="D32" s="8" t="s">
        <v>65</v>
      </c>
      <c r="E32" s="8">
        <v>3.5</v>
      </c>
      <c r="F32" s="8">
        <v>0.5</v>
      </c>
      <c r="G32" s="8">
        <v>4000</v>
      </c>
      <c r="H32" s="8">
        <v>-12000</v>
      </c>
    </row>
    <row r="33" spans="2:8" ht="25.8" x14ac:dyDescent="0.5">
      <c r="B33" s="7"/>
      <c r="C33" s="8"/>
      <c r="D33" s="8"/>
      <c r="E33" s="8"/>
      <c r="F33" s="8"/>
      <c r="G33" s="8"/>
      <c r="H33" s="9">
        <v>30500</v>
      </c>
    </row>
    <row r="34" spans="2:8" ht="25.8" x14ac:dyDescent="0.5">
      <c r="B34" s="7"/>
      <c r="C34" s="8"/>
      <c r="D34" s="8"/>
      <c r="E34" s="8"/>
      <c r="F34" s="8"/>
      <c r="G34" s="8"/>
      <c r="H34" s="8"/>
    </row>
    <row r="35" spans="2:8" ht="25.8" x14ac:dyDescent="0.5">
      <c r="B35" s="7"/>
      <c r="C35" s="8"/>
      <c r="D35" s="8"/>
      <c r="E35" s="8"/>
      <c r="F35" s="8"/>
      <c r="G35" s="8"/>
      <c r="H35" s="8"/>
    </row>
    <row r="36" spans="2:8" ht="25.8" x14ac:dyDescent="0.5">
      <c r="B36" s="8"/>
      <c r="C36" s="8"/>
      <c r="D36" s="8"/>
      <c r="E36" s="8"/>
      <c r="F36" s="8"/>
      <c r="G36" s="8"/>
      <c r="H36" s="9"/>
    </row>
  </sheetData>
  <mergeCells count="5">
    <mergeCell ref="B1:H1"/>
    <mergeCell ref="B2:H2"/>
    <mergeCell ref="B3:H3"/>
    <mergeCell ref="B15:H15"/>
    <mergeCell ref="B26:H26"/>
  </mergeCells>
  <hyperlinks>
    <hyperlink ref="J2" location="'Home Page'!A1" display="Back" xr:uid="{00000000-0004-0000-0300-000000000000}"/>
  </hyperlinks>
  <pageMargins left="0.7" right="0.7" top="0.75" bottom="0.75" header="0.3" footer="0.3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L37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6.664062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444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42528</v>
      </c>
      <c r="C5" s="8" t="s">
        <v>13</v>
      </c>
      <c r="D5" s="8" t="s">
        <v>92</v>
      </c>
      <c r="E5" s="8">
        <v>1075</v>
      </c>
      <c r="F5" s="8">
        <v>1045</v>
      </c>
      <c r="G5" s="8">
        <v>1400</v>
      </c>
      <c r="H5" s="8">
        <v>30</v>
      </c>
      <c r="I5" s="8">
        <f>G5*H5</f>
        <v>42000</v>
      </c>
      <c r="J5" s="17" t="s">
        <v>199</v>
      </c>
    </row>
    <row r="6" spans="1:12" ht="25.8" x14ac:dyDescent="0.5">
      <c r="B6" s="7">
        <v>42536</v>
      </c>
      <c r="C6" s="8" t="s">
        <v>20</v>
      </c>
      <c r="D6" s="8" t="s">
        <v>194</v>
      </c>
      <c r="E6" s="8">
        <v>905</v>
      </c>
      <c r="F6" s="8">
        <v>950</v>
      </c>
      <c r="G6" s="8">
        <v>1200</v>
      </c>
      <c r="H6" s="8">
        <v>45</v>
      </c>
      <c r="I6" s="8">
        <f>H6*G6</f>
        <v>54000</v>
      </c>
      <c r="J6" s="17" t="s">
        <v>195</v>
      </c>
    </row>
    <row r="7" spans="1:12" ht="25.8" x14ac:dyDescent="0.5">
      <c r="B7" s="7">
        <v>42538</v>
      </c>
      <c r="C7" s="8" t="s">
        <v>13</v>
      </c>
      <c r="D7" s="8" t="s">
        <v>449</v>
      </c>
      <c r="E7" s="8">
        <v>534</v>
      </c>
      <c r="F7" s="8">
        <v>515</v>
      </c>
      <c r="G7" s="8">
        <v>2000</v>
      </c>
      <c r="H7" s="8">
        <v>19</v>
      </c>
      <c r="I7" s="8">
        <f>H7*G7</f>
        <v>38000</v>
      </c>
      <c r="J7" s="17" t="s">
        <v>451</v>
      </c>
    </row>
    <row r="8" spans="1:12" ht="25.8" x14ac:dyDescent="0.5">
      <c r="B8" s="7">
        <v>42549</v>
      </c>
      <c r="C8" s="8" t="s">
        <v>8</v>
      </c>
      <c r="D8" s="8" t="s">
        <v>453</v>
      </c>
      <c r="E8" s="8">
        <v>782</v>
      </c>
      <c r="F8" s="8">
        <v>805</v>
      </c>
      <c r="G8" s="8">
        <v>1000</v>
      </c>
      <c r="H8" s="8">
        <v>23</v>
      </c>
      <c r="I8" s="8">
        <f t="shared" ref="I8:I9" si="0">H8*G8</f>
        <v>23000</v>
      </c>
      <c r="J8" s="17" t="s">
        <v>199</v>
      </c>
    </row>
    <row r="9" spans="1:12" ht="25.8" x14ac:dyDescent="0.5">
      <c r="B9" s="7">
        <v>42549</v>
      </c>
      <c r="C9" s="8" t="s">
        <v>8</v>
      </c>
      <c r="D9" s="8" t="s">
        <v>194</v>
      </c>
      <c r="E9" s="8">
        <v>990</v>
      </c>
      <c r="F9" s="8">
        <v>1002</v>
      </c>
      <c r="G9" s="8">
        <v>1200</v>
      </c>
      <c r="H9" s="8">
        <v>12</v>
      </c>
      <c r="I9" s="8">
        <f t="shared" si="0"/>
        <v>14400</v>
      </c>
      <c r="J9" s="17" t="s">
        <v>270</v>
      </c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171400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445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42528</v>
      </c>
      <c r="C16" s="8" t="s">
        <v>13</v>
      </c>
      <c r="D16" s="8" t="s">
        <v>30</v>
      </c>
      <c r="E16" s="8">
        <v>8300</v>
      </c>
      <c r="F16" s="8">
        <v>8140</v>
      </c>
      <c r="G16" s="8">
        <v>375</v>
      </c>
      <c r="H16" s="8">
        <v>160</v>
      </c>
      <c r="I16" s="8">
        <f>G16*H16</f>
        <v>60000</v>
      </c>
      <c r="J16" s="8" t="s">
        <v>195</v>
      </c>
    </row>
    <row r="17" spans="2:10" ht="25.8" x14ac:dyDescent="0.5">
      <c r="B17" s="13">
        <v>42531</v>
      </c>
      <c r="C17" s="8" t="s">
        <v>13</v>
      </c>
      <c r="D17" s="8" t="s">
        <v>30</v>
      </c>
      <c r="E17" s="8">
        <v>8220</v>
      </c>
      <c r="F17" s="8">
        <v>8100</v>
      </c>
      <c r="G17" s="8">
        <v>375</v>
      </c>
      <c r="H17" s="8">
        <v>120</v>
      </c>
      <c r="I17" s="8">
        <f t="shared" ref="I17:I20" si="1">G17*H17</f>
        <v>45000</v>
      </c>
      <c r="J17" s="8" t="s">
        <v>199</v>
      </c>
    </row>
    <row r="18" spans="2:10" ht="25.8" x14ac:dyDescent="0.5">
      <c r="B18" s="13">
        <v>42541</v>
      </c>
      <c r="C18" s="8" t="s">
        <v>13</v>
      </c>
      <c r="D18" s="8" t="s">
        <v>30</v>
      </c>
      <c r="E18" s="8">
        <v>8260</v>
      </c>
      <c r="F18" s="8">
        <v>8180</v>
      </c>
      <c r="G18" s="8">
        <v>375</v>
      </c>
      <c r="H18" s="8">
        <v>80</v>
      </c>
      <c r="I18" s="8">
        <f t="shared" si="1"/>
        <v>30000</v>
      </c>
      <c r="J18" s="8" t="s">
        <v>198</v>
      </c>
    </row>
    <row r="19" spans="2:10" ht="25.8" x14ac:dyDescent="0.5">
      <c r="B19" s="7">
        <v>42548</v>
      </c>
      <c r="C19" s="8" t="s">
        <v>13</v>
      </c>
      <c r="D19" s="8" t="s">
        <v>30</v>
      </c>
      <c r="E19" s="8">
        <v>8090</v>
      </c>
      <c r="F19" s="8">
        <v>8160</v>
      </c>
      <c r="G19" s="8">
        <v>375</v>
      </c>
      <c r="H19" s="8">
        <v>-70</v>
      </c>
      <c r="I19" s="8">
        <f t="shared" si="1"/>
        <v>-26250</v>
      </c>
      <c r="J19" s="8" t="s">
        <v>197</v>
      </c>
    </row>
    <row r="20" spans="2:10" ht="25.8" x14ac:dyDescent="0.5">
      <c r="B20" s="7"/>
      <c r="C20" s="8"/>
      <c r="D20" s="8"/>
      <c r="E20" s="8"/>
      <c r="F20" s="8"/>
      <c r="G20" s="8"/>
      <c r="H20" s="8"/>
      <c r="I20" s="8">
        <f t="shared" si="1"/>
        <v>0</v>
      </c>
      <c r="J20" s="8"/>
    </row>
    <row r="21" spans="2:10" ht="25.8" x14ac:dyDescent="0.5">
      <c r="B21" s="7"/>
      <c r="C21" s="8"/>
      <c r="D21" s="8"/>
      <c r="E21" s="8"/>
      <c r="F21" s="8"/>
      <c r="G21" s="8"/>
      <c r="H21" s="8"/>
      <c r="I21" s="9">
        <f>SUM(I16:I20)</f>
        <v>108750</v>
      </c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I23" s="9"/>
    </row>
    <row r="24" spans="2:10" ht="15" thickBot="1" x14ac:dyDescent="0.35"/>
    <row r="25" spans="2:10" ht="16.2" thickBot="1" x14ac:dyDescent="0.35">
      <c r="B25" s="158" t="s">
        <v>446</v>
      </c>
      <c r="C25" s="158"/>
      <c r="D25" s="158"/>
      <c r="E25" s="158"/>
      <c r="F25" s="158"/>
      <c r="G25" s="158"/>
      <c r="H25" s="158"/>
      <c r="I25" s="158"/>
      <c r="J25" s="19"/>
    </row>
    <row r="26" spans="2:10" x14ac:dyDescent="0.3">
      <c r="B26" s="1" t="s">
        <v>1</v>
      </c>
      <c r="C26" s="2" t="s">
        <v>2</v>
      </c>
      <c r="D26" s="2" t="s">
        <v>3</v>
      </c>
      <c r="E26" s="3" t="s">
        <v>4</v>
      </c>
      <c r="F26" s="3" t="s">
        <v>5</v>
      </c>
      <c r="G26" s="3" t="s">
        <v>6</v>
      </c>
      <c r="H26" s="3" t="s">
        <v>381</v>
      </c>
      <c r="I26" s="3" t="s">
        <v>89</v>
      </c>
      <c r="J26" s="20" t="s">
        <v>200</v>
      </c>
    </row>
    <row r="27" spans="2:10" ht="25.8" x14ac:dyDescent="0.5">
      <c r="B27" s="13">
        <v>42524</v>
      </c>
      <c r="C27" s="8" t="s">
        <v>20</v>
      </c>
      <c r="D27" s="8" t="s">
        <v>447</v>
      </c>
      <c r="E27" s="8">
        <v>9</v>
      </c>
      <c r="F27" s="8">
        <v>5</v>
      </c>
      <c r="G27" s="8">
        <v>2000</v>
      </c>
      <c r="H27" s="8">
        <v>-4</v>
      </c>
      <c r="I27" s="8">
        <f>G27*H27</f>
        <v>-8000</v>
      </c>
      <c r="J27" s="8" t="s">
        <v>197</v>
      </c>
    </row>
    <row r="28" spans="2:10" ht="25.8" x14ac:dyDescent="0.5">
      <c r="B28" s="13">
        <v>42528</v>
      </c>
      <c r="C28" s="8" t="s">
        <v>8</v>
      </c>
      <c r="D28" s="8" t="s">
        <v>448</v>
      </c>
      <c r="E28" s="8">
        <v>4</v>
      </c>
      <c r="F28" s="8">
        <v>6</v>
      </c>
      <c r="G28" s="8">
        <v>6200</v>
      </c>
      <c r="H28" s="8">
        <v>2</v>
      </c>
      <c r="I28" s="8">
        <f t="shared" ref="I28:I32" si="2">G28*H28</f>
        <v>12400</v>
      </c>
      <c r="J28" s="8" t="s">
        <v>198</v>
      </c>
    </row>
    <row r="29" spans="2:10" ht="25.8" x14ac:dyDescent="0.5">
      <c r="B29" s="13">
        <v>42537</v>
      </c>
      <c r="C29" s="8" t="s">
        <v>8</v>
      </c>
      <c r="D29" s="8" t="s">
        <v>450</v>
      </c>
      <c r="E29" s="8">
        <v>4</v>
      </c>
      <c r="F29" s="8">
        <v>8</v>
      </c>
      <c r="G29" s="8">
        <v>6000</v>
      </c>
      <c r="H29" s="8">
        <v>4</v>
      </c>
      <c r="I29" s="8">
        <f t="shared" si="2"/>
        <v>24000</v>
      </c>
      <c r="J29" s="8" t="s">
        <v>195</v>
      </c>
    </row>
    <row r="30" spans="2:10" ht="25.8" x14ac:dyDescent="0.5">
      <c r="B30" s="13">
        <v>42548</v>
      </c>
      <c r="C30" s="8" t="s">
        <v>8</v>
      </c>
      <c r="D30" s="8" t="s">
        <v>452</v>
      </c>
      <c r="E30" s="8">
        <v>15</v>
      </c>
      <c r="F30" s="8">
        <v>22</v>
      </c>
      <c r="G30" s="8">
        <v>1400</v>
      </c>
      <c r="H30" s="8">
        <v>7</v>
      </c>
      <c r="I30" s="8">
        <f t="shared" si="2"/>
        <v>9800</v>
      </c>
      <c r="J30" s="8" t="s">
        <v>198</v>
      </c>
    </row>
    <row r="31" spans="2:10" ht="25.8" x14ac:dyDescent="0.5">
      <c r="B31" s="13"/>
      <c r="C31" s="8"/>
      <c r="D31" s="8"/>
      <c r="E31" s="8"/>
      <c r="F31" s="8"/>
      <c r="G31" s="8"/>
      <c r="H31" s="8"/>
      <c r="I31" s="8">
        <f t="shared" si="2"/>
        <v>0</v>
      </c>
      <c r="J31" s="17"/>
    </row>
    <row r="32" spans="2:10" ht="25.8" x14ac:dyDescent="0.5">
      <c r="B32" s="13"/>
      <c r="C32" s="8"/>
      <c r="D32" s="8"/>
      <c r="E32" s="8"/>
      <c r="F32" s="8"/>
      <c r="G32" s="8"/>
      <c r="H32" s="8"/>
      <c r="I32" s="8">
        <f t="shared" si="2"/>
        <v>0</v>
      </c>
      <c r="J32" s="17"/>
    </row>
    <row r="33" spans="2:10" ht="25.8" x14ac:dyDescent="0.5">
      <c r="B33" s="7"/>
      <c r="C33" s="8"/>
      <c r="D33" s="8"/>
      <c r="E33" s="8"/>
      <c r="F33" s="8"/>
      <c r="G33" s="8"/>
      <c r="H33" s="8"/>
      <c r="I33" s="9">
        <f>SUM(I27:I32)</f>
        <v>38200</v>
      </c>
      <c r="J33" s="8"/>
    </row>
    <row r="34" spans="2:10" ht="25.8" x14ac:dyDescent="0.5">
      <c r="B34" s="13"/>
      <c r="C34" s="8"/>
      <c r="D34" s="8"/>
      <c r="E34" s="8"/>
      <c r="F34" s="8"/>
      <c r="G34" s="8"/>
      <c r="H34" s="8"/>
      <c r="I34" s="8"/>
      <c r="J34" s="8"/>
    </row>
    <row r="35" spans="2:10" ht="25.8" x14ac:dyDescent="0.5">
      <c r="B35" s="13"/>
      <c r="C35" s="8"/>
      <c r="D35" s="8"/>
      <c r="E35" s="8"/>
      <c r="F35" s="8"/>
      <c r="G35" s="8"/>
      <c r="H35" s="8"/>
      <c r="I35" s="9"/>
      <c r="J35" s="8"/>
    </row>
    <row r="36" spans="2:10" ht="25.8" x14ac:dyDescent="0.5">
      <c r="B36" s="13"/>
      <c r="C36" s="8"/>
      <c r="D36" s="8"/>
      <c r="E36" s="8"/>
      <c r="F36" s="8"/>
      <c r="G36" s="8"/>
      <c r="H36" s="8"/>
      <c r="I36" s="9"/>
      <c r="J36" s="8"/>
    </row>
    <row r="37" spans="2:10" ht="25.8" x14ac:dyDescent="0.5">
      <c r="I37" s="9"/>
      <c r="J37" s="9"/>
    </row>
  </sheetData>
  <mergeCells count="5">
    <mergeCell ref="B1:I1"/>
    <mergeCell ref="B2:I2"/>
    <mergeCell ref="B3:I3"/>
    <mergeCell ref="B14:I14"/>
    <mergeCell ref="B25:I25"/>
  </mergeCells>
  <hyperlinks>
    <hyperlink ref="L2" location="'Home Page'!A1" display="Back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L37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1.10937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6.554687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454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42555</v>
      </c>
      <c r="C5" s="8" t="s">
        <v>13</v>
      </c>
      <c r="D5" s="8" t="s">
        <v>92</v>
      </c>
      <c r="E5" s="8">
        <v>1123</v>
      </c>
      <c r="F5" s="8">
        <v>1112</v>
      </c>
      <c r="G5" s="8">
        <v>1400</v>
      </c>
      <c r="H5" s="8">
        <v>9</v>
      </c>
      <c r="I5" s="8">
        <f>G5*H5</f>
        <v>12600</v>
      </c>
      <c r="J5" s="17" t="s">
        <v>270</v>
      </c>
    </row>
    <row r="6" spans="1:12" ht="25.8" x14ac:dyDescent="0.5">
      <c r="B6" s="7">
        <v>42564</v>
      </c>
      <c r="C6" s="8" t="s">
        <v>20</v>
      </c>
      <c r="D6" s="8" t="s">
        <v>273</v>
      </c>
      <c r="E6" s="8">
        <v>315</v>
      </c>
      <c r="F6" s="8">
        <v>320</v>
      </c>
      <c r="G6" s="8">
        <v>5000</v>
      </c>
      <c r="H6" s="8">
        <v>5</v>
      </c>
      <c r="I6" s="8">
        <f>H6*G6</f>
        <v>25000</v>
      </c>
      <c r="J6" s="17" t="s">
        <v>198</v>
      </c>
    </row>
    <row r="7" spans="1:12" ht="25.8" x14ac:dyDescent="0.5">
      <c r="B7" s="7">
        <v>42569</v>
      </c>
      <c r="C7" s="8" t="s">
        <v>13</v>
      </c>
      <c r="D7" s="8" t="s">
        <v>212</v>
      </c>
      <c r="E7" s="8">
        <v>227</v>
      </c>
      <c r="F7" s="8">
        <v>218</v>
      </c>
      <c r="G7" s="8">
        <v>5000</v>
      </c>
      <c r="H7" s="8">
        <v>9</v>
      </c>
      <c r="I7" s="8">
        <f>H7*G7</f>
        <v>45000</v>
      </c>
      <c r="J7" s="17" t="s">
        <v>198</v>
      </c>
    </row>
    <row r="8" spans="1:12" ht="25.8" x14ac:dyDescent="0.5">
      <c r="B8" s="7">
        <v>42576</v>
      </c>
      <c r="C8" s="8" t="s">
        <v>13</v>
      </c>
      <c r="D8" s="8" t="s">
        <v>449</v>
      </c>
      <c r="E8" s="8">
        <v>540</v>
      </c>
      <c r="F8" s="8">
        <v>548</v>
      </c>
      <c r="G8" s="8">
        <v>2400</v>
      </c>
      <c r="H8" s="8">
        <v>-8</v>
      </c>
      <c r="I8" s="8">
        <f t="shared" ref="I8:I9" si="0">H8*G8</f>
        <v>-19200</v>
      </c>
      <c r="J8" s="17" t="s">
        <v>197</v>
      </c>
    </row>
    <row r="9" spans="1:12" ht="25.8" x14ac:dyDescent="0.5">
      <c r="B9" s="7"/>
      <c r="C9" s="8"/>
      <c r="D9" s="8"/>
      <c r="E9" s="8"/>
      <c r="F9" s="8"/>
      <c r="G9" s="8"/>
      <c r="H9" s="8"/>
      <c r="I9" s="8">
        <f t="shared" si="0"/>
        <v>0</v>
      </c>
      <c r="J9" s="17"/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63400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455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42564</v>
      </c>
      <c r="C16" s="8" t="s">
        <v>20</v>
      </c>
      <c r="D16" s="8" t="s">
        <v>30</v>
      </c>
      <c r="E16" s="8">
        <v>8510</v>
      </c>
      <c r="F16" s="8">
        <v>8600</v>
      </c>
      <c r="G16" s="8">
        <v>375</v>
      </c>
      <c r="H16" s="8">
        <v>90</v>
      </c>
      <c r="I16" s="8">
        <f>G16*H16</f>
        <v>33750</v>
      </c>
      <c r="J16" s="8" t="s">
        <v>236</v>
      </c>
    </row>
    <row r="17" spans="2:10" ht="25.8" x14ac:dyDescent="0.5">
      <c r="B17" s="13">
        <v>42569</v>
      </c>
      <c r="C17" s="8" t="s">
        <v>13</v>
      </c>
      <c r="D17" s="8" t="s">
        <v>30</v>
      </c>
      <c r="E17" s="8">
        <v>8570</v>
      </c>
      <c r="F17" s="8">
        <v>8500</v>
      </c>
      <c r="G17" s="8">
        <v>375</v>
      </c>
      <c r="H17" s="8">
        <v>70</v>
      </c>
      <c r="I17" s="8">
        <f t="shared" ref="I17:I20" si="1">G17*H17</f>
        <v>26250</v>
      </c>
      <c r="J17" s="8" t="s">
        <v>198</v>
      </c>
    </row>
    <row r="18" spans="2:10" ht="25.8" x14ac:dyDescent="0.5">
      <c r="B18" s="13">
        <v>42572</v>
      </c>
      <c r="C18" s="8" t="s">
        <v>8</v>
      </c>
      <c r="D18" s="8" t="s">
        <v>30</v>
      </c>
      <c r="E18" s="8">
        <v>8510</v>
      </c>
      <c r="F18" s="8">
        <v>8650</v>
      </c>
      <c r="G18" s="8">
        <v>375</v>
      </c>
      <c r="H18" s="8">
        <v>140</v>
      </c>
      <c r="I18" s="8">
        <f t="shared" si="1"/>
        <v>52500</v>
      </c>
      <c r="J18" s="8" t="s">
        <v>199</v>
      </c>
    </row>
    <row r="19" spans="2:10" ht="25.8" x14ac:dyDescent="0.5">
      <c r="B19" s="7">
        <v>42577</v>
      </c>
      <c r="C19" s="8" t="s">
        <v>13</v>
      </c>
      <c r="D19" s="8" t="s">
        <v>30</v>
      </c>
      <c r="E19" s="8">
        <v>8610</v>
      </c>
      <c r="F19" s="8">
        <v>8570</v>
      </c>
      <c r="G19" s="8">
        <v>375</v>
      </c>
      <c r="H19" s="8">
        <v>40</v>
      </c>
      <c r="I19" s="8">
        <f t="shared" si="1"/>
        <v>15000</v>
      </c>
      <c r="J19" s="8" t="s">
        <v>270</v>
      </c>
    </row>
    <row r="20" spans="2:10" ht="25.8" x14ac:dyDescent="0.5">
      <c r="B20" s="7"/>
      <c r="C20" s="8"/>
      <c r="D20" s="8"/>
      <c r="E20" s="8"/>
      <c r="F20" s="8"/>
      <c r="G20" s="8"/>
      <c r="H20" s="8"/>
      <c r="I20" s="8">
        <f t="shared" si="1"/>
        <v>0</v>
      </c>
      <c r="J20" s="8"/>
    </row>
    <row r="21" spans="2:10" ht="25.8" x14ac:dyDescent="0.5">
      <c r="B21" s="7"/>
      <c r="C21" s="8"/>
      <c r="D21" s="8"/>
      <c r="E21" s="8"/>
      <c r="F21" s="8"/>
      <c r="G21" s="8"/>
      <c r="H21" s="8"/>
      <c r="I21" s="9">
        <f>SUM(I16:I20)</f>
        <v>127500</v>
      </c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I23" s="9"/>
    </row>
    <row r="24" spans="2:10" ht="15" thickBot="1" x14ac:dyDescent="0.35"/>
    <row r="25" spans="2:10" ht="16.2" thickBot="1" x14ac:dyDescent="0.35">
      <c r="B25" s="158" t="s">
        <v>456</v>
      </c>
      <c r="C25" s="158"/>
      <c r="D25" s="158"/>
      <c r="E25" s="158"/>
      <c r="F25" s="158"/>
      <c r="G25" s="158"/>
      <c r="H25" s="158"/>
      <c r="I25" s="158"/>
      <c r="J25" s="19"/>
    </row>
    <row r="26" spans="2:10" x14ac:dyDescent="0.3">
      <c r="B26" s="1" t="s">
        <v>1</v>
      </c>
      <c r="C26" s="2" t="s">
        <v>2</v>
      </c>
      <c r="D26" s="2" t="s">
        <v>3</v>
      </c>
      <c r="E26" s="3" t="s">
        <v>4</v>
      </c>
      <c r="F26" s="3" t="s">
        <v>5</v>
      </c>
      <c r="G26" s="3" t="s">
        <v>6</v>
      </c>
      <c r="H26" s="3" t="s">
        <v>381</v>
      </c>
      <c r="I26" s="3" t="s">
        <v>89</v>
      </c>
      <c r="J26" s="20" t="s">
        <v>200</v>
      </c>
    </row>
    <row r="27" spans="2:10" ht="25.8" x14ac:dyDescent="0.5">
      <c r="B27" s="13">
        <v>42555</v>
      </c>
      <c r="C27" s="8" t="s">
        <v>20</v>
      </c>
      <c r="D27" s="8" t="s">
        <v>457</v>
      </c>
      <c r="E27" s="8">
        <v>22</v>
      </c>
      <c r="F27" s="8">
        <v>14</v>
      </c>
      <c r="G27" s="8">
        <v>700</v>
      </c>
      <c r="H27" s="8">
        <v>-8</v>
      </c>
      <c r="I27" s="8">
        <f>G27*H27</f>
        <v>-5600</v>
      </c>
      <c r="J27" s="8" t="s">
        <v>197</v>
      </c>
    </row>
    <row r="28" spans="2:10" ht="25.8" x14ac:dyDescent="0.5">
      <c r="B28" s="13">
        <v>42562</v>
      </c>
      <c r="C28" s="8" t="s">
        <v>8</v>
      </c>
      <c r="D28" s="8" t="s">
        <v>458</v>
      </c>
      <c r="E28" s="8">
        <v>15</v>
      </c>
      <c r="F28" s="8">
        <v>10</v>
      </c>
      <c r="G28" s="8">
        <v>1200</v>
      </c>
      <c r="H28" s="8">
        <v>-5</v>
      </c>
      <c r="I28" s="8">
        <f t="shared" ref="I28:I32" si="2">G28*H28</f>
        <v>-6000</v>
      </c>
      <c r="J28" s="8" t="s">
        <v>461</v>
      </c>
    </row>
    <row r="29" spans="2:10" ht="25.8" x14ac:dyDescent="0.5">
      <c r="B29" s="13">
        <v>42566</v>
      </c>
      <c r="C29" s="8" t="s">
        <v>8</v>
      </c>
      <c r="D29" s="8" t="s">
        <v>459</v>
      </c>
      <c r="E29" s="8">
        <v>3</v>
      </c>
      <c r="F29" s="8">
        <v>5</v>
      </c>
      <c r="G29" s="8">
        <v>6000</v>
      </c>
      <c r="H29" s="8">
        <v>2</v>
      </c>
      <c r="I29" s="8">
        <f t="shared" si="2"/>
        <v>12000</v>
      </c>
      <c r="J29" s="8" t="s">
        <v>441</v>
      </c>
    </row>
    <row r="30" spans="2:10" ht="25.8" x14ac:dyDescent="0.5">
      <c r="B30" s="13">
        <v>42569</v>
      </c>
      <c r="C30" s="8" t="s">
        <v>8</v>
      </c>
      <c r="D30" s="8" t="s">
        <v>460</v>
      </c>
      <c r="E30" s="8">
        <v>6</v>
      </c>
      <c r="F30" s="8">
        <v>13</v>
      </c>
      <c r="G30" s="8">
        <v>5000</v>
      </c>
      <c r="H30" s="8">
        <v>7</v>
      </c>
      <c r="I30" s="8">
        <f t="shared" si="2"/>
        <v>35000</v>
      </c>
      <c r="J30" s="8" t="s">
        <v>195</v>
      </c>
    </row>
    <row r="31" spans="2:10" ht="25.8" x14ac:dyDescent="0.5">
      <c r="B31" s="13">
        <v>42572</v>
      </c>
      <c r="C31" s="8" t="s">
        <v>8</v>
      </c>
      <c r="D31" s="8" t="s">
        <v>463</v>
      </c>
      <c r="E31" s="8">
        <v>28</v>
      </c>
      <c r="F31" s="8">
        <v>50</v>
      </c>
      <c r="G31" s="8">
        <v>700</v>
      </c>
      <c r="H31" s="8">
        <v>22</v>
      </c>
      <c r="I31" s="8">
        <f t="shared" si="2"/>
        <v>15400</v>
      </c>
      <c r="J31" s="17" t="s">
        <v>195</v>
      </c>
    </row>
    <row r="32" spans="2:10" ht="25.8" x14ac:dyDescent="0.5">
      <c r="B32" s="13">
        <v>42576</v>
      </c>
      <c r="C32" s="8" t="s">
        <v>8</v>
      </c>
      <c r="D32" s="8" t="s">
        <v>462</v>
      </c>
      <c r="E32" s="8">
        <v>35</v>
      </c>
      <c r="F32" s="8">
        <v>100</v>
      </c>
      <c r="G32" s="8">
        <v>400</v>
      </c>
      <c r="H32" s="8">
        <v>65</v>
      </c>
      <c r="I32" s="8">
        <f t="shared" si="2"/>
        <v>26000</v>
      </c>
      <c r="J32" s="17" t="s">
        <v>195</v>
      </c>
    </row>
    <row r="33" spans="2:10" ht="25.8" x14ac:dyDescent="0.5">
      <c r="B33" s="7"/>
      <c r="C33" s="8"/>
      <c r="D33" s="8"/>
      <c r="E33" s="8"/>
      <c r="F33" s="8"/>
      <c r="G33" s="8"/>
      <c r="H33" s="8"/>
      <c r="I33" s="9">
        <f>SUM(I27:I32)</f>
        <v>76800</v>
      </c>
      <c r="J33" s="8"/>
    </row>
    <row r="34" spans="2:10" ht="25.8" x14ac:dyDescent="0.5">
      <c r="B34" s="13"/>
      <c r="C34" s="8"/>
      <c r="D34" s="8"/>
      <c r="E34" s="8"/>
      <c r="F34" s="8"/>
      <c r="G34" s="8"/>
      <c r="H34" s="8"/>
      <c r="I34" s="8"/>
      <c r="J34" s="8"/>
    </row>
    <row r="35" spans="2:10" ht="25.8" x14ac:dyDescent="0.5">
      <c r="B35" s="13"/>
      <c r="C35" s="8"/>
      <c r="D35" s="8"/>
      <c r="E35" s="8"/>
      <c r="F35" s="8"/>
      <c r="G35" s="8"/>
      <c r="H35" s="8"/>
      <c r="I35" s="9"/>
      <c r="J35" s="8"/>
    </row>
    <row r="36" spans="2:10" ht="25.8" x14ac:dyDescent="0.5">
      <c r="B36" s="13"/>
      <c r="C36" s="8"/>
      <c r="D36" s="8"/>
      <c r="E36" s="8"/>
      <c r="F36" s="8"/>
      <c r="G36" s="8"/>
      <c r="H36" s="8"/>
      <c r="I36" s="9"/>
      <c r="J36" s="8"/>
    </row>
    <row r="37" spans="2:10" ht="25.8" x14ac:dyDescent="0.5">
      <c r="I37" s="9"/>
      <c r="J37" s="9"/>
    </row>
  </sheetData>
  <mergeCells count="5">
    <mergeCell ref="B1:I1"/>
    <mergeCell ref="B2:I2"/>
    <mergeCell ref="B3:I3"/>
    <mergeCell ref="B14:I14"/>
    <mergeCell ref="B25:I25"/>
  </mergeCells>
  <hyperlinks>
    <hyperlink ref="L2" location="'Home Page'!A1" display="Back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L38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2.554687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465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42584</v>
      </c>
      <c r="C5" s="8" t="s">
        <v>13</v>
      </c>
      <c r="D5" s="8" t="s">
        <v>28</v>
      </c>
      <c r="E5" s="8">
        <v>248</v>
      </c>
      <c r="F5" s="8">
        <v>240</v>
      </c>
      <c r="G5" s="8">
        <v>5000</v>
      </c>
      <c r="H5" s="8">
        <v>8</v>
      </c>
      <c r="I5" s="8">
        <f>G5*H5</f>
        <v>40000</v>
      </c>
      <c r="J5" s="17" t="s">
        <v>198</v>
      </c>
    </row>
    <row r="6" spans="1:12" ht="25.8" x14ac:dyDescent="0.5">
      <c r="B6" s="7">
        <v>42600</v>
      </c>
      <c r="C6" s="8" t="s">
        <v>13</v>
      </c>
      <c r="D6" s="8" t="s">
        <v>418</v>
      </c>
      <c r="E6" s="8">
        <v>266</v>
      </c>
      <c r="F6" s="8">
        <v>261</v>
      </c>
      <c r="G6" s="8">
        <v>6000</v>
      </c>
      <c r="H6" s="8">
        <v>5</v>
      </c>
      <c r="I6" s="8">
        <f>H6*G6</f>
        <v>30000</v>
      </c>
      <c r="J6" s="17" t="s">
        <v>198</v>
      </c>
    </row>
    <row r="7" spans="1:12" ht="25.8" x14ac:dyDescent="0.5">
      <c r="B7" s="7"/>
      <c r="C7" s="8"/>
      <c r="D7" s="8"/>
      <c r="E7" s="8"/>
      <c r="F7" s="8"/>
      <c r="G7" s="8"/>
      <c r="H7" s="8"/>
      <c r="I7" s="8">
        <f>H7*G7</f>
        <v>0</v>
      </c>
      <c r="J7" s="17"/>
    </row>
    <row r="8" spans="1:12" ht="25.8" x14ac:dyDescent="0.5">
      <c r="B8" s="7"/>
      <c r="C8" s="8"/>
      <c r="D8" s="8"/>
      <c r="E8" s="8"/>
      <c r="F8" s="8"/>
      <c r="G8" s="8"/>
      <c r="H8" s="8"/>
      <c r="I8" s="8">
        <f t="shared" ref="I8:I9" si="0">H8*G8</f>
        <v>0</v>
      </c>
      <c r="J8" s="17"/>
    </row>
    <row r="9" spans="1:12" ht="25.8" x14ac:dyDescent="0.5">
      <c r="B9" s="7"/>
      <c r="C9" s="8"/>
      <c r="D9" s="8"/>
      <c r="E9" s="8"/>
      <c r="F9" s="8"/>
      <c r="G9" s="8"/>
      <c r="H9" s="8"/>
      <c r="I9" s="8">
        <f t="shared" si="0"/>
        <v>0</v>
      </c>
      <c r="J9" s="17"/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70000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466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42584</v>
      </c>
      <c r="C16" s="8" t="s">
        <v>287</v>
      </c>
      <c r="D16" s="8" t="s">
        <v>176</v>
      </c>
      <c r="E16" s="8">
        <v>8680</v>
      </c>
      <c r="F16" s="8">
        <v>8570</v>
      </c>
      <c r="G16" s="8">
        <v>375</v>
      </c>
      <c r="H16" s="8">
        <v>110</v>
      </c>
      <c r="I16" s="8">
        <f>G16*H16</f>
        <v>41250</v>
      </c>
      <c r="J16" s="8" t="s">
        <v>199</v>
      </c>
    </row>
    <row r="17" spans="2:10" ht="25.8" x14ac:dyDescent="0.5">
      <c r="B17" s="13">
        <v>42593</v>
      </c>
      <c r="C17" s="8" t="s">
        <v>287</v>
      </c>
      <c r="D17" s="8" t="s">
        <v>176</v>
      </c>
      <c r="E17" s="8">
        <v>8600</v>
      </c>
      <c r="F17" s="8">
        <v>8680</v>
      </c>
      <c r="G17" s="8">
        <v>375</v>
      </c>
      <c r="H17" s="8">
        <v>-80</v>
      </c>
      <c r="I17" s="8">
        <f t="shared" ref="I17:I20" si="1">G17*H17</f>
        <v>-30000</v>
      </c>
      <c r="J17" s="8" t="s">
        <v>197</v>
      </c>
    </row>
    <row r="18" spans="2:10" ht="25.8" x14ac:dyDescent="0.5">
      <c r="B18" s="13">
        <v>42599</v>
      </c>
      <c r="C18" s="8" t="s">
        <v>20</v>
      </c>
      <c r="D18" s="8" t="s">
        <v>176</v>
      </c>
      <c r="E18" s="8">
        <v>8630</v>
      </c>
      <c r="F18" s="8">
        <v>8710</v>
      </c>
      <c r="G18" s="8">
        <v>375</v>
      </c>
      <c r="H18" s="8">
        <v>80</v>
      </c>
      <c r="I18" s="8">
        <f t="shared" si="1"/>
        <v>30000</v>
      </c>
      <c r="J18" s="8" t="s">
        <v>198</v>
      </c>
    </row>
    <row r="19" spans="2:10" ht="25.8" x14ac:dyDescent="0.5">
      <c r="B19" s="7">
        <v>42601</v>
      </c>
      <c r="C19" s="8" t="s">
        <v>287</v>
      </c>
      <c r="D19" s="8" t="s">
        <v>176</v>
      </c>
      <c r="E19" s="8">
        <v>8690</v>
      </c>
      <c r="F19" s="8">
        <v>8600</v>
      </c>
      <c r="G19" s="8">
        <v>375</v>
      </c>
      <c r="H19" s="8">
        <v>90</v>
      </c>
      <c r="I19" s="8">
        <f t="shared" si="1"/>
        <v>33750</v>
      </c>
      <c r="J19" s="8" t="s">
        <v>198</v>
      </c>
    </row>
    <row r="20" spans="2:10" ht="25.8" x14ac:dyDescent="0.5">
      <c r="B20" s="7">
        <v>42608</v>
      </c>
      <c r="C20" s="8" t="s">
        <v>287</v>
      </c>
      <c r="D20" s="8" t="s">
        <v>176</v>
      </c>
      <c r="E20" s="8">
        <v>8630</v>
      </c>
      <c r="F20" s="8">
        <v>8590</v>
      </c>
      <c r="G20" s="8">
        <v>375</v>
      </c>
      <c r="H20" s="8">
        <v>40</v>
      </c>
      <c r="I20" s="8">
        <f t="shared" si="1"/>
        <v>15000</v>
      </c>
      <c r="J20" s="8" t="s">
        <v>270</v>
      </c>
    </row>
    <row r="21" spans="2:10" ht="25.8" x14ac:dyDescent="0.5">
      <c r="B21" s="7"/>
      <c r="C21" s="8"/>
      <c r="D21" s="8"/>
      <c r="E21" s="8"/>
      <c r="F21" s="8"/>
      <c r="G21" s="8"/>
      <c r="H21" s="8"/>
      <c r="I21" s="9">
        <f>SUM(I16:I20)</f>
        <v>90000</v>
      </c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I23" s="9"/>
    </row>
    <row r="24" spans="2:10" ht="15" thickBot="1" x14ac:dyDescent="0.35"/>
    <row r="25" spans="2:10" ht="16.2" thickBot="1" x14ac:dyDescent="0.35">
      <c r="B25" s="158" t="s">
        <v>467</v>
      </c>
      <c r="C25" s="158"/>
      <c r="D25" s="158"/>
      <c r="E25" s="158"/>
      <c r="F25" s="158"/>
      <c r="G25" s="158"/>
      <c r="H25" s="158"/>
      <c r="I25" s="158"/>
      <c r="J25" s="19"/>
    </row>
    <row r="26" spans="2:10" x14ac:dyDescent="0.3">
      <c r="B26" s="1" t="s">
        <v>1</v>
      </c>
      <c r="C26" s="2" t="s">
        <v>2</v>
      </c>
      <c r="D26" s="2" t="s">
        <v>3</v>
      </c>
      <c r="E26" s="3" t="s">
        <v>4</v>
      </c>
      <c r="F26" s="3" t="s">
        <v>5</v>
      </c>
      <c r="G26" s="3" t="s">
        <v>6</v>
      </c>
      <c r="H26" s="3" t="s">
        <v>381</v>
      </c>
      <c r="I26" s="3" t="s">
        <v>89</v>
      </c>
      <c r="J26" s="20" t="s">
        <v>200</v>
      </c>
    </row>
    <row r="27" spans="2:10" ht="25.8" x14ac:dyDescent="0.5">
      <c r="B27" s="13">
        <v>42580</v>
      </c>
      <c r="C27" s="8" t="s">
        <v>20</v>
      </c>
      <c r="D27" s="8" t="s">
        <v>464</v>
      </c>
      <c r="E27" s="8">
        <v>28</v>
      </c>
      <c r="F27" s="8">
        <v>20</v>
      </c>
      <c r="G27" s="8">
        <v>700</v>
      </c>
      <c r="H27" s="8">
        <v>-8</v>
      </c>
      <c r="I27" s="8">
        <f>G27*H27</f>
        <v>-5600</v>
      </c>
      <c r="J27" s="8" t="s">
        <v>197</v>
      </c>
    </row>
    <row r="28" spans="2:10" ht="25.8" x14ac:dyDescent="0.5">
      <c r="B28" s="13">
        <v>42584</v>
      </c>
      <c r="C28" s="8" t="s">
        <v>8</v>
      </c>
      <c r="D28" s="8" t="s">
        <v>468</v>
      </c>
      <c r="E28" s="8">
        <v>50</v>
      </c>
      <c r="F28" s="8">
        <v>70</v>
      </c>
      <c r="G28" s="8">
        <v>500</v>
      </c>
      <c r="H28" s="8">
        <v>20</v>
      </c>
      <c r="I28" s="8">
        <f t="shared" ref="I28:I32" si="2">G28*H28</f>
        <v>10000</v>
      </c>
      <c r="J28" s="8" t="s">
        <v>198</v>
      </c>
    </row>
    <row r="29" spans="2:10" ht="25.8" x14ac:dyDescent="0.5">
      <c r="B29" s="13">
        <v>42585</v>
      </c>
      <c r="C29" s="8" t="s">
        <v>8</v>
      </c>
      <c r="D29" s="8" t="s">
        <v>419</v>
      </c>
      <c r="E29" s="8">
        <v>70</v>
      </c>
      <c r="F29" s="8">
        <v>95</v>
      </c>
      <c r="G29" s="8">
        <v>300</v>
      </c>
      <c r="H29" s="8">
        <v>25</v>
      </c>
      <c r="I29" s="8">
        <f t="shared" si="2"/>
        <v>7500</v>
      </c>
      <c r="J29" s="8" t="s">
        <v>198</v>
      </c>
    </row>
    <row r="30" spans="2:10" ht="25.8" x14ac:dyDescent="0.5">
      <c r="B30" s="13">
        <v>42593</v>
      </c>
      <c r="C30" s="8" t="s">
        <v>8</v>
      </c>
      <c r="D30" s="8" t="s">
        <v>469</v>
      </c>
      <c r="E30" s="8">
        <v>8</v>
      </c>
      <c r="F30" s="8">
        <v>5</v>
      </c>
      <c r="G30" s="8">
        <v>3000</v>
      </c>
      <c r="H30" s="8">
        <v>-3</v>
      </c>
      <c r="I30" s="8">
        <f t="shared" si="2"/>
        <v>-9000</v>
      </c>
      <c r="J30" s="8" t="s">
        <v>197</v>
      </c>
    </row>
    <row r="31" spans="2:10" ht="25.8" x14ac:dyDescent="0.5">
      <c r="B31" s="13">
        <v>42598</v>
      </c>
      <c r="C31" s="8" t="s">
        <v>8</v>
      </c>
      <c r="D31" s="8" t="s">
        <v>470</v>
      </c>
      <c r="E31" s="8">
        <v>6</v>
      </c>
      <c r="F31" s="8">
        <v>10</v>
      </c>
      <c r="G31" s="8">
        <v>1600</v>
      </c>
      <c r="H31" s="8">
        <v>4</v>
      </c>
      <c r="I31" s="8">
        <f t="shared" si="2"/>
        <v>6400</v>
      </c>
      <c r="J31" s="17" t="s">
        <v>198</v>
      </c>
    </row>
    <row r="32" spans="2:10" ht="25.8" x14ac:dyDescent="0.5">
      <c r="B32" s="13">
        <v>42599</v>
      </c>
      <c r="C32" s="8" t="s">
        <v>8</v>
      </c>
      <c r="D32" s="8" t="s">
        <v>471</v>
      </c>
      <c r="E32" s="8">
        <v>20</v>
      </c>
      <c r="F32" s="8">
        <v>35</v>
      </c>
      <c r="G32" s="8">
        <v>1400</v>
      </c>
      <c r="H32" s="8">
        <v>15</v>
      </c>
      <c r="I32" s="8">
        <f t="shared" si="2"/>
        <v>21000</v>
      </c>
      <c r="J32" s="17" t="s">
        <v>195</v>
      </c>
    </row>
    <row r="33" spans="2:10" ht="25.8" x14ac:dyDescent="0.5">
      <c r="B33" s="13"/>
      <c r="C33" s="8"/>
      <c r="D33" s="8"/>
      <c r="E33" s="8"/>
      <c r="F33" s="8"/>
      <c r="G33" s="8"/>
      <c r="H33" s="8"/>
      <c r="I33" s="8"/>
      <c r="J33" s="17"/>
    </row>
    <row r="34" spans="2:10" ht="25.8" x14ac:dyDescent="0.5">
      <c r="B34" s="7"/>
      <c r="C34" s="8"/>
      <c r="D34" s="8"/>
      <c r="E34" s="8"/>
      <c r="F34" s="8"/>
      <c r="G34" s="8"/>
      <c r="H34" s="8"/>
      <c r="I34" s="9">
        <f>SUM(I27:I32)</f>
        <v>30300</v>
      </c>
      <c r="J34" s="8"/>
    </row>
    <row r="35" spans="2:10" ht="25.8" x14ac:dyDescent="0.5">
      <c r="B35" s="13"/>
      <c r="C35" s="8"/>
      <c r="D35" s="8"/>
      <c r="E35" s="8"/>
      <c r="F35" s="8"/>
      <c r="G35" s="8"/>
      <c r="H35" s="8"/>
      <c r="I35" s="8"/>
      <c r="J35" s="8"/>
    </row>
    <row r="36" spans="2:10" ht="25.8" x14ac:dyDescent="0.5">
      <c r="B36" s="13"/>
      <c r="C36" s="8"/>
      <c r="D36" s="8"/>
      <c r="E36" s="8"/>
      <c r="F36" s="8"/>
      <c r="G36" s="8"/>
      <c r="H36" s="8"/>
      <c r="I36" s="9"/>
      <c r="J36" s="8"/>
    </row>
    <row r="37" spans="2:10" ht="25.8" x14ac:dyDescent="0.5">
      <c r="B37" s="13"/>
      <c r="C37" s="8"/>
      <c r="D37" s="8"/>
      <c r="E37" s="8"/>
      <c r="F37" s="8"/>
      <c r="G37" s="8"/>
      <c r="H37" s="8"/>
      <c r="I37" s="9"/>
      <c r="J37" s="8"/>
    </row>
    <row r="38" spans="2:10" ht="25.8" x14ac:dyDescent="0.5">
      <c r="I38" s="9"/>
      <c r="J38" s="9"/>
    </row>
  </sheetData>
  <mergeCells count="5">
    <mergeCell ref="B1:I1"/>
    <mergeCell ref="B2:I2"/>
    <mergeCell ref="B3:I3"/>
    <mergeCell ref="B14:I14"/>
    <mergeCell ref="B25:I25"/>
  </mergeCells>
  <hyperlinks>
    <hyperlink ref="L2" location="'Home Page'!A1" display="Back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L40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1" bestFit="1" customWidth="1"/>
    <col min="5" max="6" width="11.5546875" bestFit="1" customWidth="1"/>
    <col min="7" max="7" width="9.5546875" bestFit="1" customWidth="1"/>
    <col min="8" max="8" width="14.88671875" bestFit="1" customWidth="1"/>
    <col min="9" max="9" width="13.88671875" bestFit="1" customWidth="1"/>
    <col min="10" max="10" width="15.554687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479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42611</v>
      </c>
      <c r="C5" s="8" t="s">
        <v>13</v>
      </c>
      <c r="D5" s="8" t="s">
        <v>178</v>
      </c>
      <c r="E5" s="8">
        <v>350.5</v>
      </c>
      <c r="F5" s="8">
        <v>335.5</v>
      </c>
      <c r="G5" s="8">
        <v>5000</v>
      </c>
      <c r="H5" s="8">
        <v>15</v>
      </c>
      <c r="I5" s="8">
        <f>G5*H5</f>
        <v>75000</v>
      </c>
      <c r="J5" s="17" t="s">
        <v>195</v>
      </c>
    </row>
    <row r="6" spans="1:12" ht="25.8" x14ac:dyDescent="0.5">
      <c r="B6" s="7">
        <v>42621</v>
      </c>
      <c r="C6" s="8" t="s">
        <v>13</v>
      </c>
      <c r="D6" s="8" t="s">
        <v>92</v>
      </c>
      <c r="E6" s="8">
        <v>1330</v>
      </c>
      <c r="F6" s="8">
        <v>1260</v>
      </c>
      <c r="G6" s="8">
        <v>1400</v>
      </c>
      <c r="H6" s="8">
        <v>70</v>
      </c>
      <c r="I6" s="8">
        <f>H6*G6</f>
        <v>98000</v>
      </c>
      <c r="J6" s="17" t="s">
        <v>195</v>
      </c>
    </row>
    <row r="7" spans="1:12" ht="25.8" x14ac:dyDescent="0.5">
      <c r="B7" s="7">
        <v>42633</v>
      </c>
      <c r="C7" s="8" t="s">
        <v>20</v>
      </c>
      <c r="D7" s="8" t="s">
        <v>92</v>
      </c>
      <c r="E7" s="8">
        <v>1205</v>
      </c>
      <c r="F7" s="8">
        <v>1255</v>
      </c>
      <c r="G7" s="8">
        <v>1400</v>
      </c>
      <c r="H7" s="8">
        <v>50</v>
      </c>
      <c r="I7" s="8">
        <f>H7*G7</f>
        <v>70000</v>
      </c>
      <c r="J7" s="17" t="s">
        <v>195</v>
      </c>
    </row>
    <row r="8" spans="1:12" ht="25.8" x14ac:dyDescent="0.5">
      <c r="B8" s="7">
        <v>42636</v>
      </c>
      <c r="C8" s="8" t="s">
        <v>13</v>
      </c>
      <c r="D8" s="8" t="s">
        <v>449</v>
      </c>
      <c r="E8" s="8">
        <v>562</v>
      </c>
      <c r="F8" s="8">
        <v>530</v>
      </c>
      <c r="G8" s="8">
        <v>2400</v>
      </c>
      <c r="H8" s="8">
        <v>32</v>
      </c>
      <c r="I8" s="8">
        <f t="shared" ref="I8:I9" si="0">H8*G8</f>
        <v>76800</v>
      </c>
      <c r="J8" s="17" t="s">
        <v>195</v>
      </c>
    </row>
    <row r="9" spans="1:12" ht="25.8" x14ac:dyDescent="0.5">
      <c r="B9" s="7"/>
      <c r="C9" s="8"/>
      <c r="D9" s="8"/>
      <c r="E9" s="8"/>
      <c r="F9" s="8"/>
      <c r="G9" s="8"/>
      <c r="H9" s="8"/>
      <c r="I9" s="8">
        <f t="shared" si="0"/>
        <v>0</v>
      </c>
      <c r="J9" s="17"/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319800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480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42614</v>
      </c>
      <c r="C16" s="8" t="s">
        <v>20</v>
      </c>
      <c r="D16" s="8" t="s">
        <v>30</v>
      </c>
      <c r="E16" s="8">
        <v>8820</v>
      </c>
      <c r="F16" s="8">
        <v>8900</v>
      </c>
      <c r="G16" s="8">
        <v>375</v>
      </c>
      <c r="H16" s="8">
        <v>-80</v>
      </c>
      <c r="I16" s="8">
        <f>G16*H16</f>
        <v>-30000</v>
      </c>
      <c r="J16" s="8" t="s">
        <v>197</v>
      </c>
    </row>
    <row r="17" spans="2:10" ht="25.8" x14ac:dyDescent="0.5">
      <c r="B17" s="13">
        <v>42620</v>
      </c>
      <c r="C17" s="8" t="s">
        <v>13</v>
      </c>
      <c r="D17" s="8" t="s">
        <v>30</v>
      </c>
      <c r="E17" s="8">
        <v>8970</v>
      </c>
      <c r="F17" s="8">
        <v>8900</v>
      </c>
      <c r="G17" s="8">
        <v>375</v>
      </c>
      <c r="H17" s="8">
        <v>70</v>
      </c>
      <c r="I17" s="8">
        <f t="shared" ref="I17:I21" si="1">G17*H17</f>
        <v>26250</v>
      </c>
      <c r="J17" s="8" t="s">
        <v>476</v>
      </c>
    </row>
    <row r="18" spans="2:10" ht="25.8" x14ac:dyDescent="0.5">
      <c r="B18" s="13">
        <v>42625</v>
      </c>
      <c r="C18" s="8" t="s">
        <v>13</v>
      </c>
      <c r="D18" s="8" t="s">
        <v>30</v>
      </c>
      <c r="E18" s="8">
        <v>8750</v>
      </c>
      <c r="F18" s="8">
        <v>8830</v>
      </c>
      <c r="G18" s="8">
        <v>375</v>
      </c>
      <c r="H18" s="8">
        <v>-80</v>
      </c>
      <c r="I18" s="8">
        <f t="shared" si="1"/>
        <v>-30000</v>
      </c>
      <c r="J18" s="8" t="s">
        <v>197</v>
      </c>
    </row>
    <row r="19" spans="2:10" ht="25.8" x14ac:dyDescent="0.5">
      <c r="B19" s="7">
        <v>42633</v>
      </c>
      <c r="C19" s="8" t="s">
        <v>8</v>
      </c>
      <c r="D19" s="8" t="s">
        <v>30</v>
      </c>
      <c r="E19" s="8">
        <v>8800</v>
      </c>
      <c r="F19" s="8">
        <v>8900</v>
      </c>
      <c r="G19" s="8">
        <v>375</v>
      </c>
      <c r="H19" s="8">
        <v>100</v>
      </c>
      <c r="I19" s="8">
        <f t="shared" si="1"/>
        <v>37500</v>
      </c>
      <c r="J19" s="8" t="s">
        <v>476</v>
      </c>
    </row>
    <row r="20" spans="2:10" ht="25.8" x14ac:dyDescent="0.5">
      <c r="B20" s="7">
        <v>42635</v>
      </c>
      <c r="C20" s="8" t="s">
        <v>13</v>
      </c>
      <c r="D20" s="8" t="s">
        <v>30</v>
      </c>
      <c r="E20" s="8">
        <v>8880</v>
      </c>
      <c r="F20" s="8">
        <v>8750</v>
      </c>
      <c r="G20" s="8">
        <v>375</v>
      </c>
      <c r="H20" s="8">
        <v>150</v>
      </c>
      <c r="I20" s="8">
        <f t="shared" si="1"/>
        <v>56250</v>
      </c>
      <c r="J20" s="8" t="s">
        <v>195</v>
      </c>
    </row>
    <row r="21" spans="2:10" ht="25.8" x14ac:dyDescent="0.5">
      <c r="B21" s="7">
        <v>42639</v>
      </c>
      <c r="C21" s="8" t="s">
        <v>8</v>
      </c>
      <c r="D21" s="8" t="s">
        <v>30</v>
      </c>
      <c r="E21" s="8">
        <v>8730</v>
      </c>
      <c r="F21" s="8">
        <v>8800</v>
      </c>
      <c r="G21" s="8">
        <v>375</v>
      </c>
      <c r="H21" s="8">
        <v>70</v>
      </c>
      <c r="I21" s="8">
        <f t="shared" si="1"/>
        <v>26250</v>
      </c>
      <c r="J21" s="8" t="s">
        <v>198</v>
      </c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B23" s="7"/>
      <c r="C23" s="8"/>
      <c r="D23" s="8"/>
      <c r="E23" s="8"/>
      <c r="F23" s="8"/>
      <c r="G23" s="8"/>
      <c r="H23" s="8"/>
      <c r="I23" s="9">
        <f>SUM(I16:I21)</f>
        <v>86250</v>
      </c>
      <c r="J23" s="8"/>
    </row>
    <row r="24" spans="2:10" ht="25.8" x14ac:dyDescent="0.5">
      <c r="B24" s="7"/>
      <c r="C24" s="8"/>
      <c r="D24" s="8"/>
      <c r="E24" s="8"/>
      <c r="F24" s="8"/>
      <c r="G24" s="8"/>
      <c r="H24" s="8"/>
      <c r="I24" s="8"/>
      <c r="J24" s="8"/>
    </row>
    <row r="25" spans="2:10" ht="25.8" x14ac:dyDescent="0.5">
      <c r="I25" s="9"/>
    </row>
    <row r="26" spans="2:10" ht="15" thickBot="1" x14ac:dyDescent="0.35"/>
    <row r="27" spans="2:10" ht="16.2" thickBot="1" x14ac:dyDescent="0.35">
      <c r="B27" s="158" t="s">
        <v>481</v>
      </c>
      <c r="C27" s="158"/>
      <c r="D27" s="158"/>
      <c r="E27" s="158"/>
      <c r="F27" s="158"/>
      <c r="G27" s="158"/>
      <c r="H27" s="158"/>
      <c r="I27" s="158"/>
      <c r="J27" s="19"/>
    </row>
    <row r="28" spans="2:10" x14ac:dyDescent="0.3">
      <c r="B28" s="1"/>
      <c r="C28" s="2" t="s">
        <v>2</v>
      </c>
      <c r="D28" s="2" t="s">
        <v>3</v>
      </c>
      <c r="E28" s="3" t="s">
        <v>4</v>
      </c>
      <c r="F28" s="3" t="s">
        <v>5</v>
      </c>
      <c r="G28" s="3" t="s">
        <v>6</v>
      </c>
      <c r="H28" s="3" t="s">
        <v>381</v>
      </c>
      <c r="I28" s="3" t="s">
        <v>89</v>
      </c>
      <c r="J28" s="20" t="s">
        <v>200</v>
      </c>
    </row>
    <row r="29" spans="2:10" ht="25.8" x14ac:dyDescent="0.5">
      <c r="B29" s="13">
        <v>42614</v>
      </c>
      <c r="C29" s="8" t="s">
        <v>8</v>
      </c>
      <c r="D29" s="8" t="s">
        <v>473</v>
      </c>
      <c r="E29" s="8">
        <v>25</v>
      </c>
      <c r="F29" s="8">
        <v>15</v>
      </c>
      <c r="G29" s="8">
        <v>500</v>
      </c>
      <c r="H29" s="8">
        <v>-10</v>
      </c>
      <c r="I29" s="8">
        <f>G29*H29</f>
        <v>-5000</v>
      </c>
      <c r="J29" s="8" t="s">
        <v>197</v>
      </c>
    </row>
    <row r="30" spans="2:10" ht="25.8" x14ac:dyDescent="0.5">
      <c r="B30" s="13">
        <v>42619</v>
      </c>
      <c r="C30" s="8" t="s">
        <v>8</v>
      </c>
      <c r="D30" s="8" t="s">
        <v>472</v>
      </c>
      <c r="E30" s="8">
        <v>15</v>
      </c>
      <c r="F30" s="8">
        <v>25</v>
      </c>
      <c r="G30" s="8">
        <v>2400</v>
      </c>
      <c r="H30" s="8">
        <v>10</v>
      </c>
      <c r="I30" s="8">
        <f t="shared" ref="I30:I35" si="2">G30*H30</f>
        <v>24000</v>
      </c>
      <c r="J30" s="8" t="s">
        <v>195</v>
      </c>
    </row>
    <row r="31" spans="2:10" ht="25.8" x14ac:dyDescent="0.5">
      <c r="B31" s="13">
        <v>42620</v>
      </c>
      <c r="C31" s="8" t="s">
        <v>8</v>
      </c>
      <c r="D31" s="8" t="s">
        <v>474</v>
      </c>
      <c r="E31" s="8">
        <v>30</v>
      </c>
      <c r="F31" s="8">
        <v>60</v>
      </c>
      <c r="G31" s="8">
        <v>700</v>
      </c>
      <c r="H31" s="8">
        <v>30</v>
      </c>
      <c r="I31" s="8">
        <f t="shared" si="2"/>
        <v>21000</v>
      </c>
      <c r="J31" s="8" t="s">
        <v>195</v>
      </c>
    </row>
    <row r="32" spans="2:10" ht="25.8" x14ac:dyDescent="0.5">
      <c r="B32" s="13">
        <v>42621</v>
      </c>
      <c r="C32" s="8" t="s">
        <v>8</v>
      </c>
      <c r="D32" s="8" t="s">
        <v>475</v>
      </c>
      <c r="E32" s="8">
        <v>25</v>
      </c>
      <c r="F32" s="8">
        <v>80</v>
      </c>
      <c r="G32" s="8">
        <v>700</v>
      </c>
      <c r="H32" s="8">
        <v>55</v>
      </c>
      <c r="I32" s="8">
        <f t="shared" si="2"/>
        <v>38500</v>
      </c>
      <c r="J32" s="8" t="s">
        <v>195</v>
      </c>
    </row>
    <row r="33" spans="2:10" ht="25.8" x14ac:dyDescent="0.5">
      <c r="B33" s="13">
        <v>42622</v>
      </c>
      <c r="C33" s="8" t="s">
        <v>8</v>
      </c>
      <c r="D33" s="8" t="s">
        <v>471</v>
      </c>
      <c r="E33" s="8">
        <v>40</v>
      </c>
      <c r="F33" s="8">
        <v>50</v>
      </c>
      <c r="G33" s="8">
        <v>700</v>
      </c>
      <c r="H33" s="8">
        <v>10</v>
      </c>
      <c r="I33" s="8">
        <f t="shared" si="2"/>
        <v>7000</v>
      </c>
      <c r="J33" s="17" t="s">
        <v>198</v>
      </c>
    </row>
    <row r="34" spans="2:10" ht="25.8" x14ac:dyDescent="0.5">
      <c r="B34" s="13">
        <v>42629</v>
      </c>
      <c r="C34" s="8" t="s">
        <v>8</v>
      </c>
      <c r="D34" s="8" t="s">
        <v>477</v>
      </c>
      <c r="E34" s="8">
        <v>25</v>
      </c>
      <c r="F34" s="8">
        <v>15</v>
      </c>
      <c r="G34" s="8">
        <v>700</v>
      </c>
      <c r="H34" s="8">
        <v>-10</v>
      </c>
      <c r="I34" s="8">
        <f t="shared" si="2"/>
        <v>-7000</v>
      </c>
      <c r="J34" s="17" t="s">
        <v>197</v>
      </c>
    </row>
    <row r="35" spans="2:10" ht="25.8" x14ac:dyDescent="0.5">
      <c r="B35" s="13">
        <v>42635</v>
      </c>
      <c r="C35" s="8" t="s">
        <v>8</v>
      </c>
      <c r="D35" s="8" t="s">
        <v>478</v>
      </c>
      <c r="E35" s="8">
        <v>11</v>
      </c>
      <c r="F35" s="8">
        <v>25</v>
      </c>
      <c r="G35" s="8">
        <v>2400</v>
      </c>
      <c r="H35" s="8">
        <v>14</v>
      </c>
      <c r="I35" s="8">
        <f t="shared" si="2"/>
        <v>33600</v>
      </c>
      <c r="J35" s="17" t="s">
        <v>195</v>
      </c>
    </row>
    <row r="36" spans="2:10" ht="25.8" x14ac:dyDescent="0.5">
      <c r="B36" s="7"/>
      <c r="C36" s="8"/>
      <c r="D36" s="8"/>
      <c r="E36" s="8"/>
      <c r="F36" s="8"/>
      <c r="G36" s="8"/>
      <c r="H36" s="8"/>
      <c r="I36" s="9">
        <f>SUM(I29:I35)</f>
        <v>112100</v>
      </c>
      <c r="J36" s="8"/>
    </row>
    <row r="37" spans="2:10" ht="25.8" x14ac:dyDescent="0.5">
      <c r="B37" s="13"/>
      <c r="C37" s="8"/>
      <c r="D37" s="8"/>
      <c r="E37" s="8"/>
      <c r="F37" s="8"/>
      <c r="G37" s="8"/>
      <c r="H37" s="8"/>
      <c r="I37" s="8"/>
      <c r="J37" s="8"/>
    </row>
    <row r="38" spans="2:10" ht="25.8" x14ac:dyDescent="0.5">
      <c r="B38" s="13"/>
      <c r="C38" s="8"/>
      <c r="D38" s="8"/>
      <c r="E38" s="8"/>
      <c r="F38" s="8"/>
      <c r="G38" s="8"/>
      <c r="H38" s="8"/>
      <c r="I38" s="9"/>
      <c r="J38" s="8"/>
    </row>
    <row r="39" spans="2:10" ht="25.8" x14ac:dyDescent="0.5">
      <c r="B39" s="13"/>
      <c r="C39" s="8"/>
      <c r="D39" s="8"/>
      <c r="E39" s="8"/>
      <c r="F39" s="8"/>
      <c r="G39" s="8"/>
      <c r="H39" s="8"/>
      <c r="I39" s="9"/>
      <c r="J39" s="8"/>
    </row>
    <row r="40" spans="2:10" ht="25.8" x14ac:dyDescent="0.5">
      <c r="I40" s="9"/>
      <c r="J40" s="9"/>
    </row>
  </sheetData>
  <mergeCells count="5">
    <mergeCell ref="B1:I1"/>
    <mergeCell ref="B2:I2"/>
    <mergeCell ref="B3:I3"/>
    <mergeCell ref="B14:I14"/>
    <mergeCell ref="B27:I27"/>
  </mergeCells>
  <hyperlinks>
    <hyperlink ref="L2" location="'Home Page'!A1" display="Back" xr:uid="{00000000-0004-0000-2A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L40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0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482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42646</v>
      </c>
      <c r="C5" s="8" t="s">
        <v>20</v>
      </c>
      <c r="D5" s="8" t="s">
        <v>485</v>
      </c>
      <c r="E5" s="8">
        <v>320</v>
      </c>
      <c r="F5" s="8">
        <v>340</v>
      </c>
      <c r="G5" s="8">
        <v>6000</v>
      </c>
      <c r="H5" s="8">
        <v>20</v>
      </c>
      <c r="I5" s="8">
        <f>G5*H5</f>
        <v>120000</v>
      </c>
      <c r="J5" s="17" t="s">
        <v>195</v>
      </c>
    </row>
    <row r="6" spans="1:12" ht="25.8" x14ac:dyDescent="0.5">
      <c r="B6" s="7">
        <v>42648</v>
      </c>
      <c r="C6" s="8" t="s">
        <v>13</v>
      </c>
      <c r="D6" s="8" t="s">
        <v>449</v>
      </c>
      <c r="E6" s="8">
        <v>539</v>
      </c>
      <c r="F6" s="8">
        <v>527</v>
      </c>
      <c r="G6" s="8">
        <v>2400</v>
      </c>
      <c r="H6" s="8">
        <v>12</v>
      </c>
      <c r="I6" s="8">
        <f>H6*G6</f>
        <v>28800</v>
      </c>
      <c r="J6" s="17" t="s">
        <v>199</v>
      </c>
    </row>
    <row r="7" spans="1:12" ht="25.8" x14ac:dyDescent="0.5">
      <c r="B7" s="7">
        <v>42656</v>
      </c>
      <c r="C7" s="8" t="s">
        <v>13</v>
      </c>
      <c r="D7" s="8" t="s">
        <v>485</v>
      </c>
      <c r="E7" s="8">
        <v>315</v>
      </c>
      <c r="F7" s="8">
        <v>303</v>
      </c>
      <c r="G7" s="8">
        <v>6000</v>
      </c>
      <c r="H7" s="8">
        <v>12</v>
      </c>
      <c r="I7" s="8">
        <f>H7*G7</f>
        <v>72000</v>
      </c>
      <c r="J7" s="17" t="s">
        <v>199</v>
      </c>
    </row>
    <row r="8" spans="1:12" ht="25.8" x14ac:dyDescent="0.5">
      <c r="B8" s="7">
        <v>42663</v>
      </c>
      <c r="C8" s="8" t="s">
        <v>8</v>
      </c>
      <c r="D8" s="8" t="s">
        <v>489</v>
      </c>
      <c r="E8" s="8">
        <v>1975</v>
      </c>
      <c r="F8" s="8">
        <v>2010</v>
      </c>
      <c r="G8" s="8">
        <v>800</v>
      </c>
      <c r="H8" s="8">
        <v>35</v>
      </c>
      <c r="I8" s="8">
        <f t="shared" ref="I8:I9" si="0">H8*G8</f>
        <v>28000</v>
      </c>
      <c r="J8" s="17" t="s">
        <v>198</v>
      </c>
    </row>
    <row r="9" spans="1:12" ht="25.8" x14ac:dyDescent="0.5">
      <c r="B9" s="7"/>
      <c r="C9" s="8"/>
      <c r="D9" s="8"/>
      <c r="E9" s="8"/>
      <c r="F9" s="8"/>
      <c r="G9" s="8"/>
      <c r="H9" s="8"/>
      <c r="I9" s="8">
        <f t="shared" si="0"/>
        <v>0</v>
      </c>
      <c r="J9" s="17"/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248800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483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42646</v>
      </c>
      <c r="C16" s="8" t="s">
        <v>20</v>
      </c>
      <c r="D16" s="8" t="s">
        <v>30</v>
      </c>
      <c r="E16" s="8">
        <v>8750</v>
      </c>
      <c r="F16" s="8">
        <v>8810</v>
      </c>
      <c r="G16" s="8">
        <v>375</v>
      </c>
      <c r="H16" s="8">
        <v>60</v>
      </c>
      <c r="I16" s="8">
        <f>G16*H16</f>
        <v>22500</v>
      </c>
      <c r="J16" s="8" t="s">
        <v>198</v>
      </c>
    </row>
    <row r="17" spans="2:10" ht="25.8" x14ac:dyDescent="0.5">
      <c r="B17" s="13">
        <v>42648</v>
      </c>
      <c r="C17" s="8" t="s">
        <v>13</v>
      </c>
      <c r="D17" s="8" t="s">
        <v>30</v>
      </c>
      <c r="E17" s="8">
        <v>8790</v>
      </c>
      <c r="F17" s="8">
        <v>8600</v>
      </c>
      <c r="G17" s="8">
        <v>375</v>
      </c>
      <c r="H17" s="8">
        <v>190</v>
      </c>
      <c r="I17" s="8">
        <f t="shared" ref="I17:I21" si="1">G17*H17</f>
        <v>71250</v>
      </c>
      <c r="J17" s="8" t="s">
        <v>195</v>
      </c>
    </row>
    <row r="18" spans="2:10" ht="25.8" x14ac:dyDescent="0.5">
      <c r="B18" s="13">
        <v>42662</v>
      </c>
      <c r="C18" s="8" t="s">
        <v>13</v>
      </c>
      <c r="D18" s="8" t="s">
        <v>30</v>
      </c>
      <c r="E18" s="8">
        <v>8680</v>
      </c>
      <c r="F18" s="8">
        <v>8550</v>
      </c>
      <c r="G18" s="8">
        <v>375</v>
      </c>
      <c r="H18" s="8">
        <v>130</v>
      </c>
      <c r="I18" s="8">
        <f t="shared" si="1"/>
        <v>48750</v>
      </c>
      <c r="J18" s="8" t="s">
        <v>199</v>
      </c>
    </row>
    <row r="19" spans="2:10" ht="25.8" x14ac:dyDescent="0.5">
      <c r="B19" s="7"/>
      <c r="C19" s="8"/>
      <c r="D19" s="8"/>
      <c r="E19" s="8"/>
      <c r="F19" s="8"/>
      <c r="G19" s="8"/>
      <c r="H19" s="8"/>
      <c r="I19" s="8">
        <f t="shared" si="1"/>
        <v>0</v>
      </c>
      <c r="J19" s="8"/>
    </row>
    <row r="20" spans="2:10" ht="25.8" x14ac:dyDescent="0.5">
      <c r="B20" s="7"/>
      <c r="C20" s="8"/>
      <c r="D20" s="8"/>
      <c r="E20" s="8"/>
      <c r="F20" s="8"/>
      <c r="G20" s="8"/>
      <c r="H20" s="8"/>
      <c r="I20" s="8">
        <f t="shared" si="1"/>
        <v>0</v>
      </c>
      <c r="J20" s="8"/>
    </row>
    <row r="21" spans="2:10" ht="25.8" x14ac:dyDescent="0.5">
      <c r="B21" s="7"/>
      <c r="C21" s="8"/>
      <c r="D21" s="8"/>
      <c r="E21" s="8"/>
      <c r="F21" s="8"/>
      <c r="G21" s="8"/>
      <c r="H21" s="8"/>
      <c r="I21" s="8">
        <f t="shared" si="1"/>
        <v>0</v>
      </c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B23" s="7"/>
      <c r="C23" s="8"/>
      <c r="D23" s="8"/>
      <c r="E23" s="8"/>
      <c r="F23" s="8"/>
      <c r="G23" s="8"/>
      <c r="H23" s="8"/>
      <c r="I23" s="9">
        <f>SUM(I16:I21)</f>
        <v>142500</v>
      </c>
      <c r="J23" s="8"/>
    </row>
    <row r="24" spans="2:10" ht="25.8" x14ac:dyDescent="0.5">
      <c r="B24" s="7"/>
      <c r="C24" s="8"/>
      <c r="D24" s="8"/>
      <c r="E24" s="8"/>
      <c r="F24" s="8"/>
      <c r="G24" s="8"/>
      <c r="H24" s="8"/>
      <c r="I24" s="8"/>
      <c r="J24" s="8"/>
    </row>
    <row r="25" spans="2:10" ht="25.8" x14ac:dyDescent="0.5">
      <c r="I25" s="9"/>
    </row>
    <row r="26" spans="2:10" ht="15" thickBot="1" x14ac:dyDescent="0.35"/>
    <row r="27" spans="2:10" ht="16.2" thickBot="1" x14ac:dyDescent="0.35">
      <c r="B27" s="158" t="s">
        <v>484</v>
      </c>
      <c r="C27" s="158"/>
      <c r="D27" s="158"/>
      <c r="E27" s="158"/>
      <c r="F27" s="158"/>
      <c r="G27" s="158"/>
      <c r="H27" s="158"/>
      <c r="I27" s="158"/>
      <c r="J27" s="19"/>
    </row>
    <row r="28" spans="2:10" x14ac:dyDescent="0.3">
      <c r="B28" s="1"/>
      <c r="C28" s="2" t="s">
        <v>2</v>
      </c>
      <c r="D28" s="2" t="s">
        <v>3</v>
      </c>
      <c r="E28" s="3" t="s">
        <v>4</v>
      </c>
      <c r="F28" s="3" t="s">
        <v>5</v>
      </c>
      <c r="G28" s="3" t="s">
        <v>6</v>
      </c>
      <c r="H28" s="3" t="s">
        <v>381</v>
      </c>
      <c r="I28" s="3" t="s">
        <v>89</v>
      </c>
      <c r="J28" s="20" t="s">
        <v>200</v>
      </c>
    </row>
    <row r="29" spans="2:10" ht="25.8" x14ac:dyDescent="0.5">
      <c r="B29" s="13">
        <v>42646</v>
      </c>
      <c r="C29" s="8" t="s">
        <v>20</v>
      </c>
      <c r="D29" s="8" t="s">
        <v>486</v>
      </c>
      <c r="E29" s="8">
        <v>10</v>
      </c>
      <c r="F29" s="8">
        <v>6</v>
      </c>
      <c r="G29" s="8">
        <v>2500</v>
      </c>
      <c r="H29" s="8">
        <v>-4</v>
      </c>
      <c r="I29" s="8">
        <f>G29*H29</f>
        <v>-10000</v>
      </c>
      <c r="J29" s="8" t="s">
        <v>461</v>
      </c>
    </row>
    <row r="30" spans="2:10" ht="25.8" x14ac:dyDescent="0.5">
      <c r="B30" s="13">
        <v>42660</v>
      </c>
      <c r="C30" s="8" t="s">
        <v>8</v>
      </c>
      <c r="D30" s="8" t="s">
        <v>487</v>
      </c>
      <c r="E30" s="8">
        <v>13</v>
      </c>
      <c r="F30" s="8">
        <v>7</v>
      </c>
      <c r="G30" s="8">
        <v>1200</v>
      </c>
      <c r="H30" s="8">
        <v>-6</v>
      </c>
      <c r="I30" s="8">
        <f t="shared" ref="I30:I35" si="2">G30*H30</f>
        <v>-7200</v>
      </c>
      <c r="J30" s="8" t="s">
        <v>197</v>
      </c>
    </row>
    <row r="31" spans="2:10" ht="25.8" x14ac:dyDescent="0.5">
      <c r="B31" s="13">
        <v>42662</v>
      </c>
      <c r="C31" s="8" t="s">
        <v>8</v>
      </c>
      <c r="D31" s="8" t="s">
        <v>488</v>
      </c>
      <c r="E31" s="8">
        <v>6.5</v>
      </c>
      <c r="F31" s="8">
        <v>3</v>
      </c>
      <c r="G31" s="8">
        <v>2500</v>
      </c>
      <c r="H31" s="8">
        <v>-3.5</v>
      </c>
      <c r="I31" s="8">
        <f t="shared" si="2"/>
        <v>-8750</v>
      </c>
      <c r="J31" s="8" t="s">
        <v>197</v>
      </c>
    </row>
    <row r="32" spans="2:10" ht="25.8" x14ac:dyDescent="0.5">
      <c r="B32" s="13">
        <v>42663</v>
      </c>
      <c r="C32" s="8" t="s">
        <v>8</v>
      </c>
      <c r="D32" s="8" t="s">
        <v>490</v>
      </c>
      <c r="E32" s="8">
        <v>5.5</v>
      </c>
      <c r="F32" s="8">
        <v>9.5</v>
      </c>
      <c r="G32" s="8">
        <v>6000</v>
      </c>
      <c r="H32" s="8">
        <v>4</v>
      </c>
      <c r="I32" s="8">
        <f t="shared" si="2"/>
        <v>24000</v>
      </c>
      <c r="J32" s="8" t="s">
        <v>198</v>
      </c>
    </row>
    <row r="33" spans="2:10" ht="25.8" x14ac:dyDescent="0.5">
      <c r="B33" s="13">
        <v>42667</v>
      </c>
      <c r="C33" s="8" t="s">
        <v>8</v>
      </c>
      <c r="D33" s="8" t="s">
        <v>491</v>
      </c>
      <c r="E33" s="8">
        <v>6</v>
      </c>
      <c r="F33" s="8">
        <v>8</v>
      </c>
      <c r="G33" s="8">
        <v>6000</v>
      </c>
      <c r="H33" s="8">
        <v>2</v>
      </c>
      <c r="I33" s="8">
        <f t="shared" si="2"/>
        <v>12000</v>
      </c>
      <c r="J33" s="17" t="s">
        <v>270</v>
      </c>
    </row>
    <row r="34" spans="2:10" ht="25.8" x14ac:dyDescent="0.5">
      <c r="B34" s="13">
        <v>42668</v>
      </c>
      <c r="C34" s="8" t="s">
        <v>8</v>
      </c>
      <c r="D34" s="8" t="s">
        <v>492</v>
      </c>
      <c r="E34" s="8">
        <v>100</v>
      </c>
      <c r="F34" s="8">
        <v>200</v>
      </c>
      <c r="G34" s="8">
        <v>300</v>
      </c>
      <c r="H34" s="8">
        <v>100</v>
      </c>
      <c r="I34" s="8">
        <f t="shared" si="2"/>
        <v>30000</v>
      </c>
      <c r="J34" s="17" t="s">
        <v>195</v>
      </c>
    </row>
    <row r="35" spans="2:10" ht="25.8" x14ac:dyDescent="0.5">
      <c r="B35" s="13">
        <v>42670</v>
      </c>
      <c r="C35" s="8" t="s">
        <v>8</v>
      </c>
      <c r="D35" s="8" t="s">
        <v>493</v>
      </c>
      <c r="E35" s="8">
        <v>8</v>
      </c>
      <c r="F35" s="8">
        <v>17</v>
      </c>
      <c r="G35" s="8">
        <v>2800</v>
      </c>
      <c r="H35" s="8">
        <v>9</v>
      </c>
      <c r="I35" s="8">
        <f t="shared" si="2"/>
        <v>25200</v>
      </c>
      <c r="J35" s="17" t="s">
        <v>199</v>
      </c>
    </row>
    <row r="36" spans="2:10" ht="25.8" x14ac:dyDescent="0.5">
      <c r="B36" s="7"/>
      <c r="C36" s="8"/>
      <c r="D36" s="8"/>
      <c r="E36" s="8"/>
      <c r="F36" s="8"/>
      <c r="G36" s="8"/>
      <c r="H36" s="8"/>
      <c r="I36" s="9">
        <f>SUM(I29:I35)</f>
        <v>65250</v>
      </c>
      <c r="J36" s="8"/>
    </row>
    <row r="37" spans="2:10" ht="25.8" x14ac:dyDescent="0.5">
      <c r="B37" s="13"/>
      <c r="C37" s="8"/>
      <c r="D37" s="8"/>
      <c r="E37" s="8"/>
      <c r="F37" s="8"/>
      <c r="G37" s="8"/>
      <c r="H37" s="8"/>
      <c r="I37" s="8"/>
      <c r="J37" s="8"/>
    </row>
    <row r="38" spans="2:10" ht="25.8" x14ac:dyDescent="0.5">
      <c r="B38" s="13"/>
      <c r="C38" s="8"/>
      <c r="D38" s="8"/>
      <c r="E38" s="8"/>
      <c r="F38" s="8"/>
      <c r="G38" s="8"/>
      <c r="H38" s="8"/>
      <c r="I38" s="9"/>
      <c r="J38" s="8"/>
    </row>
    <row r="39" spans="2:10" ht="25.8" x14ac:dyDescent="0.5">
      <c r="B39" s="13"/>
      <c r="C39" s="8"/>
      <c r="D39" s="8"/>
      <c r="E39" s="8"/>
      <c r="F39" s="8"/>
      <c r="G39" s="8"/>
      <c r="H39" s="8"/>
      <c r="I39" s="9"/>
      <c r="J39" s="8"/>
    </row>
    <row r="40" spans="2:10" ht="25.8" x14ac:dyDescent="0.5">
      <c r="I40" s="9"/>
      <c r="J40" s="9"/>
    </row>
  </sheetData>
  <mergeCells count="5">
    <mergeCell ref="B1:I1"/>
    <mergeCell ref="B2:I2"/>
    <mergeCell ref="B3:I3"/>
    <mergeCell ref="B14:I14"/>
    <mergeCell ref="B27:I27"/>
  </mergeCells>
  <hyperlinks>
    <hyperlink ref="L2" location="'Home Page'!A1" display="Back" xr:uid="{00000000-0004-0000-2B00-000000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L40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2.554687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15.554687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494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42682</v>
      </c>
      <c r="C5" s="8" t="s">
        <v>13</v>
      </c>
      <c r="D5" s="8" t="s">
        <v>418</v>
      </c>
      <c r="E5" s="8">
        <v>298</v>
      </c>
      <c r="F5" s="8">
        <v>255</v>
      </c>
      <c r="G5" s="8">
        <v>6000</v>
      </c>
      <c r="H5" s="8">
        <v>48</v>
      </c>
      <c r="I5" s="8">
        <f>G5*H5</f>
        <v>288000</v>
      </c>
      <c r="J5" s="17" t="s">
        <v>195</v>
      </c>
    </row>
    <row r="6" spans="1:12" ht="25.8" x14ac:dyDescent="0.5">
      <c r="B6" s="7">
        <v>42684</v>
      </c>
      <c r="C6" s="8" t="s">
        <v>13</v>
      </c>
      <c r="D6" s="8" t="s">
        <v>28</v>
      </c>
      <c r="E6" s="8">
        <v>294</v>
      </c>
      <c r="F6" s="8">
        <v>278</v>
      </c>
      <c r="G6" s="8">
        <v>5000</v>
      </c>
      <c r="H6" s="8">
        <v>16</v>
      </c>
      <c r="I6" s="8">
        <f>H6*G6</f>
        <v>80000</v>
      </c>
      <c r="J6" s="17" t="s">
        <v>195</v>
      </c>
    </row>
    <row r="7" spans="1:12" ht="25.8" x14ac:dyDescent="0.5">
      <c r="B7" s="7">
        <v>42691</v>
      </c>
      <c r="C7" s="8" t="s">
        <v>13</v>
      </c>
      <c r="D7" s="8" t="s">
        <v>92</v>
      </c>
      <c r="E7" s="8">
        <v>1180</v>
      </c>
      <c r="F7" s="8">
        <v>1120</v>
      </c>
      <c r="G7" s="8">
        <v>1400</v>
      </c>
      <c r="H7" s="8">
        <v>60</v>
      </c>
      <c r="I7" s="8">
        <f>H7*G7</f>
        <v>84000</v>
      </c>
      <c r="J7" s="17" t="s">
        <v>195</v>
      </c>
    </row>
    <row r="8" spans="1:12" ht="25.8" x14ac:dyDescent="0.5">
      <c r="B8" s="7">
        <v>42703</v>
      </c>
      <c r="C8" s="8" t="s">
        <v>13</v>
      </c>
      <c r="D8" s="8" t="s">
        <v>92</v>
      </c>
      <c r="E8" s="8">
        <v>1158</v>
      </c>
      <c r="F8" s="8">
        <v>1145</v>
      </c>
      <c r="G8" s="8">
        <v>1400</v>
      </c>
      <c r="H8" s="8">
        <v>13</v>
      </c>
      <c r="I8" s="8">
        <f t="shared" ref="I8:I9" si="0">H8*G8</f>
        <v>18200</v>
      </c>
      <c r="J8" s="17" t="s">
        <v>403</v>
      </c>
    </row>
    <row r="9" spans="1:12" ht="25.8" x14ac:dyDescent="0.5">
      <c r="B9" s="7"/>
      <c r="C9" s="8"/>
      <c r="D9" s="8"/>
      <c r="E9" s="8"/>
      <c r="F9" s="8"/>
      <c r="G9" s="8"/>
      <c r="H9" s="8"/>
      <c r="I9" s="8">
        <f t="shared" si="0"/>
        <v>0</v>
      </c>
      <c r="J9" s="17"/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470200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495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42681</v>
      </c>
      <c r="C16" s="8" t="s">
        <v>13</v>
      </c>
      <c r="D16" s="8" t="s">
        <v>30</v>
      </c>
      <c r="E16" s="8">
        <v>8530</v>
      </c>
      <c r="F16" s="8">
        <v>8100</v>
      </c>
      <c r="G16" s="8">
        <v>375</v>
      </c>
      <c r="H16" s="8">
        <v>430</v>
      </c>
      <c r="I16" s="8">
        <f>G16*H16</f>
        <v>161250</v>
      </c>
      <c r="J16" s="8" t="s">
        <v>195</v>
      </c>
    </row>
    <row r="17" spans="2:10" ht="25.8" x14ac:dyDescent="0.5">
      <c r="B17" s="13">
        <v>42684</v>
      </c>
      <c r="C17" s="8" t="s">
        <v>13</v>
      </c>
      <c r="D17" s="8" t="s">
        <v>30</v>
      </c>
      <c r="E17" s="8">
        <v>8600</v>
      </c>
      <c r="F17" s="8">
        <v>8400</v>
      </c>
      <c r="G17" s="8">
        <v>375</v>
      </c>
      <c r="H17" s="8">
        <v>200</v>
      </c>
      <c r="I17" s="8">
        <f t="shared" ref="I17:I21" si="1">G17*H17</f>
        <v>75000</v>
      </c>
      <c r="J17" s="8" t="s">
        <v>195</v>
      </c>
    </row>
    <row r="18" spans="2:10" ht="25.8" x14ac:dyDescent="0.5">
      <c r="B18" s="13">
        <v>42690</v>
      </c>
      <c r="C18" s="8" t="s">
        <v>13</v>
      </c>
      <c r="D18" s="8" t="s">
        <v>30</v>
      </c>
      <c r="E18" s="8">
        <v>8170</v>
      </c>
      <c r="F18" s="8">
        <v>8000</v>
      </c>
      <c r="G18" s="8">
        <v>375</v>
      </c>
      <c r="H18" s="8">
        <v>170</v>
      </c>
      <c r="I18" s="8">
        <f t="shared" si="1"/>
        <v>63750</v>
      </c>
      <c r="J18" s="8" t="s">
        <v>195</v>
      </c>
    </row>
    <row r="19" spans="2:10" ht="25.8" x14ac:dyDescent="0.5">
      <c r="B19" s="7">
        <v>42699</v>
      </c>
      <c r="C19" s="8" t="s">
        <v>13</v>
      </c>
      <c r="D19" s="8" t="s">
        <v>30</v>
      </c>
      <c r="E19" s="8">
        <v>8110</v>
      </c>
      <c r="F19" s="8">
        <v>8210</v>
      </c>
      <c r="G19" s="8">
        <v>375</v>
      </c>
      <c r="H19" s="8">
        <v>-100</v>
      </c>
      <c r="I19" s="8">
        <f t="shared" si="1"/>
        <v>-37500</v>
      </c>
      <c r="J19" s="8" t="s">
        <v>197</v>
      </c>
    </row>
    <row r="20" spans="2:10" ht="25.8" x14ac:dyDescent="0.5">
      <c r="B20" s="7"/>
      <c r="C20" s="8"/>
      <c r="D20" s="8"/>
      <c r="E20" s="8"/>
      <c r="F20" s="8"/>
      <c r="G20" s="8"/>
      <c r="H20" s="8"/>
      <c r="I20" s="8">
        <f t="shared" si="1"/>
        <v>0</v>
      </c>
      <c r="J20" s="8"/>
    </row>
    <row r="21" spans="2:10" ht="25.8" x14ac:dyDescent="0.5">
      <c r="B21" s="7"/>
      <c r="C21" s="8"/>
      <c r="D21" s="8"/>
      <c r="E21" s="8"/>
      <c r="F21" s="8"/>
      <c r="G21" s="8"/>
      <c r="H21" s="8"/>
      <c r="I21" s="8">
        <f t="shared" si="1"/>
        <v>0</v>
      </c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B23" s="7"/>
      <c r="C23" s="8"/>
      <c r="D23" s="8"/>
      <c r="E23" s="8"/>
      <c r="F23" s="8"/>
      <c r="G23" s="8"/>
      <c r="H23" s="8"/>
      <c r="I23" s="9">
        <f>SUM(I16:I21)</f>
        <v>262500</v>
      </c>
      <c r="J23" s="8"/>
    </row>
    <row r="24" spans="2:10" ht="25.8" x14ac:dyDescent="0.5">
      <c r="B24" s="7"/>
      <c r="C24" s="8"/>
      <c r="D24" s="8"/>
      <c r="E24" s="8"/>
      <c r="F24" s="8"/>
      <c r="G24" s="8"/>
      <c r="H24" s="8"/>
      <c r="I24" s="8"/>
      <c r="J24" s="8"/>
    </row>
    <row r="25" spans="2:10" ht="25.8" x14ac:dyDescent="0.5">
      <c r="I25" s="9"/>
    </row>
    <row r="26" spans="2:10" ht="15" thickBot="1" x14ac:dyDescent="0.35"/>
    <row r="27" spans="2:10" ht="16.2" thickBot="1" x14ac:dyDescent="0.35">
      <c r="B27" s="158" t="s">
        <v>496</v>
      </c>
      <c r="C27" s="158"/>
      <c r="D27" s="158"/>
      <c r="E27" s="158"/>
      <c r="F27" s="158"/>
      <c r="G27" s="158"/>
      <c r="H27" s="158"/>
      <c r="I27" s="158"/>
      <c r="J27" s="19"/>
    </row>
    <row r="28" spans="2:10" x14ac:dyDescent="0.3">
      <c r="B28" s="1"/>
      <c r="C28" s="2" t="s">
        <v>2</v>
      </c>
      <c r="D28" s="2" t="s">
        <v>3</v>
      </c>
      <c r="E28" s="3" t="s">
        <v>4</v>
      </c>
      <c r="F28" s="3" t="s">
        <v>5</v>
      </c>
      <c r="G28" s="3" t="s">
        <v>6</v>
      </c>
      <c r="H28" s="3" t="s">
        <v>381</v>
      </c>
      <c r="I28" s="3" t="s">
        <v>89</v>
      </c>
      <c r="J28" s="20" t="s">
        <v>200</v>
      </c>
    </row>
    <row r="29" spans="2:10" ht="25.8" x14ac:dyDescent="0.5">
      <c r="B29" s="13">
        <v>42681</v>
      </c>
      <c r="C29" s="8" t="s">
        <v>20</v>
      </c>
      <c r="D29" s="8" t="s">
        <v>464</v>
      </c>
      <c r="E29" s="8">
        <v>27</v>
      </c>
      <c r="F29" s="8">
        <v>70</v>
      </c>
      <c r="G29" s="8">
        <v>700</v>
      </c>
      <c r="H29" s="8">
        <v>43</v>
      </c>
      <c r="I29" s="8">
        <f>G29*H29</f>
        <v>30100</v>
      </c>
      <c r="J29" s="8" t="s">
        <v>195</v>
      </c>
    </row>
    <row r="30" spans="2:10" ht="25.8" x14ac:dyDescent="0.5">
      <c r="B30" s="13">
        <v>42682</v>
      </c>
      <c r="C30" s="8" t="s">
        <v>8</v>
      </c>
      <c r="D30" s="8" t="s">
        <v>497</v>
      </c>
      <c r="E30" s="8">
        <v>12</v>
      </c>
      <c r="F30" s="8">
        <v>32</v>
      </c>
      <c r="G30" s="8">
        <v>3000</v>
      </c>
      <c r="H30" s="8">
        <v>20</v>
      </c>
      <c r="I30" s="8">
        <f t="shared" ref="I30:I35" si="2">G30*H30</f>
        <v>60000</v>
      </c>
      <c r="J30" s="8" t="s">
        <v>195</v>
      </c>
    </row>
    <row r="31" spans="2:10" ht="25.8" x14ac:dyDescent="0.5">
      <c r="B31" s="13">
        <v>42684</v>
      </c>
      <c r="C31" s="8" t="s">
        <v>8</v>
      </c>
      <c r="D31" s="8" t="s">
        <v>498</v>
      </c>
      <c r="E31" s="8">
        <v>30</v>
      </c>
      <c r="F31" s="8">
        <v>60</v>
      </c>
      <c r="G31" s="8">
        <v>700</v>
      </c>
      <c r="H31" s="8">
        <v>30</v>
      </c>
      <c r="I31" s="8">
        <f t="shared" si="2"/>
        <v>21000</v>
      </c>
      <c r="J31" s="8" t="s">
        <v>195</v>
      </c>
    </row>
    <row r="32" spans="2:10" ht="25.8" x14ac:dyDescent="0.5">
      <c r="B32" s="13">
        <v>42690</v>
      </c>
      <c r="C32" s="8" t="s">
        <v>8</v>
      </c>
      <c r="D32" s="8" t="s">
        <v>499</v>
      </c>
      <c r="E32" s="8">
        <v>30</v>
      </c>
      <c r="F32" s="8">
        <v>60</v>
      </c>
      <c r="G32" s="8">
        <v>700</v>
      </c>
      <c r="H32" s="8">
        <v>25</v>
      </c>
      <c r="I32" s="8">
        <f t="shared" si="2"/>
        <v>17500</v>
      </c>
      <c r="J32" s="8" t="s">
        <v>195</v>
      </c>
    </row>
    <row r="33" spans="2:10" ht="25.8" x14ac:dyDescent="0.5">
      <c r="B33" s="13">
        <v>42699</v>
      </c>
      <c r="C33" s="8" t="s">
        <v>8</v>
      </c>
      <c r="D33" s="8" t="s">
        <v>500</v>
      </c>
      <c r="E33" s="8">
        <v>40</v>
      </c>
      <c r="F33" s="8">
        <v>50</v>
      </c>
      <c r="G33" s="8">
        <v>700</v>
      </c>
      <c r="H33" s="8">
        <v>10</v>
      </c>
      <c r="I33" s="8">
        <f t="shared" si="2"/>
        <v>7000</v>
      </c>
      <c r="J33" s="17" t="s">
        <v>501</v>
      </c>
    </row>
    <row r="34" spans="2:10" ht="25.8" x14ac:dyDescent="0.5">
      <c r="B34" s="13"/>
      <c r="C34" s="8"/>
      <c r="D34" s="8"/>
      <c r="E34" s="8"/>
      <c r="F34" s="8"/>
      <c r="G34" s="8"/>
      <c r="H34" s="8"/>
      <c r="I34" s="8">
        <f t="shared" si="2"/>
        <v>0</v>
      </c>
      <c r="J34" s="17"/>
    </row>
    <row r="35" spans="2:10" ht="25.8" x14ac:dyDescent="0.5">
      <c r="B35" s="13"/>
      <c r="C35" s="8"/>
      <c r="D35" s="8"/>
      <c r="E35" s="8"/>
      <c r="F35" s="8"/>
      <c r="G35" s="8"/>
      <c r="H35" s="8"/>
      <c r="I35" s="8">
        <f t="shared" si="2"/>
        <v>0</v>
      </c>
      <c r="J35" s="17"/>
    </row>
    <row r="36" spans="2:10" ht="25.8" x14ac:dyDescent="0.5">
      <c r="B36" s="7"/>
      <c r="C36" s="8"/>
      <c r="D36" s="8"/>
      <c r="E36" s="8"/>
      <c r="F36" s="8"/>
      <c r="G36" s="8"/>
      <c r="H36" s="8"/>
      <c r="I36" s="9">
        <f>SUM(I29:I35)</f>
        <v>135600</v>
      </c>
      <c r="J36" s="8"/>
    </row>
    <row r="37" spans="2:10" ht="25.8" x14ac:dyDescent="0.5">
      <c r="B37" s="13"/>
      <c r="C37" s="8"/>
      <c r="D37" s="8"/>
      <c r="E37" s="8"/>
      <c r="F37" s="8"/>
      <c r="G37" s="8"/>
      <c r="H37" s="8"/>
      <c r="I37" s="8"/>
      <c r="J37" s="8"/>
    </row>
    <row r="38" spans="2:10" ht="25.8" x14ac:dyDescent="0.5">
      <c r="B38" s="13"/>
      <c r="C38" s="8"/>
      <c r="D38" s="8"/>
      <c r="E38" s="8"/>
      <c r="F38" s="8"/>
      <c r="G38" s="8"/>
      <c r="H38" s="8"/>
      <c r="I38" s="9"/>
      <c r="J38" s="8"/>
    </row>
    <row r="39" spans="2:10" ht="25.8" x14ac:dyDescent="0.5">
      <c r="B39" s="13"/>
      <c r="C39" s="8"/>
      <c r="D39" s="8"/>
      <c r="E39" s="8"/>
      <c r="F39" s="8"/>
      <c r="G39" s="8"/>
      <c r="H39" s="8"/>
      <c r="I39" s="9"/>
      <c r="J39" s="8"/>
    </row>
    <row r="40" spans="2:10" ht="25.8" x14ac:dyDescent="0.5">
      <c r="I40" s="9"/>
      <c r="J40" s="9"/>
    </row>
  </sheetData>
  <mergeCells count="5">
    <mergeCell ref="B1:I1"/>
    <mergeCell ref="B2:I2"/>
    <mergeCell ref="B3:I3"/>
    <mergeCell ref="B14:I14"/>
    <mergeCell ref="B27:I27"/>
  </mergeCells>
  <hyperlinks>
    <hyperlink ref="L2" location="'Home Page'!A1" display="Back" xr:uid="{00000000-0004-0000-2C00-000000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L40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3.554687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502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42703</v>
      </c>
      <c r="C5" s="8" t="s">
        <v>13</v>
      </c>
      <c r="D5" s="8" t="s">
        <v>92</v>
      </c>
      <c r="E5" s="8">
        <v>1158</v>
      </c>
      <c r="F5" s="8">
        <v>1145</v>
      </c>
      <c r="G5" s="8">
        <v>1400</v>
      </c>
      <c r="H5" s="8">
        <v>15</v>
      </c>
      <c r="I5" s="8">
        <f>G5*H5</f>
        <v>21000</v>
      </c>
      <c r="J5" s="17" t="s">
        <v>270</v>
      </c>
    </row>
    <row r="6" spans="1:12" ht="25.8" x14ac:dyDescent="0.5">
      <c r="B6" s="7">
        <v>42716</v>
      </c>
      <c r="C6" s="8" t="s">
        <v>13</v>
      </c>
      <c r="D6" s="8" t="s">
        <v>418</v>
      </c>
      <c r="E6" s="8">
        <v>309</v>
      </c>
      <c r="F6" s="8">
        <v>290</v>
      </c>
      <c r="G6" s="8">
        <v>6000</v>
      </c>
      <c r="H6" s="8">
        <v>19</v>
      </c>
      <c r="I6" s="8">
        <f>H6*G6</f>
        <v>114000</v>
      </c>
      <c r="J6" s="17" t="s">
        <v>195</v>
      </c>
    </row>
    <row r="7" spans="1:12" ht="25.8" x14ac:dyDescent="0.5">
      <c r="B7" s="7">
        <v>42726</v>
      </c>
      <c r="C7" s="8" t="s">
        <v>20</v>
      </c>
      <c r="D7" s="8" t="s">
        <v>418</v>
      </c>
      <c r="E7" s="8">
        <v>283</v>
      </c>
      <c r="F7" s="8">
        <v>275</v>
      </c>
      <c r="G7" s="8">
        <v>6000</v>
      </c>
      <c r="H7" s="8">
        <v>-8</v>
      </c>
      <c r="I7" s="8">
        <f>H7*G7</f>
        <v>-48000</v>
      </c>
      <c r="J7" s="17" t="s">
        <v>461</v>
      </c>
    </row>
    <row r="8" spans="1:12" ht="25.8" x14ac:dyDescent="0.5">
      <c r="B8" s="7"/>
      <c r="C8" s="8"/>
      <c r="D8" s="8"/>
      <c r="E8" s="8"/>
      <c r="F8" s="8"/>
      <c r="G8" s="8"/>
      <c r="H8" s="8"/>
      <c r="I8" s="8">
        <f t="shared" ref="I8:I9" si="0">H8*G8</f>
        <v>0</v>
      </c>
      <c r="J8" s="17"/>
    </row>
    <row r="9" spans="1:12" ht="25.8" x14ac:dyDescent="0.5">
      <c r="B9" s="7"/>
      <c r="C9" s="8"/>
      <c r="D9" s="8"/>
      <c r="E9" s="8"/>
      <c r="F9" s="8"/>
      <c r="G9" s="8"/>
      <c r="H9" s="8"/>
      <c r="I9" s="8">
        <f t="shared" si="0"/>
        <v>0</v>
      </c>
      <c r="J9" s="17"/>
    </row>
    <row r="10" spans="1:12" ht="25.8" x14ac:dyDescent="0.5">
      <c r="B10" s="7"/>
      <c r="C10" s="8"/>
      <c r="D10" s="8"/>
      <c r="E10" s="8"/>
      <c r="F10" s="8"/>
      <c r="G10" s="8"/>
      <c r="H10" s="8"/>
      <c r="I10" s="9">
        <f>SUM(I5:I9)</f>
        <v>87000</v>
      </c>
      <c r="J10" s="17"/>
    </row>
    <row r="11" spans="1:12" ht="25.8" x14ac:dyDescent="0.5">
      <c r="B11" s="7"/>
      <c r="C11" s="8"/>
      <c r="D11" s="8"/>
      <c r="E11" s="8" t="s">
        <v>421</v>
      </c>
      <c r="F11" s="8"/>
      <c r="G11" s="8"/>
      <c r="H11" s="8"/>
      <c r="I11" s="9"/>
      <c r="J11" s="17"/>
    </row>
    <row r="13" spans="1:12" ht="15" thickBot="1" x14ac:dyDescent="0.35"/>
    <row r="14" spans="1:12" ht="16.2" thickBot="1" x14ac:dyDescent="0.35">
      <c r="B14" s="158" t="s">
        <v>503</v>
      </c>
      <c r="C14" s="158"/>
      <c r="D14" s="158"/>
      <c r="E14" s="158"/>
      <c r="F14" s="158"/>
      <c r="G14" s="158"/>
      <c r="H14" s="158"/>
      <c r="I14" s="158"/>
      <c r="J14" s="19"/>
    </row>
    <row r="15" spans="1:12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382</v>
      </c>
      <c r="H15" s="3" t="s">
        <v>381</v>
      </c>
      <c r="I15" s="3" t="s">
        <v>375</v>
      </c>
      <c r="J15" s="20" t="s">
        <v>200</v>
      </c>
    </row>
    <row r="16" spans="1:12" ht="25.8" x14ac:dyDescent="0.5">
      <c r="B16" s="13">
        <v>42706</v>
      </c>
      <c r="C16" s="8" t="s">
        <v>13</v>
      </c>
      <c r="D16" s="8" t="s">
        <v>30</v>
      </c>
      <c r="E16" s="8">
        <v>8190</v>
      </c>
      <c r="F16" s="8">
        <v>8080</v>
      </c>
      <c r="G16" s="8">
        <v>375</v>
      </c>
      <c r="H16" s="8">
        <v>110</v>
      </c>
      <c r="I16" s="8">
        <f>G16*H16</f>
        <v>41250</v>
      </c>
      <c r="J16" s="8" t="s">
        <v>199</v>
      </c>
    </row>
    <row r="17" spans="2:10" ht="25.8" x14ac:dyDescent="0.5">
      <c r="B17" s="13">
        <v>42716</v>
      </c>
      <c r="C17" s="8" t="s">
        <v>13</v>
      </c>
      <c r="D17" s="8" t="s">
        <v>30</v>
      </c>
      <c r="E17" s="8">
        <v>8220</v>
      </c>
      <c r="F17" s="8">
        <v>8080</v>
      </c>
      <c r="G17" s="8">
        <v>375</v>
      </c>
      <c r="H17" s="8">
        <v>140</v>
      </c>
      <c r="I17" s="8">
        <f t="shared" ref="I17:I21" si="1">G17*H17</f>
        <v>52500</v>
      </c>
      <c r="J17" s="8" t="s">
        <v>199</v>
      </c>
    </row>
    <row r="18" spans="2:10" ht="25.8" x14ac:dyDescent="0.5">
      <c r="B18" s="13">
        <v>42724</v>
      </c>
      <c r="C18" s="8" t="s">
        <v>13</v>
      </c>
      <c r="D18" s="8" t="s">
        <v>30</v>
      </c>
      <c r="E18" s="8">
        <v>8100</v>
      </c>
      <c r="F18" s="8">
        <v>7900</v>
      </c>
      <c r="G18" s="8">
        <v>375</v>
      </c>
      <c r="H18" s="8">
        <v>200</v>
      </c>
      <c r="I18" s="8">
        <f t="shared" si="1"/>
        <v>75000</v>
      </c>
      <c r="J18" s="8" t="s">
        <v>195</v>
      </c>
    </row>
    <row r="19" spans="2:10" ht="25.8" x14ac:dyDescent="0.5">
      <c r="B19" s="7"/>
      <c r="C19" s="8"/>
      <c r="D19" s="8"/>
      <c r="E19" s="8"/>
      <c r="F19" s="8"/>
      <c r="G19" s="8"/>
      <c r="H19" s="8"/>
      <c r="I19" s="8">
        <f t="shared" si="1"/>
        <v>0</v>
      </c>
      <c r="J19" s="8"/>
    </row>
    <row r="20" spans="2:10" ht="25.8" x14ac:dyDescent="0.5">
      <c r="B20" s="7"/>
      <c r="C20" s="8"/>
      <c r="D20" s="8"/>
      <c r="E20" s="8"/>
      <c r="F20" s="8"/>
      <c r="G20" s="8"/>
      <c r="H20" s="8"/>
      <c r="I20" s="8">
        <f t="shared" si="1"/>
        <v>0</v>
      </c>
      <c r="J20" s="8"/>
    </row>
    <row r="21" spans="2:10" ht="25.8" x14ac:dyDescent="0.5">
      <c r="B21" s="7"/>
      <c r="C21" s="8"/>
      <c r="D21" s="8"/>
      <c r="E21" s="8"/>
      <c r="F21" s="8"/>
      <c r="G21" s="8"/>
      <c r="H21" s="8"/>
      <c r="I21" s="8">
        <f t="shared" si="1"/>
        <v>0</v>
      </c>
      <c r="J21" s="8"/>
    </row>
    <row r="22" spans="2:10" ht="25.8" x14ac:dyDescent="0.5">
      <c r="B22" s="7"/>
      <c r="C22" s="8"/>
      <c r="D22" s="8"/>
      <c r="E22" s="8"/>
      <c r="F22" s="8"/>
      <c r="G22" s="8"/>
      <c r="H22" s="8"/>
      <c r="I22" s="8"/>
      <c r="J22" s="8"/>
    </row>
    <row r="23" spans="2:10" ht="25.8" x14ac:dyDescent="0.5">
      <c r="B23" s="7"/>
      <c r="C23" s="8"/>
      <c r="D23" s="8"/>
      <c r="E23" s="8"/>
      <c r="F23" s="8"/>
      <c r="G23" s="8"/>
      <c r="H23" s="8"/>
      <c r="I23" s="9">
        <f>SUM(I16:I21)</f>
        <v>168750</v>
      </c>
      <c r="J23" s="8"/>
    </row>
    <row r="24" spans="2:10" ht="25.8" x14ac:dyDescent="0.5">
      <c r="B24" s="7"/>
      <c r="C24" s="8"/>
      <c r="D24" s="8"/>
      <c r="E24" s="8"/>
      <c r="F24" s="8"/>
      <c r="G24" s="8"/>
      <c r="H24" s="8"/>
      <c r="I24" s="8"/>
      <c r="J24" s="8"/>
    </row>
    <row r="25" spans="2:10" ht="25.8" x14ac:dyDescent="0.5">
      <c r="I25" s="9"/>
    </row>
    <row r="26" spans="2:10" ht="15" thickBot="1" x14ac:dyDescent="0.35"/>
    <row r="27" spans="2:10" ht="16.2" thickBot="1" x14ac:dyDescent="0.35">
      <c r="B27" s="158" t="s">
        <v>504</v>
      </c>
      <c r="C27" s="158"/>
      <c r="D27" s="158"/>
      <c r="E27" s="158"/>
      <c r="F27" s="158"/>
      <c r="G27" s="158"/>
      <c r="H27" s="158"/>
      <c r="I27" s="158"/>
      <c r="J27" s="19"/>
    </row>
    <row r="28" spans="2:10" x14ac:dyDescent="0.3">
      <c r="B28" s="1"/>
      <c r="C28" s="2" t="s">
        <v>2</v>
      </c>
      <c r="D28" s="2" t="s">
        <v>3</v>
      </c>
      <c r="E28" s="3" t="s">
        <v>4</v>
      </c>
      <c r="F28" s="3" t="s">
        <v>5</v>
      </c>
      <c r="G28" s="3" t="s">
        <v>6</v>
      </c>
      <c r="H28" s="3" t="s">
        <v>381</v>
      </c>
      <c r="I28" s="3" t="s">
        <v>89</v>
      </c>
      <c r="J28" s="20" t="s">
        <v>200</v>
      </c>
    </row>
    <row r="29" spans="2:10" ht="25.8" x14ac:dyDescent="0.5">
      <c r="B29" s="13">
        <v>42706</v>
      </c>
      <c r="C29" s="8" t="s">
        <v>20</v>
      </c>
      <c r="D29" s="8" t="s">
        <v>505</v>
      </c>
      <c r="E29" s="8">
        <v>6</v>
      </c>
      <c r="F29" s="8">
        <v>14</v>
      </c>
      <c r="G29" s="8">
        <v>4000</v>
      </c>
      <c r="H29" s="8">
        <v>8</v>
      </c>
      <c r="I29" s="8">
        <f>G29*H29</f>
        <v>32000</v>
      </c>
      <c r="J29" s="8" t="s">
        <v>195</v>
      </c>
    </row>
    <row r="30" spans="2:10" ht="25.8" x14ac:dyDescent="0.5">
      <c r="B30" s="13">
        <v>42713</v>
      </c>
      <c r="C30" s="8" t="s">
        <v>8</v>
      </c>
      <c r="D30" s="8" t="s">
        <v>506</v>
      </c>
      <c r="E30" s="8">
        <v>10</v>
      </c>
      <c r="F30" s="8">
        <v>5</v>
      </c>
      <c r="G30" s="8">
        <v>2000</v>
      </c>
      <c r="H30" s="8">
        <v>-5</v>
      </c>
      <c r="I30" s="8">
        <f t="shared" ref="I30:I35" si="2">G30*H30</f>
        <v>-10000</v>
      </c>
      <c r="J30" s="8" t="s">
        <v>197</v>
      </c>
    </row>
    <row r="31" spans="2:10" ht="25.8" x14ac:dyDescent="0.5">
      <c r="B31" s="13">
        <v>42716</v>
      </c>
      <c r="C31" s="8" t="s">
        <v>8</v>
      </c>
      <c r="D31" s="8" t="s">
        <v>507</v>
      </c>
      <c r="E31" s="8">
        <v>9</v>
      </c>
      <c r="F31" s="8">
        <v>15</v>
      </c>
      <c r="G31" s="8">
        <v>3000</v>
      </c>
      <c r="H31" s="8">
        <v>6</v>
      </c>
      <c r="I31" s="8">
        <f t="shared" si="2"/>
        <v>18000</v>
      </c>
      <c r="J31" s="8" t="s">
        <v>195</v>
      </c>
    </row>
    <row r="32" spans="2:10" ht="25.8" x14ac:dyDescent="0.5">
      <c r="B32" s="13">
        <v>42730</v>
      </c>
      <c r="C32" s="8" t="s">
        <v>8</v>
      </c>
      <c r="D32" s="8" t="s">
        <v>508</v>
      </c>
      <c r="E32" s="8">
        <v>8</v>
      </c>
      <c r="F32" s="8">
        <v>4</v>
      </c>
      <c r="G32" s="8">
        <v>3000</v>
      </c>
      <c r="H32" s="8">
        <v>-4</v>
      </c>
      <c r="I32" s="8">
        <f t="shared" si="2"/>
        <v>-12000</v>
      </c>
      <c r="J32" s="8" t="s">
        <v>461</v>
      </c>
    </row>
    <row r="33" spans="2:10" ht="25.8" x14ac:dyDescent="0.5">
      <c r="B33" s="13"/>
      <c r="C33" s="8"/>
      <c r="D33" s="8"/>
      <c r="E33" s="8"/>
      <c r="F33" s="8"/>
      <c r="G33" s="8"/>
      <c r="H33" s="8"/>
      <c r="I33" s="8">
        <f t="shared" si="2"/>
        <v>0</v>
      </c>
      <c r="J33" s="17"/>
    </row>
    <row r="34" spans="2:10" ht="25.8" x14ac:dyDescent="0.5">
      <c r="B34" s="13"/>
      <c r="C34" s="8"/>
      <c r="D34" s="8"/>
      <c r="E34" s="8"/>
      <c r="F34" s="8"/>
      <c r="G34" s="8"/>
      <c r="H34" s="8"/>
      <c r="I34" s="8">
        <f t="shared" si="2"/>
        <v>0</v>
      </c>
      <c r="J34" s="17"/>
    </row>
    <row r="35" spans="2:10" ht="25.8" x14ac:dyDescent="0.5">
      <c r="B35" s="13"/>
      <c r="C35" s="8"/>
      <c r="D35" s="8"/>
      <c r="E35" s="8"/>
      <c r="F35" s="8"/>
      <c r="G35" s="8"/>
      <c r="H35" s="8"/>
      <c r="I35" s="8">
        <f t="shared" si="2"/>
        <v>0</v>
      </c>
      <c r="J35" s="17"/>
    </row>
    <row r="36" spans="2:10" ht="25.8" x14ac:dyDescent="0.5">
      <c r="B36" s="7"/>
      <c r="C36" s="8"/>
      <c r="D36" s="8"/>
      <c r="E36" s="8"/>
      <c r="F36" s="8"/>
      <c r="G36" s="8"/>
      <c r="H36" s="8"/>
      <c r="I36" s="9">
        <f>SUM(I29:I35)</f>
        <v>28000</v>
      </c>
      <c r="J36" s="8"/>
    </row>
    <row r="37" spans="2:10" ht="25.8" x14ac:dyDescent="0.5">
      <c r="B37" s="13"/>
      <c r="C37" s="8"/>
      <c r="D37" s="8"/>
      <c r="E37" s="8"/>
      <c r="F37" s="8"/>
      <c r="G37" s="8"/>
      <c r="H37" s="8"/>
      <c r="I37" s="8"/>
      <c r="J37" s="8"/>
    </row>
    <row r="38" spans="2:10" ht="25.8" x14ac:dyDescent="0.5">
      <c r="B38" s="13"/>
      <c r="C38" s="8"/>
      <c r="D38" s="8"/>
      <c r="E38" s="8"/>
      <c r="F38" s="8"/>
      <c r="G38" s="8"/>
      <c r="H38" s="8"/>
      <c r="I38" s="9"/>
      <c r="J38" s="8"/>
    </row>
    <row r="39" spans="2:10" ht="25.8" x14ac:dyDescent="0.5">
      <c r="B39" s="13"/>
      <c r="C39" s="8"/>
      <c r="D39" s="8"/>
      <c r="E39" s="8"/>
      <c r="F39" s="8"/>
      <c r="G39" s="8"/>
      <c r="H39" s="8"/>
      <c r="I39" s="9"/>
      <c r="J39" s="8"/>
    </row>
    <row r="40" spans="2:10" ht="25.8" x14ac:dyDescent="0.5">
      <c r="I40" s="9"/>
      <c r="J40" s="9"/>
    </row>
  </sheetData>
  <mergeCells count="5">
    <mergeCell ref="B1:I1"/>
    <mergeCell ref="B2:I2"/>
    <mergeCell ref="B3:I3"/>
    <mergeCell ref="B14:I14"/>
    <mergeCell ref="B27:I27"/>
  </mergeCells>
  <hyperlinks>
    <hyperlink ref="L2" location="'Home Page'!A1" display="Back" xr:uid="{00000000-0004-0000-2D00-000000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L30"/>
  <sheetViews>
    <sheetView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9.554687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25.4414062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509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42739</v>
      </c>
      <c r="C5" s="8" t="s">
        <v>13</v>
      </c>
      <c r="D5" s="8" t="s">
        <v>28</v>
      </c>
      <c r="E5" s="8">
        <v>253</v>
      </c>
      <c r="F5" s="8">
        <v>260</v>
      </c>
      <c r="G5" s="8">
        <v>5000</v>
      </c>
      <c r="H5" s="8">
        <v>-7</v>
      </c>
      <c r="I5" s="8">
        <f>G5*H5</f>
        <v>-35000</v>
      </c>
      <c r="J5" s="17" t="s">
        <v>197</v>
      </c>
    </row>
    <row r="6" spans="1:12" ht="25.8" x14ac:dyDescent="0.5">
      <c r="B6" s="7">
        <v>42758</v>
      </c>
      <c r="C6" s="8" t="s">
        <v>13</v>
      </c>
      <c r="D6" s="8" t="s">
        <v>178</v>
      </c>
      <c r="E6" s="8">
        <v>272</v>
      </c>
      <c r="F6" s="8">
        <v>265</v>
      </c>
      <c r="G6" s="8">
        <v>5000</v>
      </c>
      <c r="H6" s="8">
        <v>7</v>
      </c>
      <c r="I6" s="8">
        <f>H6*G6</f>
        <v>35000</v>
      </c>
      <c r="J6" s="17" t="s">
        <v>198</v>
      </c>
    </row>
    <row r="7" spans="1:12" ht="25.8" x14ac:dyDescent="0.5">
      <c r="B7" s="7">
        <v>42762</v>
      </c>
      <c r="C7" s="8" t="s">
        <v>13</v>
      </c>
      <c r="D7" s="8" t="s">
        <v>92</v>
      </c>
      <c r="E7" s="8">
        <v>1403</v>
      </c>
      <c r="F7" s="8">
        <v>1390</v>
      </c>
      <c r="G7" s="8">
        <v>1400</v>
      </c>
      <c r="H7" s="8">
        <v>13</v>
      </c>
      <c r="I7" s="8">
        <f>H7*G7</f>
        <v>18200</v>
      </c>
      <c r="J7" s="17" t="s">
        <v>403</v>
      </c>
    </row>
    <row r="8" spans="1:12" ht="25.8" x14ac:dyDescent="0.5">
      <c r="B8" s="7"/>
      <c r="C8" s="8"/>
      <c r="D8" s="8"/>
      <c r="E8" s="8"/>
      <c r="F8" s="8"/>
      <c r="G8" s="8"/>
      <c r="H8" s="8"/>
      <c r="I8" s="8"/>
      <c r="J8" s="17"/>
    </row>
    <row r="9" spans="1:12" ht="25.8" x14ac:dyDescent="0.5">
      <c r="B9" s="7"/>
      <c r="C9" s="8"/>
      <c r="D9" s="8"/>
      <c r="E9" s="8"/>
      <c r="F9" s="8"/>
      <c r="G9" s="8"/>
      <c r="H9" s="8"/>
      <c r="I9" s="9">
        <f>SUM(I5:I7)</f>
        <v>18200</v>
      </c>
      <c r="J9" s="17"/>
    </row>
    <row r="11" spans="1:12" ht="15" thickBot="1" x14ac:dyDescent="0.35"/>
    <row r="12" spans="1:12" ht="16.2" thickBot="1" x14ac:dyDescent="0.35">
      <c r="B12" s="158" t="s">
        <v>515</v>
      </c>
      <c r="C12" s="158"/>
      <c r="D12" s="158"/>
      <c r="E12" s="158"/>
      <c r="F12" s="158"/>
      <c r="G12" s="158"/>
      <c r="H12" s="158"/>
      <c r="I12" s="158"/>
      <c r="J12" s="19"/>
    </row>
    <row r="13" spans="1:12" x14ac:dyDescent="0.3">
      <c r="B13" s="1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3" t="s">
        <v>382</v>
      </c>
      <c r="H13" s="3" t="s">
        <v>381</v>
      </c>
      <c r="I13" s="3" t="s">
        <v>375</v>
      </c>
      <c r="J13" s="20" t="s">
        <v>200</v>
      </c>
    </row>
    <row r="14" spans="1:12" ht="25.8" x14ac:dyDescent="0.5">
      <c r="B14" s="13">
        <v>42737</v>
      </c>
      <c r="C14" s="8" t="s">
        <v>287</v>
      </c>
      <c r="D14" s="8" t="s">
        <v>30</v>
      </c>
      <c r="E14" s="8">
        <v>8210</v>
      </c>
      <c r="F14" s="8">
        <v>8160</v>
      </c>
      <c r="G14" s="8">
        <v>375</v>
      </c>
      <c r="H14" s="8">
        <v>50</v>
      </c>
      <c r="I14" s="8">
        <f>G14*H14</f>
        <v>18750</v>
      </c>
      <c r="J14" s="8" t="s">
        <v>514</v>
      </c>
    </row>
    <row r="15" spans="1:12" ht="25.8" x14ac:dyDescent="0.5">
      <c r="B15" s="13">
        <v>42746</v>
      </c>
      <c r="C15" s="8" t="s">
        <v>287</v>
      </c>
      <c r="D15" s="8" t="s">
        <v>30</v>
      </c>
      <c r="E15" s="8">
        <v>8400</v>
      </c>
      <c r="F15" s="8">
        <v>8360</v>
      </c>
      <c r="G15" s="8">
        <v>375</v>
      </c>
      <c r="H15" s="8">
        <v>40</v>
      </c>
      <c r="I15" s="8">
        <f t="shared" ref="I15" si="0">G15*H15</f>
        <v>15000</v>
      </c>
      <c r="J15" s="8" t="s">
        <v>403</v>
      </c>
    </row>
    <row r="16" spans="1:12" ht="25.8" x14ac:dyDescent="0.5">
      <c r="B16" s="7"/>
      <c r="C16" s="8"/>
      <c r="D16" s="8"/>
      <c r="E16" s="8"/>
      <c r="F16" s="8"/>
      <c r="G16" s="8"/>
      <c r="H16" s="8"/>
      <c r="I16" s="8"/>
      <c r="J16" s="8"/>
    </row>
    <row r="17" spans="2:10" ht="25.8" x14ac:dyDescent="0.5">
      <c r="B17" s="7"/>
      <c r="C17" s="8"/>
      <c r="D17" s="8"/>
      <c r="E17" s="8"/>
      <c r="F17" s="8"/>
      <c r="G17" s="8"/>
      <c r="H17" s="8"/>
      <c r="I17" s="9">
        <f>SUM(I14:I15)</f>
        <v>33750</v>
      </c>
      <c r="J17" s="8"/>
    </row>
    <row r="18" spans="2:10" ht="26.4" thickBot="1" x14ac:dyDescent="0.55000000000000004">
      <c r="B18" s="7"/>
      <c r="C18" s="8"/>
      <c r="D18" s="8"/>
      <c r="E18" s="8"/>
      <c r="F18" s="8"/>
      <c r="G18" s="8"/>
      <c r="H18" s="8"/>
      <c r="I18" s="8"/>
      <c r="J18" s="8"/>
    </row>
    <row r="19" spans="2:10" ht="16.2" thickBot="1" x14ac:dyDescent="0.35">
      <c r="B19" s="158" t="s">
        <v>516</v>
      </c>
      <c r="C19" s="158"/>
      <c r="D19" s="158"/>
      <c r="E19" s="158"/>
      <c r="F19" s="158"/>
      <c r="G19" s="158"/>
      <c r="H19" s="158"/>
      <c r="I19" s="158"/>
      <c r="J19" s="19"/>
    </row>
    <row r="20" spans="2:10" x14ac:dyDescent="0.3">
      <c r="B20" s="1"/>
      <c r="C20" s="2" t="s">
        <v>2</v>
      </c>
      <c r="D20" s="2" t="s">
        <v>3</v>
      </c>
      <c r="E20" s="3" t="s">
        <v>4</v>
      </c>
      <c r="F20" s="3" t="s">
        <v>5</v>
      </c>
      <c r="G20" s="3" t="s">
        <v>6</v>
      </c>
      <c r="H20" s="3" t="s">
        <v>381</v>
      </c>
      <c r="I20" s="3" t="s">
        <v>89</v>
      </c>
      <c r="J20" s="20" t="s">
        <v>200</v>
      </c>
    </row>
    <row r="21" spans="2:10" ht="25.8" x14ac:dyDescent="0.5">
      <c r="B21" s="13">
        <v>42737</v>
      </c>
      <c r="C21" s="8" t="s">
        <v>20</v>
      </c>
      <c r="D21" s="8" t="s">
        <v>510</v>
      </c>
      <c r="E21" s="8">
        <v>15</v>
      </c>
      <c r="F21" s="8">
        <v>30</v>
      </c>
      <c r="G21" s="8">
        <v>2400</v>
      </c>
      <c r="H21" s="8">
        <v>15</v>
      </c>
      <c r="I21" s="8">
        <f>G21*H21</f>
        <v>36000</v>
      </c>
      <c r="J21" s="8" t="s">
        <v>199</v>
      </c>
    </row>
    <row r="22" spans="2:10" ht="25.8" x14ac:dyDescent="0.5">
      <c r="B22" s="13">
        <v>42746</v>
      </c>
      <c r="C22" s="8" t="s">
        <v>8</v>
      </c>
      <c r="D22" s="8" t="s">
        <v>511</v>
      </c>
      <c r="E22" s="8">
        <v>16</v>
      </c>
      <c r="F22" s="8">
        <v>8</v>
      </c>
      <c r="G22" s="8">
        <v>1200</v>
      </c>
      <c r="H22" s="8">
        <v>-8</v>
      </c>
      <c r="I22" s="8">
        <f t="shared" ref="I22:I24" si="1">G22*H22</f>
        <v>-9600</v>
      </c>
      <c r="J22" s="8" t="s">
        <v>197</v>
      </c>
    </row>
    <row r="23" spans="2:10" ht="25.8" x14ac:dyDescent="0.5">
      <c r="B23" s="13">
        <v>42758</v>
      </c>
      <c r="C23" s="8" t="s">
        <v>8</v>
      </c>
      <c r="D23" s="8" t="s">
        <v>512</v>
      </c>
      <c r="E23" s="8">
        <v>4.5</v>
      </c>
      <c r="F23" s="8">
        <v>2</v>
      </c>
      <c r="G23" s="8">
        <v>2500</v>
      </c>
      <c r="H23" s="8">
        <v>-2.5</v>
      </c>
      <c r="I23" s="8">
        <f t="shared" si="1"/>
        <v>-6250</v>
      </c>
      <c r="J23" s="8" t="s">
        <v>197</v>
      </c>
    </row>
    <row r="24" spans="2:10" ht="25.8" x14ac:dyDescent="0.5">
      <c r="B24" s="13">
        <v>42762</v>
      </c>
      <c r="C24" s="8" t="s">
        <v>8</v>
      </c>
      <c r="D24" s="8" t="s">
        <v>513</v>
      </c>
      <c r="E24" s="8">
        <v>20</v>
      </c>
      <c r="F24" s="8"/>
      <c r="G24" s="8"/>
      <c r="H24" s="8"/>
      <c r="I24" s="8">
        <f t="shared" si="1"/>
        <v>0</v>
      </c>
      <c r="J24" s="8"/>
    </row>
    <row r="25" spans="2:10" ht="25.8" x14ac:dyDescent="0.5">
      <c r="B25" s="13"/>
      <c r="C25" s="8"/>
      <c r="D25" s="8"/>
      <c r="E25" s="8"/>
      <c r="F25" s="8"/>
      <c r="G25" s="8"/>
      <c r="H25" s="8"/>
      <c r="I25" s="8"/>
      <c r="J25" s="8"/>
    </row>
    <row r="26" spans="2:10" ht="25.8" x14ac:dyDescent="0.5">
      <c r="B26" s="7"/>
      <c r="C26" s="8"/>
      <c r="D26" s="8"/>
      <c r="E26" s="8"/>
      <c r="F26" s="8"/>
      <c r="G26" s="8"/>
      <c r="H26" s="8"/>
      <c r="I26" s="9">
        <f>SUM(I21:I24)</f>
        <v>20150</v>
      </c>
      <c r="J26" s="8"/>
    </row>
    <row r="27" spans="2:10" ht="25.8" x14ac:dyDescent="0.5">
      <c r="B27" s="13"/>
      <c r="C27" s="8"/>
      <c r="D27" s="8"/>
      <c r="E27" s="8"/>
      <c r="F27" s="8"/>
      <c r="G27" s="8"/>
      <c r="H27" s="8"/>
      <c r="I27" s="8"/>
      <c r="J27" s="8"/>
    </row>
    <row r="28" spans="2:10" ht="25.8" x14ac:dyDescent="0.5">
      <c r="B28" s="13"/>
      <c r="C28" s="8"/>
      <c r="D28" s="8"/>
      <c r="E28" s="8"/>
      <c r="F28" s="8"/>
      <c r="G28" s="8"/>
      <c r="H28" s="8"/>
      <c r="I28" s="9"/>
      <c r="J28" s="8"/>
    </row>
    <row r="29" spans="2:10" ht="25.8" x14ac:dyDescent="0.5">
      <c r="B29" s="13"/>
      <c r="C29" s="8"/>
      <c r="D29" s="8"/>
      <c r="E29" s="8"/>
      <c r="F29" s="8"/>
      <c r="G29" s="8"/>
      <c r="H29" s="8"/>
      <c r="I29" s="9"/>
      <c r="J29" s="8"/>
    </row>
    <row r="30" spans="2:10" ht="25.8" x14ac:dyDescent="0.5">
      <c r="I30" s="9"/>
      <c r="J30" s="9"/>
    </row>
  </sheetData>
  <mergeCells count="5">
    <mergeCell ref="B1:I1"/>
    <mergeCell ref="B2:I2"/>
    <mergeCell ref="B3:I3"/>
    <mergeCell ref="B12:I12"/>
    <mergeCell ref="B19:I19"/>
  </mergeCells>
  <hyperlinks>
    <hyperlink ref="L2" location="'Home Page'!A1" display="Back" xr:uid="{00000000-0004-0000-2E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L30"/>
  <sheetViews>
    <sheetView topLeftCell="A19" workbookViewId="0">
      <selection activeCell="L2" sqref="L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2.5546875" bestFit="1" customWidth="1"/>
    <col min="5" max="7" width="9.5546875" bestFit="1" customWidth="1"/>
    <col min="8" max="8" width="14.88671875" bestFit="1" customWidth="1"/>
    <col min="9" max="9" width="13.88671875" bestFit="1" customWidth="1"/>
    <col min="10" max="10" width="15.5546875" bestFit="1" customWidth="1"/>
    <col min="11" max="11" width="9.109375" style="5"/>
  </cols>
  <sheetData>
    <row r="1" spans="1:12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4"/>
      <c r="K1" s="4"/>
    </row>
    <row r="2" spans="1:12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8"/>
      <c r="K2" s="4"/>
      <c r="L2" s="30" t="s">
        <v>566</v>
      </c>
    </row>
    <row r="3" spans="1:12" ht="16.2" thickBot="1" x14ac:dyDescent="0.35">
      <c r="A3" s="6"/>
      <c r="B3" s="158" t="s">
        <v>517</v>
      </c>
      <c r="C3" s="158"/>
      <c r="D3" s="158"/>
      <c r="E3" s="158"/>
      <c r="F3" s="158"/>
      <c r="G3" s="158"/>
      <c r="H3" s="158"/>
      <c r="I3" s="158"/>
      <c r="J3" s="19"/>
      <c r="K3" s="6"/>
    </row>
    <row r="4" spans="1:12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381</v>
      </c>
      <c r="I4" s="3" t="s">
        <v>10</v>
      </c>
      <c r="J4" s="20" t="s">
        <v>200</v>
      </c>
    </row>
    <row r="5" spans="1:12" ht="25.8" x14ac:dyDescent="0.5">
      <c r="B5" s="13">
        <v>42776</v>
      </c>
      <c r="C5" s="8" t="s">
        <v>13</v>
      </c>
      <c r="D5" s="8" t="s">
        <v>28</v>
      </c>
      <c r="E5" s="8">
        <v>283</v>
      </c>
      <c r="F5" s="8">
        <v>275</v>
      </c>
      <c r="G5" s="8">
        <v>5000</v>
      </c>
      <c r="H5" s="8">
        <v>8</v>
      </c>
      <c r="I5" s="8">
        <f>G5*H5</f>
        <v>40000</v>
      </c>
      <c r="J5" s="17" t="s">
        <v>198</v>
      </c>
    </row>
    <row r="6" spans="1:12" ht="25.8" x14ac:dyDescent="0.5">
      <c r="B6" s="7">
        <v>42783</v>
      </c>
      <c r="C6" s="8" t="s">
        <v>13</v>
      </c>
      <c r="D6" s="8" t="s">
        <v>418</v>
      </c>
      <c r="E6" s="8">
        <v>287</v>
      </c>
      <c r="F6" s="8">
        <v>294</v>
      </c>
      <c r="G6" s="8">
        <v>6000</v>
      </c>
      <c r="H6" s="8">
        <v>-7</v>
      </c>
      <c r="I6" s="8">
        <f>H6*G6</f>
        <v>-42000</v>
      </c>
      <c r="J6" s="17" t="s">
        <v>197</v>
      </c>
    </row>
    <row r="7" spans="1:12" ht="25.8" x14ac:dyDescent="0.5">
      <c r="B7" s="7">
        <v>42788</v>
      </c>
      <c r="C7" s="8" t="s">
        <v>13</v>
      </c>
      <c r="D7" s="8" t="s">
        <v>523</v>
      </c>
      <c r="E7" s="8">
        <v>1450</v>
      </c>
      <c r="F7" s="8">
        <v>1428</v>
      </c>
      <c r="G7" s="8">
        <v>1400</v>
      </c>
      <c r="H7" s="8">
        <v>22</v>
      </c>
      <c r="I7" s="8">
        <f>H7*G7</f>
        <v>30800</v>
      </c>
      <c r="J7" s="17" t="s">
        <v>198</v>
      </c>
    </row>
    <row r="8" spans="1:12" ht="25.8" x14ac:dyDescent="0.5">
      <c r="B8" s="7"/>
      <c r="C8" s="8"/>
      <c r="D8" s="8"/>
      <c r="E8" s="8"/>
      <c r="F8" s="8"/>
      <c r="G8" s="8"/>
      <c r="H8" s="8"/>
      <c r="I8" s="8"/>
      <c r="J8" s="17"/>
    </row>
    <row r="9" spans="1:12" ht="25.8" x14ac:dyDescent="0.5">
      <c r="B9" s="7"/>
      <c r="C9" s="8"/>
      <c r="D9" s="8"/>
      <c r="E9" s="8"/>
      <c r="F9" s="8"/>
      <c r="G9" s="8"/>
      <c r="H9" s="8"/>
      <c r="I9" s="9">
        <f>SUM(I5:I7)</f>
        <v>28800</v>
      </c>
      <c r="J9" s="17"/>
    </row>
    <row r="11" spans="1:12" ht="15" thickBot="1" x14ac:dyDescent="0.35"/>
    <row r="12" spans="1:12" ht="16.2" thickBot="1" x14ac:dyDescent="0.35">
      <c r="B12" s="158" t="s">
        <v>518</v>
      </c>
      <c r="C12" s="158"/>
      <c r="D12" s="158"/>
      <c r="E12" s="158"/>
      <c r="F12" s="158"/>
      <c r="G12" s="158"/>
      <c r="H12" s="158"/>
      <c r="I12" s="158"/>
      <c r="J12" s="19"/>
    </row>
    <row r="13" spans="1:12" x14ac:dyDescent="0.3">
      <c r="B13" s="1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3" t="s">
        <v>382</v>
      </c>
      <c r="H13" s="3" t="s">
        <v>381</v>
      </c>
      <c r="I13" s="3" t="s">
        <v>375</v>
      </c>
      <c r="J13" s="20" t="s">
        <v>200</v>
      </c>
    </row>
    <row r="14" spans="1:12" ht="25.8" x14ac:dyDescent="0.5">
      <c r="B14" s="13">
        <v>42768</v>
      </c>
      <c r="C14" s="8" t="s">
        <v>13</v>
      </c>
      <c r="D14" s="8" t="s">
        <v>30</v>
      </c>
      <c r="E14" s="8">
        <v>8740</v>
      </c>
      <c r="F14" s="8">
        <v>8840</v>
      </c>
      <c r="G14" s="8">
        <v>375</v>
      </c>
      <c r="H14" s="8">
        <v>-100</v>
      </c>
      <c r="I14" s="8">
        <f>G14*H14</f>
        <v>-37500</v>
      </c>
      <c r="J14" s="8" t="s">
        <v>197</v>
      </c>
    </row>
    <row r="15" spans="1:12" ht="25.8" x14ac:dyDescent="0.5">
      <c r="B15" s="13">
        <v>42783</v>
      </c>
      <c r="C15" s="8" t="s">
        <v>13</v>
      </c>
      <c r="D15" s="8" t="s">
        <v>30</v>
      </c>
      <c r="E15" s="8">
        <v>8850</v>
      </c>
      <c r="F15" s="8">
        <v>8930</v>
      </c>
      <c r="G15" s="8">
        <v>375</v>
      </c>
      <c r="H15" s="8">
        <v>-80</v>
      </c>
      <c r="I15" s="8">
        <f t="shared" ref="I15" si="0">G15*H15</f>
        <v>-30000</v>
      </c>
      <c r="J15" s="8" t="s">
        <v>197</v>
      </c>
    </row>
    <row r="16" spans="1:12" ht="25.8" x14ac:dyDescent="0.5">
      <c r="B16" s="7"/>
      <c r="C16" s="8"/>
      <c r="D16" s="8"/>
      <c r="E16" s="8"/>
      <c r="F16" s="8"/>
      <c r="G16" s="8"/>
      <c r="H16" s="8"/>
      <c r="I16" s="8"/>
      <c r="J16" s="8"/>
    </row>
    <row r="17" spans="2:10" ht="25.8" x14ac:dyDescent="0.5">
      <c r="B17" s="7"/>
      <c r="C17" s="8"/>
      <c r="D17" s="8"/>
      <c r="E17" s="8"/>
      <c r="F17" s="8"/>
      <c r="G17" s="8"/>
      <c r="H17" s="8"/>
      <c r="I17" s="9">
        <f>SUM(I14:I15)</f>
        <v>-67500</v>
      </c>
      <c r="J17" s="8"/>
    </row>
    <row r="18" spans="2:10" ht="26.4" thickBot="1" x14ac:dyDescent="0.55000000000000004">
      <c r="B18" s="7"/>
      <c r="C18" s="8"/>
      <c r="D18" s="8"/>
      <c r="E18" s="8"/>
      <c r="F18" s="8"/>
      <c r="G18" s="8"/>
      <c r="H18" s="8"/>
      <c r="I18" s="8"/>
      <c r="J18" s="8"/>
    </row>
    <row r="19" spans="2:10" ht="16.2" thickBot="1" x14ac:dyDescent="0.35">
      <c r="B19" s="158" t="s">
        <v>519</v>
      </c>
      <c r="C19" s="158"/>
      <c r="D19" s="158"/>
      <c r="E19" s="158"/>
      <c r="F19" s="158"/>
      <c r="G19" s="158"/>
      <c r="H19" s="158"/>
      <c r="I19" s="158"/>
      <c r="J19" s="19"/>
    </row>
    <row r="20" spans="2:10" x14ac:dyDescent="0.3">
      <c r="B20" s="1"/>
      <c r="C20" s="2" t="s">
        <v>2</v>
      </c>
      <c r="D20" s="2" t="s">
        <v>3</v>
      </c>
      <c r="E20" s="3" t="s">
        <v>4</v>
      </c>
      <c r="F20" s="3" t="s">
        <v>5</v>
      </c>
      <c r="G20" s="3" t="s">
        <v>6</v>
      </c>
      <c r="H20" s="3" t="s">
        <v>381</v>
      </c>
      <c r="I20" s="3" t="s">
        <v>89</v>
      </c>
      <c r="J20" s="20" t="s">
        <v>200</v>
      </c>
    </row>
    <row r="21" spans="2:10" ht="25.8" x14ac:dyDescent="0.5">
      <c r="B21" s="13">
        <v>42775</v>
      </c>
      <c r="C21" s="8" t="s">
        <v>20</v>
      </c>
      <c r="D21" s="8" t="s">
        <v>520</v>
      </c>
      <c r="E21" s="8">
        <v>5.5</v>
      </c>
      <c r="F21" s="8">
        <v>9.5</v>
      </c>
      <c r="G21" s="8">
        <v>6000</v>
      </c>
      <c r="H21" s="8">
        <v>4</v>
      </c>
      <c r="I21" s="8">
        <f>G21*H21</f>
        <v>24000</v>
      </c>
      <c r="J21" s="8" t="s">
        <v>198</v>
      </c>
    </row>
    <row r="22" spans="2:10" ht="25.8" x14ac:dyDescent="0.5">
      <c r="B22" s="13">
        <v>42781</v>
      </c>
      <c r="C22" s="8" t="s">
        <v>8</v>
      </c>
      <c r="D22" s="8" t="s">
        <v>521</v>
      </c>
      <c r="E22" s="8">
        <v>4.5</v>
      </c>
      <c r="F22" s="8">
        <v>10</v>
      </c>
      <c r="G22" s="8">
        <v>6000</v>
      </c>
      <c r="H22" s="8">
        <v>5.5</v>
      </c>
      <c r="I22" s="8">
        <f t="shared" ref="I22:I24" si="1">G22*H22</f>
        <v>33000</v>
      </c>
      <c r="J22" s="8" t="s">
        <v>195</v>
      </c>
    </row>
    <row r="23" spans="2:10" ht="25.8" x14ac:dyDescent="0.5">
      <c r="B23" s="13">
        <v>42787</v>
      </c>
      <c r="C23" s="8" t="s">
        <v>8</v>
      </c>
      <c r="D23" s="8" t="s">
        <v>522</v>
      </c>
      <c r="E23" s="8">
        <v>10</v>
      </c>
      <c r="F23" s="8">
        <v>6</v>
      </c>
      <c r="G23" s="8">
        <v>2100</v>
      </c>
      <c r="H23" s="8">
        <v>-4</v>
      </c>
      <c r="I23" s="8">
        <f t="shared" si="1"/>
        <v>-8400</v>
      </c>
      <c r="J23" s="8" t="s">
        <v>197</v>
      </c>
    </row>
    <row r="24" spans="2:10" ht="25.8" x14ac:dyDescent="0.5">
      <c r="B24" s="13">
        <v>42788</v>
      </c>
      <c r="C24" s="8" t="s">
        <v>8</v>
      </c>
      <c r="D24" s="8" t="s">
        <v>524</v>
      </c>
      <c r="E24" s="8">
        <v>3</v>
      </c>
      <c r="F24" s="8">
        <v>5.5</v>
      </c>
      <c r="G24" s="8">
        <v>7000</v>
      </c>
      <c r="H24" s="8">
        <v>2.5</v>
      </c>
      <c r="I24" s="8">
        <f t="shared" si="1"/>
        <v>17500</v>
      </c>
      <c r="J24" s="8" t="s">
        <v>198</v>
      </c>
    </row>
    <row r="25" spans="2:10" ht="25.8" x14ac:dyDescent="0.5">
      <c r="B25" s="13"/>
      <c r="C25" s="8"/>
      <c r="D25" s="8"/>
      <c r="E25" s="8"/>
      <c r="F25" s="8"/>
      <c r="G25" s="8"/>
      <c r="H25" s="8"/>
      <c r="I25" s="8"/>
      <c r="J25" s="8"/>
    </row>
    <row r="26" spans="2:10" ht="25.8" x14ac:dyDescent="0.5">
      <c r="B26" s="7"/>
      <c r="C26" s="8"/>
      <c r="D26" s="8"/>
      <c r="E26" s="8"/>
      <c r="F26" s="8"/>
      <c r="G26" s="8"/>
      <c r="H26" s="8"/>
      <c r="I26" s="9">
        <f>SUM(I21:I24)</f>
        <v>66100</v>
      </c>
      <c r="J26" s="8"/>
    </row>
    <row r="27" spans="2:10" ht="25.8" x14ac:dyDescent="0.5">
      <c r="B27" s="13"/>
      <c r="C27" s="8"/>
      <c r="D27" s="8"/>
      <c r="E27" s="8"/>
      <c r="F27" s="8"/>
      <c r="G27" s="8"/>
      <c r="H27" s="8"/>
      <c r="I27" s="8"/>
      <c r="J27" s="8"/>
    </row>
    <row r="28" spans="2:10" ht="25.8" x14ac:dyDescent="0.5">
      <c r="B28" s="13"/>
      <c r="C28" s="8"/>
      <c r="D28" s="8"/>
      <c r="E28" s="8"/>
      <c r="F28" s="8"/>
      <c r="G28" s="8"/>
      <c r="H28" s="8"/>
      <c r="I28" s="9"/>
      <c r="J28" s="8"/>
    </row>
    <row r="29" spans="2:10" ht="25.8" x14ac:dyDescent="0.5">
      <c r="B29" s="13"/>
      <c r="C29" s="8"/>
      <c r="D29" s="8"/>
      <c r="E29" s="8"/>
      <c r="F29" s="8"/>
      <c r="G29" s="8"/>
      <c r="H29" s="8"/>
      <c r="I29" s="9"/>
      <c r="J29" s="8"/>
    </row>
    <row r="30" spans="2:10" ht="25.8" x14ac:dyDescent="0.5">
      <c r="I30" s="9"/>
      <c r="J30" s="9"/>
    </row>
  </sheetData>
  <mergeCells count="5">
    <mergeCell ref="B1:I1"/>
    <mergeCell ref="B2:I2"/>
    <mergeCell ref="B3:I3"/>
    <mergeCell ref="B12:I12"/>
    <mergeCell ref="B19:I19"/>
  </mergeCells>
  <hyperlinks>
    <hyperlink ref="L2" location="'Home Page'!A1" display="Back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M28"/>
  <sheetViews>
    <sheetView topLeftCell="A16" workbookViewId="0">
      <selection activeCell="M2" sqref="M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9.5546875" bestFit="1" customWidth="1"/>
    <col min="5" max="6" width="9.5546875" bestFit="1" customWidth="1"/>
    <col min="7" max="7" width="20.109375" bestFit="1" customWidth="1"/>
    <col min="8" max="8" width="9.5546875" bestFit="1" customWidth="1"/>
    <col min="9" max="9" width="14.88671875" bestFit="1" customWidth="1"/>
    <col min="10" max="10" width="13.88671875" bestFit="1" customWidth="1"/>
    <col min="11" max="11" width="25.44140625" bestFit="1" customWidth="1"/>
    <col min="12" max="12" width="9.109375" style="5"/>
  </cols>
  <sheetData>
    <row r="1" spans="1:13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156"/>
      <c r="K1" s="4"/>
      <c r="L1" s="4"/>
    </row>
    <row r="2" spans="1:13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57"/>
      <c r="K2" s="18"/>
      <c r="L2" s="4"/>
      <c r="M2" s="30" t="s">
        <v>566</v>
      </c>
    </row>
    <row r="3" spans="1:13" ht="16.2" thickBot="1" x14ac:dyDescent="0.35">
      <c r="A3" s="6"/>
      <c r="B3" s="158" t="s">
        <v>525</v>
      </c>
      <c r="C3" s="158"/>
      <c r="D3" s="158"/>
      <c r="E3" s="158"/>
      <c r="F3" s="158"/>
      <c r="G3" s="158"/>
      <c r="H3" s="158"/>
      <c r="I3" s="158"/>
      <c r="J3" s="158"/>
      <c r="K3" s="19"/>
      <c r="L3" s="6"/>
    </row>
    <row r="4" spans="1:13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528</v>
      </c>
      <c r="H4" s="3" t="s">
        <v>6</v>
      </c>
      <c r="I4" s="3" t="s">
        <v>381</v>
      </c>
      <c r="J4" s="3" t="s">
        <v>10</v>
      </c>
      <c r="K4" s="20" t="s">
        <v>200</v>
      </c>
    </row>
    <row r="5" spans="1:13" ht="25.8" x14ac:dyDescent="0.5">
      <c r="B5" s="13">
        <v>42795</v>
      </c>
      <c r="C5" s="8" t="s">
        <v>13</v>
      </c>
      <c r="D5" s="8" t="s">
        <v>449</v>
      </c>
      <c r="E5" s="8">
        <v>518</v>
      </c>
      <c r="F5" s="8">
        <v>508</v>
      </c>
      <c r="G5" s="7">
        <v>42796</v>
      </c>
      <c r="H5" s="8">
        <v>2400</v>
      </c>
      <c r="I5" s="8">
        <v>10</v>
      </c>
      <c r="J5" s="8">
        <f>H5*I5</f>
        <v>24000</v>
      </c>
      <c r="K5" s="17" t="s">
        <v>198</v>
      </c>
    </row>
    <row r="6" spans="1:13" ht="25.8" x14ac:dyDescent="0.5">
      <c r="B6" s="7">
        <v>42808</v>
      </c>
      <c r="C6" s="8" t="s">
        <v>13</v>
      </c>
      <c r="D6" s="8" t="s">
        <v>449</v>
      </c>
      <c r="E6" s="8">
        <v>515</v>
      </c>
      <c r="F6" s="8">
        <v>495</v>
      </c>
      <c r="G6" s="7">
        <v>42817</v>
      </c>
      <c r="H6" s="8">
        <v>2400</v>
      </c>
      <c r="I6" s="8">
        <v>20</v>
      </c>
      <c r="J6" s="8">
        <f>I6*H6</f>
        <v>48000</v>
      </c>
      <c r="K6" s="17" t="s">
        <v>195</v>
      </c>
    </row>
    <row r="7" spans="1:13" ht="25.8" x14ac:dyDescent="0.5">
      <c r="B7" s="7">
        <v>42821</v>
      </c>
      <c r="C7" s="8" t="s">
        <v>13</v>
      </c>
      <c r="D7" s="8" t="s">
        <v>449</v>
      </c>
      <c r="E7" s="8">
        <v>490</v>
      </c>
      <c r="F7" s="8">
        <v>502</v>
      </c>
      <c r="G7" s="7">
        <v>42822</v>
      </c>
      <c r="H7" s="8">
        <v>2400</v>
      </c>
      <c r="I7" s="8">
        <v>-12</v>
      </c>
      <c r="J7" s="8">
        <f>I7*H7</f>
        <v>-28800</v>
      </c>
      <c r="K7" s="17" t="s">
        <v>197</v>
      </c>
    </row>
    <row r="8" spans="1:13" ht="25.8" x14ac:dyDescent="0.5">
      <c r="B8" s="7"/>
      <c r="C8" s="8"/>
      <c r="D8" s="8"/>
      <c r="E8" s="8"/>
      <c r="F8" s="8"/>
      <c r="G8" s="8"/>
      <c r="H8" s="8"/>
      <c r="I8" s="8"/>
      <c r="J8" s="9">
        <f>SUM(J5:J7)</f>
        <v>43200</v>
      </c>
      <c r="K8" s="17"/>
    </row>
    <row r="10" spans="1:13" ht="15" thickBot="1" x14ac:dyDescent="0.35"/>
    <row r="11" spans="1:13" ht="16.2" thickBot="1" x14ac:dyDescent="0.35">
      <c r="B11" s="158" t="s">
        <v>526</v>
      </c>
      <c r="C11" s="158"/>
      <c r="D11" s="158"/>
      <c r="E11" s="158"/>
      <c r="F11" s="158"/>
      <c r="G11" s="158"/>
      <c r="H11" s="158"/>
      <c r="I11" s="158"/>
      <c r="J11" s="158"/>
      <c r="K11" s="19"/>
    </row>
    <row r="12" spans="1:13" x14ac:dyDescent="0.3">
      <c r="B12" s="1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3" t="s">
        <v>528</v>
      </c>
      <c r="H12" s="3" t="s">
        <v>382</v>
      </c>
      <c r="I12" s="3" t="s">
        <v>381</v>
      </c>
      <c r="J12" s="3" t="s">
        <v>375</v>
      </c>
      <c r="K12" s="20" t="s">
        <v>200</v>
      </c>
    </row>
    <row r="13" spans="1:13" ht="25.8" x14ac:dyDescent="0.5">
      <c r="B13" s="13">
        <v>42800</v>
      </c>
      <c r="C13" s="8" t="s">
        <v>13</v>
      </c>
      <c r="D13" s="8" t="s">
        <v>30</v>
      </c>
      <c r="E13" s="8">
        <v>8985</v>
      </c>
      <c r="F13" s="8">
        <v>8910</v>
      </c>
      <c r="G13" s="7">
        <v>42802</v>
      </c>
      <c r="H13" s="8">
        <v>375</v>
      </c>
      <c r="I13" s="8">
        <v>75</v>
      </c>
      <c r="J13" s="8">
        <f>H13*I13</f>
        <v>28125</v>
      </c>
      <c r="K13" s="8" t="s">
        <v>198</v>
      </c>
    </row>
    <row r="14" spans="1:13" ht="25.8" x14ac:dyDescent="0.5">
      <c r="B14" s="13">
        <v>42811</v>
      </c>
      <c r="C14" s="8" t="s">
        <v>13</v>
      </c>
      <c r="D14" s="8" t="s">
        <v>30</v>
      </c>
      <c r="E14" s="8">
        <v>9195</v>
      </c>
      <c r="F14" s="8">
        <v>9050</v>
      </c>
      <c r="G14" s="7">
        <v>42816</v>
      </c>
      <c r="H14" s="8">
        <v>375</v>
      </c>
      <c r="I14" s="8">
        <v>145</v>
      </c>
      <c r="J14" s="8">
        <f t="shared" ref="J14:J15" si="0">H14*I14</f>
        <v>54375</v>
      </c>
      <c r="K14" s="8" t="s">
        <v>195</v>
      </c>
    </row>
    <row r="15" spans="1:13" ht="25.8" x14ac:dyDescent="0.5">
      <c r="B15" s="7">
        <v>42821</v>
      </c>
      <c r="C15" s="8" t="s">
        <v>13</v>
      </c>
      <c r="D15" s="8" t="s">
        <v>30</v>
      </c>
      <c r="E15" s="8">
        <v>9080</v>
      </c>
      <c r="F15" s="8">
        <v>9150</v>
      </c>
      <c r="G15" s="7">
        <v>42823</v>
      </c>
      <c r="H15" s="8">
        <v>375</v>
      </c>
      <c r="I15" s="8">
        <v>-70</v>
      </c>
      <c r="J15" s="8">
        <f t="shared" si="0"/>
        <v>-26250</v>
      </c>
      <c r="K15" s="8"/>
    </row>
    <row r="16" spans="1:13" ht="25.8" x14ac:dyDescent="0.5">
      <c r="B16" s="7"/>
      <c r="C16" s="8"/>
      <c r="D16" s="8"/>
      <c r="E16" s="8"/>
      <c r="F16" s="8"/>
      <c r="G16" s="8"/>
      <c r="H16" s="8"/>
      <c r="I16" s="8"/>
      <c r="J16" s="9">
        <v>56250</v>
      </c>
      <c r="K16" s="8"/>
    </row>
    <row r="17" spans="2:11" ht="26.4" thickBot="1" x14ac:dyDescent="0.55000000000000004">
      <c r="B17" s="7"/>
      <c r="C17" s="8"/>
      <c r="D17" s="8"/>
      <c r="E17" s="8"/>
      <c r="F17" s="8"/>
      <c r="G17" s="8"/>
      <c r="H17" s="8"/>
      <c r="I17" s="8"/>
      <c r="J17" s="9"/>
      <c r="K17" s="8"/>
    </row>
    <row r="18" spans="2:11" ht="16.2" thickBot="1" x14ac:dyDescent="0.35">
      <c r="B18" s="158" t="s">
        <v>527</v>
      </c>
      <c r="C18" s="158"/>
      <c r="D18" s="158"/>
      <c r="E18" s="158"/>
      <c r="F18" s="158"/>
      <c r="G18" s="158"/>
      <c r="H18" s="158"/>
      <c r="I18" s="158"/>
      <c r="J18" s="158"/>
      <c r="K18" s="19"/>
    </row>
    <row r="19" spans="2:11" x14ac:dyDescent="0.3">
      <c r="B19" s="1"/>
      <c r="C19" s="2" t="s">
        <v>2</v>
      </c>
      <c r="D19" s="2" t="s">
        <v>3</v>
      </c>
      <c r="E19" s="3" t="s">
        <v>4</v>
      </c>
      <c r="F19" s="3" t="s">
        <v>5</v>
      </c>
      <c r="G19" s="3" t="s">
        <v>528</v>
      </c>
      <c r="H19" s="3" t="s">
        <v>6</v>
      </c>
      <c r="I19" s="3" t="s">
        <v>381</v>
      </c>
      <c r="J19" s="3" t="s">
        <v>89</v>
      </c>
      <c r="K19" s="20" t="s">
        <v>200</v>
      </c>
    </row>
    <row r="20" spans="2:11" ht="25.8" x14ac:dyDescent="0.5">
      <c r="B20" s="13">
        <v>42800</v>
      </c>
      <c r="C20" s="8" t="s">
        <v>20</v>
      </c>
      <c r="D20" s="8" t="s">
        <v>529</v>
      </c>
      <c r="E20" s="8">
        <v>10</v>
      </c>
      <c r="F20" s="8">
        <v>15</v>
      </c>
      <c r="G20" s="7">
        <v>42802</v>
      </c>
      <c r="H20" s="8">
        <v>2400</v>
      </c>
      <c r="I20" s="8">
        <v>5</v>
      </c>
      <c r="J20" s="8">
        <f>H20*I20</f>
        <v>12000</v>
      </c>
      <c r="K20" s="8" t="s">
        <v>198</v>
      </c>
    </row>
    <row r="21" spans="2:11" ht="25.8" x14ac:dyDescent="0.5">
      <c r="B21" s="13">
        <v>42802</v>
      </c>
      <c r="C21" s="8" t="s">
        <v>8</v>
      </c>
      <c r="D21" s="8" t="s">
        <v>530</v>
      </c>
      <c r="E21" s="8">
        <v>28</v>
      </c>
      <c r="F21" s="8">
        <v>15</v>
      </c>
      <c r="G21" s="7">
        <v>42808</v>
      </c>
      <c r="H21" s="8">
        <v>700</v>
      </c>
      <c r="I21" s="8">
        <v>-13</v>
      </c>
      <c r="J21" s="8">
        <f t="shared" ref="J21:J23" si="1">H21*I21</f>
        <v>-9100</v>
      </c>
      <c r="K21" s="8" t="s">
        <v>197</v>
      </c>
    </row>
    <row r="22" spans="2:11" ht="25.8" x14ac:dyDescent="0.5">
      <c r="B22" s="13">
        <v>42808</v>
      </c>
      <c r="C22" s="8" t="s">
        <v>20</v>
      </c>
      <c r="D22" s="8" t="s">
        <v>529</v>
      </c>
      <c r="E22" s="8">
        <v>9.5</v>
      </c>
      <c r="F22" s="8">
        <v>22</v>
      </c>
      <c r="G22" s="7">
        <v>42815</v>
      </c>
      <c r="H22" s="8">
        <v>2400</v>
      </c>
      <c r="I22" s="8">
        <v>12.5</v>
      </c>
      <c r="J22" s="8">
        <f t="shared" si="1"/>
        <v>30000</v>
      </c>
      <c r="K22" s="8" t="s">
        <v>195</v>
      </c>
    </row>
    <row r="23" spans="2:11" ht="25.8" x14ac:dyDescent="0.5">
      <c r="B23" s="13">
        <v>42816</v>
      </c>
      <c r="C23" s="8" t="s">
        <v>8</v>
      </c>
      <c r="D23" s="8" t="s">
        <v>531</v>
      </c>
      <c r="E23" s="8">
        <v>11</v>
      </c>
      <c r="F23" s="8">
        <v>19</v>
      </c>
      <c r="G23" s="7">
        <v>42816</v>
      </c>
      <c r="H23" s="8">
        <v>2400</v>
      </c>
      <c r="I23" s="8">
        <v>8</v>
      </c>
      <c r="J23" s="8">
        <f t="shared" si="1"/>
        <v>19200</v>
      </c>
      <c r="K23" s="24" t="s">
        <v>199</v>
      </c>
    </row>
    <row r="24" spans="2:11" ht="25.8" x14ac:dyDescent="0.5">
      <c r="B24" s="7"/>
      <c r="C24" s="8"/>
      <c r="D24" s="8"/>
      <c r="E24" s="8"/>
      <c r="F24" s="8"/>
      <c r="G24" s="8"/>
      <c r="H24" s="8"/>
      <c r="I24" s="8"/>
      <c r="J24" s="9">
        <f>SUM(J20:J23)</f>
        <v>52100</v>
      </c>
      <c r="K24" s="8"/>
    </row>
    <row r="25" spans="2:11" ht="25.8" x14ac:dyDescent="0.5">
      <c r="B25" s="13"/>
      <c r="C25" s="8"/>
      <c r="D25" s="8"/>
      <c r="E25" s="8"/>
      <c r="F25" s="8"/>
      <c r="G25" s="8"/>
      <c r="H25" s="8"/>
      <c r="I25" s="8"/>
      <c r="J25" s="8"/>
      <c r="K25" s="8"/>
    </row>
    <row r="26" spans="2:11" ht="25.8" x14ac:dyDescent="0.5">
      <c r="B26" s="13"/>
      <c r="C26" s="8"/>
      <c r="D26" s="8"/>
      <c r="E26" s="8"/>
      <c r="F26" s="8"/>
      <c r="G26" s="8"/>
      <c r="H26" s="8"/>
      <c r="I26" s="8"/>
      <c r="J26" s="9"/>
      <c r="K26" s="8"/>
    </row>
    <row r="27" spans="2:11" ht="25.8" x14ac:dyDescent="0.5">
      <c r="B27" s="13"/>
      <c r="C27" s="8"/>
      <c r="D27" s="8"/>
      <c r="E27" s="8"/>
      <c r="F27" s="8"/>
      <c r="G27" s="8"/>
      <c r="H27" s="8"/>
      <c r="I27" s="8"/>
      <c r="J27" s="9"/>
      <c r="K27" s="8"/>
    </row>
    <row r="28" spans="2:11" ht="25.8" x14ac:dyDescent="0.5">
      <c r="J28" s="9"/>
      <c r="K28" s="9"/>
    </row>
  </sheetData>
  <mergeCells count="5">
    <mergeCell ref="B1:J1"/>
    <mergeCell ref="B2:J2"/>
    <mergeCell ref="B3:J3"/>
    <mergeCell ref="B11:J11"/>
    <mergeCell ref="B18:J18"/>
  </mergeCells>
  <hyperlinks>
    <hyperlink ref="M2" location="'Home Page'!A1" display="Back" xr:uid="{00000000-0004-0000-30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37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4.554687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71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41457</v>
      </c>
      <c r="C5" s="8" t="s">
        <v>13</v>
      </c>
      <c r="D5" s="8" t="s">
        <v>74</v>
      </c>
      <c r="E5" s="8">
        <v>150</v>
      </c>
      <c r="F5" s="8">
        <v>140</v>
      </c>
      <c r="G5" s="8">
        <v>2000</v>
      </c>
      <c r="H5" s="8">
        <v>20000</v>
      </c>
    </row>
    <row r="6" spans="1:10" ht="25.8" x14ac:dyDescent="0.5">
      <c r="B6" s="7">
        <v>41459</v>
      </c>
      <c r="C6" s="8" t="s">
        <v>20</v>
      </c>
      <c r="D6" s="8" t="s">
        <v>75</v>
      </c>
      <c r="E6" s="8">
        <v>120</v>
      </c>
      <c r="F6" s="8">
        <v>127</v>
      </c>
      <c r="G6" s="8">
        <v>2000</v>
      </c>
      <c r="H6" s="8">
        <v>14000</v>
      </c>
    </row>
    <row r="7" spans="1:10" ht="25.8" x14ac:dyDescent="0.5">
      <c r="B7" s="7">
        <v>41461</v>
      </c>
      <c r="C7" s="8" t="s">
        <v>8</v>
      </c>
      <c r="D7" s="8" t="s">
        <v>76</v>
      </c>
      <c r="E7" s="8">
        <v>226</v>
      </c>
      <c r="F7" s="8">
        <v>232</v>
      </c>
      <c r="G7" s="8">
        <v>1000</v>
      </c>
      <c r="H7" s="8">
        <v>6000</v>
      </c>
    </row>
    <row r="8" spans="1:10" ht="25.8" x14ac:dyDescent="0.5">
      <c r="B8" s="7">
        <v>41464</v>
      </c>
      <c r="C8" s="8" t="s">
        <v>13</v>
      </c>
      <c r="D8" s="8" t="s">
        <v>77</v>
      </c>
      <c r="E8" s="8">
        <v>1910</v>
      </c>
      <c r="F8" s="8">
        <v>1860</v>
      </c>
      <c r="G8" s="8">
        <v>250</v>
      </c>
      <c r="H8" s="8">
        <v>12500</v>
      </c>
    </row>
    <row r="9" spans="1:10" ht="25.8" x14ac:dyDescent="0.5">
      <c r="B9" s="7">
        <v>41465</v>
      </c>
      <c r="C9" s="8" t="s">
        <v>8</v>
      </c>
      <c r="D9" s="8" t="s">
        <v>78</v>
      </c>
      <c r="E9" s="8">
        <v>230</v>
      </c>
      <c r="F9" s="8">
        <v>238</v>
      </c>
      <c r="G9" s="8">
        <v>2000</v>
      </c>
      <c r="H9" s="8">
        <v>16000</v>
      </c>
    </row>
    <row r="10" spans="1:10" ht="25.8" x14ac:dyDescent="0.5">
      <c r="B10" s="7">
        <v>41471</v>
      </c>
      <c r="C10" s="8" t="s">
        <v>8</v>
      </c>
      <c r="D10" s="8" t="s">
        <v>79</v>
      </c>
      <c r="E10" s="8">
        <v>302</v>
      </c>
      <c r="F10" s="8">
        <v>314</v>
      </c>
      <c r="G10" s="8">
        <v>2000</v>
      </c>
      <c r="H10" s="8">
        <v>24000</v>
      </c>
    </row>
    <row r="11" spans="1:10" ht="25.8" x14ac:dyDescent="0.5">
      <c r="B11" s="7">
        <v>41472</v>
      </c>
      <c r="C11" s="8" t="s">
        <v>13</v>
      </c>
      <c r="D11" s="8" t="s">
        <v>83</v>
      </c>
      <c r="E11" s="8">
        <v>146</v>
      </c>
      <c r="F11" s="8">
        <v>149</v>
      </c>
      <c r="G11" s="8">
        <v>4000</v>
      </c>
      <c r="H11" s="8">
        <v>-12000</v>
      </c>
    </row>
    <row r="12" spans="1:10" ht="25.8" x14ac:dyDescent="0.5">
      <c r="B12" s="7">
        <v>41474</v>
      </c>
      <c r="C12" s="8" t="s">
        <v>8</v>
      </c>
      <c r="D12" s="8" t="s">
        <v>27</v>
      </c>
      <c r="E12" s="8">
        <v>315</v>
      </c>
      <c r="F12" s="8">
        <v>330</v>
      </c>
      <c r="G12" s="8">
        <v>2000</v>
      </c>
      <c r="H12" s="8">
        <v>30000</v>
      </c>
    </row>
    <row r="13" spans="1:10" ht="25.8" x14ac:dyDescent="0.5">
      <c r="B13" s="7">
        <v>41475</v>
      </c>
      <c r="C13" s="8" t="s">
        <v>13</v>
      </c>
      <c r="D13" s="8" t="s">
        <v>82</v>
      </c>
      <c r="E13" s="8">
        <v>69.5</v>
      </c>
      <c r="F13" s="8">
        <v>68</v>
      </c>
      <c r="G13" s="8">
        <v>8000</v>
      </c>
      <c r="H13" s="8">
        <v>12000</v>
      </c>
    </row>
    <row r="14" spans="1:10" ht="25.8" x14ac:dyDescent="0.5">
      <c r="H14" s="9">
        <v>122500</v>
      </c>
    </row>
    <row r="16" spans="1:10" ht="15" thickBot="1" x14ac:dyDescent="0.35"/>
    <row r="17" spans="2:8" ht="16.2" thickBot="1" x14ac:dyDescent="0.35">
      <c r="B17" s="158" t="s">
        <v>70</v>
      </c>
      <c r="C17" s="158"/>
      <c r="D17" s="158"/>
      <c r="E17" s="158"/>
      <c r="F17" s="158"/>
      <c r="G17" s="158"/>
      <c r="H17" s="158"/>
    </row>
    <row r="18" spans="2:8" x14ac:dyDescent="0.3">
      <c r="B18" s="1" t="s">
        <v>1</v>
      </c>
      <c r="C18" s="2" t="s">
        <v>2</v>
      </c>
      <c r="D18" s="2" t="s">
        <v>3</v>
      </c>
      <c r="E18" s="3" t="s">
        <v>4</v>
      </c>
      <c r="F18" s="3" t="s">
        <v>5</v>
      </c>
      <c r="G18" s="3" t="s">
        <v>44</v>
      </c>
      <c r="H18" s="3" t="s">
        <v>31</v>
      </c>
    </row>
    <row r="19" spans="2:8" ht="25.8" x14ac:dyDescent="0.5">
      <c r="B19" s="7">
        <v>41457</v>
      </c>
      <c r="C19" s="8" t="s">
        <v>13</v>
      </c>
      <c r="D19" s="8" t="s">
        <v>30</v>
      </c>
      <c r="E19" s="8">
        <v>5870</v>
      </c>
      <c r="F19" s="8">
        <v>5800</v>
      </c>
      <c r="G19" s="8">
        <v>70</v>
      </c>
      <c r="H19" s="8">
        <v>35000</v>
      </c>
    </row>
    <row r="20" spans="2:8" ht="25.8" x14ac:dyDescent="0.5">
      <c r="B20" s="7">
        <v>41459</v>
      </c>
      <c r="C20" s="8" t="s">
        <v>20</v>
      </c>
      <c r="D20" s="8" t="s">
        <v>30</v>
      </c>
      <c r="E20" s="8">
        <v>5800</v>
      </c>
      <c r="F20" s="8">
        <v>5850</v>
      </c>
      <c r="G20" s="8">
        <v>50</v>
      </c>
      <c r="H20" s="8">
        <v>25000</v>
      </c>
    </row>
    <row r="21" spans="2:8" ht="25.8" x14ac:dyDescent="0.5">
      <c r="B21" s="7">
        <v>41463</v>
      </c>
      <c r="C21" s="8" t="s">
        <v>8</v>
      </c>
      <c r="D21" s="8" t="s">
        <v>30</v>
      </c>
      <c r="E21" s="8">
        <v>5790</v>
      </c>
      <c r="F21" s="8">
        <v>5740</v>
      </c>
      <c r="G21" s="8">
        <v>50</v>
      </c>
      <c r="H21" s="8">
        <v>25000</v>
      </c>
    </row>
    <row r="22" spans="2:8" ht="25.8" x14ac:dyDescent="0.5">
      <c r="B22" s="7">
        <v>41465</v>
      </c>
      <c r="C22" s="8" t="s">
        <v>13</v>
      </c>
      <c r="D22" s="8" t="s">
        <v>30</v>
      </c>
      <c r="E22" s="8">
        <v>5870</v>
      </c>
      <c r="F22" s="8">
        <v>5810</v>
      </c>
      <c r="G22" s="8">
        <v>60</v>
      </c>
      <c r="H22" s="8">
        <v>30000</v>
      </c>
    </row>
    <row r="23" spans="2:8" ht="25.8" x14ac:dyDescent="0.5">
      <c r="B23" s="7">
        <v>41466</v>
      </c>
      <c r="C23" s="8" t="s">
        <v>8</v>
      </c>
      <c r="D23" s="8" t="s">
        <v>30</v>
      </c>
      <c r="E23" s="8">
        <v>5950</v>
      </c>
      <c r="F23" s="8">
        <v>6000</v>
      </c>
      <c r="G23" s="8">
        <v>50</v>
      </c>
      <c r="H23" s="8">
        <v>25000</v>
      </c>
    </row>
    <row r="24" spans="2:8" ht="25.8" x14ac:dyDescent="0.5">
      <c r="B24" s="7">
        <v>41471</v>
      </c>
      <c r="C24" s="8" t="s">
        <v>8</v>
      </c>
      <c r="D24" s="8" t="s">
        <v>30</v>
      </c>
      <c r="E24" s="8">
        <v>5960</v>
      </c>
      <c r="F24" s="8">
        <v>6020</v>
      </c>
      <c r="G24" s="8">
        <v>60</v>
      </c>
      <c r="H24" s="8">
        <v>30000</v>
      </c>
    </row>
    <row r="25" spans="2:8" ht="25.8" x14ac:dyDescent="0.5">
      <c r="B25" s="7">
        <v>41474</v>
      </c>
      <c r="C25" s="8" t="s">
        <v>13</v>
      </c>
      <c r="D25" s="8" t="s">
        <v>30</v>
      </c>
      <c r="E25" s="8">
        <v>5950</v>
      </c>
      <c r="F25" s="8">
        <v>6000</v>
      </c>
      <c r="G25" s="8">
        <v>50</v>
      </c>
      <c r="H25" s="8">
        <v>-25000</v>
      </c>
    </row>
    <row r="26" spans="2:8" ht="25.8" x14ac:dyDescent="0.5">
      <c r="B26" s="7">
        <v>41481</v>
      </c>
      <c r="C26" s="8" t="s">
        <v>13</v>
      </c>
      <c r="D26" s="8" t="s">
        <v>30</v>
      </c>
      <c r="E26" s="8">
        <v>5960</v>
      </c>
      <c r="F26" s="8">
        <v>5900</v>
      </c>
      <c r="G26" s="8">
        <v>60</v>
      </c>
      <c r="H26" s="8">
        <v>30000</v>
      </c>
    </row>
    <row r="27" spans="2:8" ht="25.8" x14ac:dyDescent="0.5">
      <c r="H27" s="9">
        <v>175000</v>
      </c>
    </row>
    <row r="29" spans="2:8" ht="15" thickBot="1" x14ac:dyDescent="0.35"/>
    <row r="30" spans="2:8" ht="16.2" thickBot="1" x14ac:dyDescent="0.35">
      <c r="B30" s="158" t="s">
        <v>69</v>
      </c>
      <c r="C30" s="158"/>
      <c r="D30" s="158"/>
      <c r="E30" s="158"/>
      <c r="F30" s="158"/>
      <c r="G30" s="158"/>
      <c r="H30" s="158"/>
    </row>
    <row r="31" spans="2:8" x14ac:dyDescent="0.3">
      <c r="B31" s="1" t="s">
        <v>1</v>
      </c>
      <c r="C31" s="2" t="s">
        <v>2</v>
      </c>
      <c r="D31" s="2" t="s">
        <v>3</v>
      </c>
      <c r="E31" s="3" t="s">
        <v>4</v>
      </c>
      <c r="F31" s="3" t="s">
        <v>5</v>
      </c>
      <c r="G31" s="3" t="s">
        <v>6</v>
      </c>
      <c r="H31" s="3" t="s">
        <v>39</v>
      </c>
    </row>
    <row r="32" spans="2:8" ht="25.8" x14ac:dyDescent="0.5">
      <c r="B32" s="7">
        <v>41457</v>
      </c>
      <c r="C32" s="8" t="s">
        <v>20</v>
      </c>
      <c r="D32" s="8" t="s">
        <v>72</v>
      </c>
      <c r="E32" s="8">
        <v>8</v>
      </c>
      <c r="F32" s="8">
        <v>14</v>
      </c>
      <c r="G32" s="8">
        <v>2000</v>
      </c>
      <c r="H32" s="8">
        <v>12000</v>
      </c>
    </row>
    <row r="33" spans="2:8" ht="25.8" x14ac:dyDescent="0.5">
      <c r="B33" s="7">
        <v>41459</v>
      </c>
      <c r="C33" s="8" t="s">
        <v>8</v>
      </c>
      <c r="D33" s="8" t="s">
        <v>73</v>
      </c>
      <c r="E33" s="8">
        <v>1.8</v>
      </c>
      <c r="F33" s="8">
        <v>3.8</v>
      </c>
      <c r="G33" s="8">
        <v>4000</v>
      </c>
      <c r="H33" s="8">
        <v>8000</v>
      </c>
    </row>
    <row r="34" spans="2:8" ht="25.8" x14ac:dyDescent="0.5">
      <c r="B34" s="7">
        <v>41471</v>
      </c>
      <c r="C34" s="8" t="s">
        <v>8</v>
      </c>
      <c r="D34" s="8" t="s">
        <v>80</v>
      </c>
      <c r="E34" s="8">
        <v>45</v>
      </c>
      <c r="F34" s="8">
        <v>90</v>
      </c>
      <c r="G34" s="8">
        <v>400</v>
      </c>
      <c r="H34" s="8">
        <v>18000</v>
      </c>
    </row>
    <row r="35" spans="2:8" ht="25.8" x14ac:dyDescent="0.5">
      <c r="B35" s="7">
        <v>41475</v>
      </c>
      <c r="C35" s="8" t="s">
        <v>8</v>
      </c>
      <c r="D35" s="8" t="s">
        <v>81</v>
      </c>
      <c r="E35" s="8">
        <v>6</v>
      </c>
      <c r="F35" s="8">
        <v>10</v>
      </c>
      <c r="G35" s="8">
        <v>2000</v>
      </c>
      <c r="H35" s="8">
        <v>8000</v>
      </c>
    </row>
    <row r="36" spans="2:8" ht="25.8" x14ac:dyDescent="0.5">
      <c r="B36" s="7">
        <v>41480</v>
      </c>
      <c r="C36" s="8" t="s">
        <v>8</v>
      </c>
      <c r="D36" s="8" t="s">
        <v>84</v>
      </c>
      <c r="E36" s="8">
        <v>30</v>
      </c>
      <c r="F36" s="8">
        <v>55</v>
      </c>
      <c r="G36" s="8">
        <v>1000</v>
      </c>
      <c r="H36" s="8">
        <v>15000</v>
      </c>
    </row>
    <row r="37" spans="2:8" ht="25.8" x14ac:dyDescent="0.5">
      <c r="H37" s="9">
        <v>61000</v>
      </c>
    </row>
  </sheetData>
  <mergeCells count="5">
    <mergeCell ref="B1:H1"/>
    <mergeCell ref="B2:H2"/>
    <mergeCell ref="B3:H3"/>
    <mergeCell ref="B17:H17"/>
    <mergeCell ref="B30:H30"/>
  </mergeCells>
  <hyperlinks>
    <hyperlink ref="J2" location="'Home Page'!A1" display="Back" xr:uid="{00000000-0004-0000-0400-000000000000}"/>
  </hyperlinks>
  <pageMargins left="0.7" right="0.7" top="0.75" bottom="0.75" header="0.3" footer="0.3"/>
  <pageSetup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M28"/>
  <sheetViews>
    <sheetView topLeftCell="A13" workbookViewId="0">
      <selection activeCell="M2" sqref="M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0" bestFit="1" customWidth="1"/>
    <col min="5" max="6" width="9.5546875" bestFit="1" customWidth="1"/>
    <col min="7" max="7" width="20.109375" bestFit="1" customWidth="1"/>
    <col min="8" max="8" width="9.5546875" bestFit="1" customWidth="1"/>
    <col min="9" max="9" width="14.88671875" bestFit="1" customWidth="1"/>
    <col min="10" max="10" width="13.88671875" bestFit="1" customWidth="1"/>
    <col min="11" max="11" width="25.44140625" bestFit="1" customWidth="1"/>
    <col min="12" max="12" width="9.109375" style="5"/>
  </cols>
  <sheetData>
    <row r="1" spans="1:13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156"/>
      <c r="K1" s="4"/>
      <c r="L1" s="4"/>
    </row>
    <row r="2" spans="1:13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57"/>
      <c r="K2" s="18"/>
      <c r="L2" s="4"/>
      <c r="M2" s="30" t="s">
        <v>566</v>
      </c>
    </row>
    <row r="3" spans="1:13" ht="16.2" thickBot="1" x14ac:dyDescent="0.35">
      <c r="A3" s="6"/>
      <c r="B3" s="158" t="s">
        <v>532</v>
      </c>
      <c r="C3" s="158"/>
      <c r="D3" s="158"/>
      <c r="E3" s="158"/>
      <c r="F3" s="158"/>
      <c r="G3" s="158"/>
      <c r="H3" s="158"/>
      <c r="I3" s="158"/>
      <c r="J3" s="158"/>
      <c r="K3" s="19"/>
      <c r="L3" s="6"/>
    </row>
    <row r="4" spans="1:13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528</v>
      </c>
      <c r="H4" s="3" t="s">
        <v>6</v>
      </c>
      <c r="I4" s="3" t="s">
        <v>381</v>
      </c>
      <c r="J4" s="3" t="s">
        <v>10</v>
      </c>
      <c r="K4" s="20" t="s">
        <v>200</v>
      </c>
    </row>
    <row r="5" spans="1:13" ht="25.8" x14ac:dyDescent="0.5">
      <c r="B5" s="13">
        <v>42832</v>
      </c>
      <c r="C5" s="8" t="s">
        <v>13</v>
      </c>
      <c r="D5" s="8" t="s">
        <v>449</v>
      </c>
      <c r="E5" s="8">
        <v>507</v>
      </c>
      <c r="F5" s="8">
        <v>517</v>
      </c>
      <c r="G5" s="7">
        <v>42836</v>
      </c>
      <c r="H5" s="8">
        <v>2400</v>
      </c>
      <c r="I5" s="8">
        <v>-10</v>
      </c>
      <c r="J5" s="8">
        <f>H5*I5</f>
        <v>-24000</v>
      </c>
      <c r="K5" s="17" t="s">
        <v>197</v>
      </c>
    </row>
    <row r="6" spans="1:13" ht="25.8" x14ac:dyDescent="0.5">
      <c r="B6" s="7">
        <v>42844</v>
      </c>
      <c r="C6" s="8" t="s">
        <v>20</v>
      </c>
      <c r="D6" s="8" t="s">
        <v>449</v>
      </c>
      <c r="E6" s="8">
        <v>498</v>
      </c>
      <c r="F6" s="8">
        <v>488</v>
      </c>
      <c r="G6" s="7">
        <v>42846</v>
      </c>
      <c r="H6" s="8">
        <v>2400</v>
      </c>
      <c r="I6" s="8">
        <v>-10</v>
      </c>
      <c r="J6" s="8">
        <f>I6*H6</f>
        <v>-24000</v>
      </c>
      <c r="K6" s="17" t="s">
        <v>197</v>
      </c>
    </row>
    <row r="7" spans="1:13" ht="25.8" x14ac:dyDescent="0.5">
      <c r="B7" s="7">
        <v>42852</v>
      </c>
      <c r="C7" s="8" t="s">
        <v>13</v>
      </c>
      <c r="D7" s="8" t="s">
        <v>539</v>
      </c>
      <c r="E7" s="8">
        <v>1860</v>
      </c>
      <c r="F7" s="8">
        <v>1840</v>
      </c>
      <c r="G7" s="7">
        <v>42852</v>
      </c>
      <c r="H7" s="8">
        <v>500</v>
      </c>
      <c r="I7" s="8">
        <v>20</v>
      </c>
      <c r="J7" s="8">
        <f>I7*H7</f>
        <v>10000</v>
      </c>
      <c r="K7" s="17" t="s">
        <v>514</v>
      </c>
    </row>
    <row r="8" spans="1:13" ht="25.8" x14ac:dyDescent="0.5">
      <c r="B8" s="7"/>
      <c r="C8" s="8"/>
      <c r="D8" s="8"/>
      <c r="E8" s="8"/>
      <c r="F8" s="8"/>
      <c r="G8" s="8"/>
      <c r="H8" s="8"/>
      <c r="I8" s="8"/>
      <c r="J8" s="9">
        <f>SUM(J5:J7)</f>
        <v>-38000</v>
      </c>
      <c r="K8" s="17"/>
    </row>
    <row r="10" spans="1:13" ht="15" thickBot="1" x14ac:dyDescent="0.35"/>
    <row r="11" spans="1:13" ht="16.2" thickBot="1" x14ac:dyDescent="0.35">
      <c r="B11" s="158" t="s">
        <v>533</v>
      </c>
      <c r="C11" s="158"/>
      <c r="D11" s="158"/>
      <c r="E11" s="158"/>
      <c r="F11" s="158"/>
      <c r="G11" s="158"/>
      <c r="H11" s="158"/>
      <c r="I11" s="158"/>
      <c r="J11" s="158"/>
      <c r="K11" s="19"/>
    </row>
    <row r="12" spans="1:13" x14ac:dyDescent="0.3">
      <c r="B12" s="1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3" t="s">
        <v>528</v>
      </c>
      <c r="H12" s="3" t="s">
        <v>382</v>
      </c>
      <c r="I12" s="3" t="s">
        <v>381</v>
      </c>
      <c r="J12" s="3" t="s">
        <v>375</v>
      </c>
      <c r="K12" s="20" t="s">
        <v>200</v>
      </c>
    </row>
    <row r="13" spans="1:13" ht="25.8" x14ac:dyDescent="0.5">
      <c r="B13" s="13">
        <v>42825</v>
      </c>
      <c r="C13" s="8" t="s">
        <v>13</v>
      </c>
      <c r="D13" s="8" t="s">
        <v>30</v>
      </c>
      <c r="E13" s="8">
        <v>9205</v>
      </c>
      <c r="F13" s="8">
        <v>9270</v>
      </c>
      <c r="G13" s="7">
        <v>42828</v>
      </c>
      <c r="H13" s="8">
        <v>375</v>
      </c>
      <c r="I13" s="8">
        <v>-65</v>
      </c>
      <c r="J13" s="8">
        <f>H13*I13</f>
        <v>-24375</v>
      </c>
      <c r="K13" s="8" t="s">
        <v>197</v>
      </c>
    </row>
    <row r="14" spans="1:13" ht="25.8" x14ac:dyDescent="0.5">
      <c r="B14" s="13">
        <v>42832</v>
      </c>
      <c r="C14" s="8" t="s">
        <v>13</v>
      </c>
      <c r="D14" s="8" t="s">
        <v>30</v>
      </c>
      <c r="E14" s="8">
        <v>9230</v>
      </c>
      <c r="F14" s="8">
        <v>9100</v>
      </c>
      <c r="G14" s="7">
        <v>42842</v>
      </c>
      <c r="H14" s="8">
        <v>375</v>
      </c>
      <c r="I14" s="8">
        <v>130</v>
      </c>
      <c r="J14" s="8">
        <f t="shared" ref="J14:J15" si="0">H14*I14</f>
        <v>48750</v>
      </c>
      <c r="K14" s="8" t="s">
        <v>199</v>
      </c>
    </row>
    <row r="15" spans="1:13" ht="25.8" x14ac:dyDescent="0.5">
      <c r="B15" s="7">
        <v>42844</v>
      </c>
      <c r="C15" s="8" t="s">
        <v>20</v>
      </c>
      <c r="D15" s="8" t="s">
        <v>30</v>
      </c>
      <c r="E15" s="8">
        <v>9110</v>
      </c>
      <c r="F15" s="8">
        <v>9200</v>
      </c>
      <c r="G15" s="7">
        <v>42845</v>
      </c>
      <c r="H15" s="8">
        <v>375</v>
      </c>
      <c r="I15" s="8">
        <v>90</v>
      </c>
      <c r="J15" s="8">
        <f t="shared" si="0"/>
        <v>33750</v>
      </c>
      <c r="K15" s="8" t="s">
        <v>198</v>
      </c>
    </row>
    <row r="16" spans="1:13" ht="25.8" x14ac:dyDescent="0.5">
      <c r="B16" s="7"/>
      <c r="C16" s="8"/>
      <c r="D16" s="8"/>
      <c r="E16" s="8"/>
      <c r="F16" s="8"/>
      <c r="G16" s="8"/>
      <c r="H16" s="8"/>
      <c r="I16" s="8"/>
      <c r="J16" s="9"/>
      <c r="K16" s="8"/>
    </row>
    <row r="17" spans="2:11" ht="26.4" thickBot="1" x14ac:dyDescent="0.55000000000000004">
      <c r="B17" s="7"/>
      <c r="C17" s="8"/>
      <c r="D17" s="8"/>
      <c r="E17" s="8"/>
      <c r="F17" s="8"/>
      <c r="G17" s="8"/>
      <c r="H17" s="8"/>
      <c r="I17" s="8"/>
      <c r="J17" s="9">
        <f>SUM(J13:J15)</f>
        <v>58125</v>
      </c>
      <c r="K17" s="8"/>
    </row>
    <row r="18" spans="2:11" ht="16.2" thickBot="1" x14ac:dyDescent="0.35">
      <c r="B18" s="158" t="s">
        <v>534</v>
      </c>
      <c r="C18" s="158"/>
      <c r="D18" s="158"/>
      <c r="E18" s="158"/>
      <c r="F18" s="158"/>
      <c r="G18" s="158"/>
      <c r="H18" s="158"/>
      <c r="I18" s="158"/>
      <c r="J18" s="158"/>
      <c r="K18" s="19"/>
    </row>
    <row r="19" spans="2:11" x14ac:dyDescent="0.3">
      <c r="B19" s="1"/>
      <c r="C19" s="2" t="s">
        <v>2</v>
      </c>
      <c r="D19" s="2" t="s">
        <v>3</v>
      </c>
      <c r="E19" s="3" t="s">
        <v>4</v>
      </c>
      <c r="F19" s="3" t="s">
        <v>5</v>
      </c>
      <c r="G19" s="3" t="s">
        <v>528</v>
      </c>
      <c r="H19" s="3" t="s">
        <v>6</v>
      </c>
      <c r="I19" s="3" t="s">
        <v>381</v>
      </c>
      <c r="J19" s="3" t="s">
        <v>89</v>
      </c>
      <c r="K19" s="20" t="s">
        <v>200</v>
      </c>
    </row>
    <row r="20" spans="2:11" ht="25.8" x14ac:dyDescent="0.5">
      <c r="B20" s="13">
        <v>42825</v>
      </c>
      <c r="C20" s="8" t="s">
        <v>20</v>
      </c>
      <c r="D20" s="8" t="s">
        <v>535</v>
      </c>
      <c r="E20" s="8">
        <v>9</v>
      </c>
      <c r="F20" s="8">
        <v>5</v>
      </c>
      <c r="G20" s="7">
        <v>42831</v>
      </c>
      <c r="H20" s="8">
        <v>3084</v>
      </c>
      <c r="I20" s="8">
        <v>-4</v>
      </c>
      <c r="J20" s="8">
        <f>H20*I20</f>
        <v>-12336</v>
      </c>
      <c r="K20" s="8" t="s">
        <v>197</v>
      </c>
    </row>
    <row r="21" spans="2:11" ht="25.8" x14ac:dyDescent="0.5">
      <c r="B21" s="13">
        <v>42832</v>
      </c>
      <c r="C21" s="8" t="s">
        <v>8</v>
      </c>
      <c r="D21" s="8" t="s">
        <v>536</v>
      </c>
      <c r="E21" s="8">
        <v>32</v>
      </c>
      <c r="F21" s="8">
        <v>18</v>
      </c>
      <c r="G21" s="7">
        <v>42835</v>
      </c>
      <c r="H21" s="8">
        <v>700</v>
      </c>
      <c r="I21" s="8">
        <f>F21-E21</f>
        <v>-14</v>
      </c>
      <c r="J21" s="8">
        <f t="shared" ref="J21:J24" si="1">H21*I21</f>
        <v>-9800</v>
      </c>
      <c r="K21" s="8" t="s">
        <v>197</v>
      </c>
    </row>
    <row r="22" spans="2:11" ht="25.8" x14ac:dyDescent="0.5">
      <c r="B22" s="13">
        <v>42843</v>
      </c>
      <c r="C22" s="8" t="s">
        <v>8</v>
      </c>
      <c r="D22" s="8" t="s">
        <v>537</v>
      </c>
      <c r="E22" s="8">
        <v>5</v>
      </c>
      <c r="F22" s="8">
        <v>7.5</v>
      </c>
      <c r="G22" s="7">
        <v>42844</v>
      </c>
      <c r="H22" s="8">
        <v>7000</v>
      </c>
      <c r="I22" s="8">
        <v>2.5</v>
      </c>
      <c r="J22" s="8">
        <f t="shared" si="1"/>
        <v>17500</v>
      </c>
      <c r="K22" s="8" t="s">
        <v>514</v>
      </c>
    </row>
    <row r="23" spans="2:11" ht="25.8" x14ac:dyDescent="0.5">
      <c r="B23" s="13">
        <v>42852</v>
      </c>
      <c r="C23" s="8" t="s">
        <v>8</v>
      </c>
      <c r="D23" s="8" t="s">
        <v>538</v>
      </c>
      <c r="E23" s="8">
        <v>8</v>
      </c>
      <c r="F23" s="8">
        <v>20</v>
      </c>
      <c r="G23" s="7">
        <v>42852</v>
      </c>
      <c r="H23" s="8">
        <v>2800</v>
      </c>
      <c r="I23" s="8">
        <v>12</v>
      </c>
      <c r="J23" s="8">
        <f t="shared" si="1"/>
        <v>33600</v>
      </c>
      <c r="K23" s="8" t="s">
        <v>195</v>
      </c>
    </row>
    <row r="24" spans="2:11" ht="25.8" x14ac:dyDescent="0.5">
      <c r="B24" s="13">
        <v>42852</v>
      </c>
      <c r="C24" s="8" t="s">
        <v>8</v>
      </c>
      <c r="D24" s="8" t="s">
        <v>538</v>
      </c>
      <c r="E24" s="8">
        <v>20</v>
      </c>
      <c r="F24" s="8">
        <v>40</v>
      </c>
      <c r="G24" s="7">
        <v>42852</v>
      </c>
      <c r="H24" s="8">
        <v>1400</v>
      </c>
      <c r="I24" s="8">
        <v>20</v>
      </c>
      <c r="J24" s="8">
        <f t="shared" si="1"/>
        <v>28000</v>
      </c>
      <c r="K24" s="8" t="s">
        <v>195</v>
      </c>
    </row>
    <row r="25" spans="2:11" ht="25.8" x14ac:dyDescent="0.5">
      <c r="B25" s="13"/>
      <c r="C25" s="8"/>
      <c r="D25" s="8"/>
      <c r="E25" s="8"/>
      <c r="F25" s="8"/>
      <c r="G25" s="8"/>
      <c r="H25" s="8"/>
      <c r="I25" s="8"/>
      <c r="J25" s="9">
        <f>SUM(J20:J24)</f>
        <v>56964</v>
      </c>
      <c r="K25" s="8"/>
    </row>
    <row r="26" spans="2:11" ht="25.8" x14ac:dyDescent="0.5">
      <c r="B26" s="13"/>
      <c r="C26" s="8"/>
      <c r="D26" s="8"/>
      <c r="E26" s="8"/>
      <c r="F26" s="8"/>
      <c r="G26" s="8"/>
      <c r="H26" s="8"/>
      <c r="I26" s="8"/>
      <c r="J26" s="9"/>
      <c r="K26" s="8"/>
    </row>
    <row r="27" spans="2:11" ht="25.8" x14ac:dyDescent="0.5">
      <c r="B27" s="13"/>
      <c r="C27" s="8"/>
      <c r="D27" s="8"/>
      <c r="E27" s="8"/>
      <c r="F27" s="8"/>
      <c r="G27" s="8"/>
      <c r="H27" s="8"/>
      <c r="I27" s="8"/>
      <c r="J27" s="9"/>
      <c r="K27" s="8"/>
    </row>
    <row r="28" spans="2:11" ht="25.8" x14ac:dyDescent="0.5">
      <c r="J28" s="9"/>
      <c r="K28" s="9"/>
    </row>
  </sheetData>
  <mergeCells count="5">
    <mergeCell ref="B1:J1"/>
    <mergeCell ref="B2:J2"/>
    <mergeCell ref="B3:J3"/>
    <mergeCell ref="B11:J11"/>
    <mergeCell ref="B18:J18"/>
  </mergeCells>
  <hyperlinks>
    <hyperlink ref="M2" location="'Home Page'!A1" display="Back" xr:uid="{00000000-0004-0000-31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M26"/>
  <sheetViews>
    <sheetView topLeftCell="A16" workbookViewId="0">
      <selection activeCell="M2" sqref="M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40" bestFit="1" customWidth="1"/>
    <col min="5" max="6" width="9.5546875" bestFit="1" customWidth="1"/>
    <col min="7" max="7" width="20.109375" bestFit="1" customWidth="1"/>
    <col min="8" max="8" width="9.5546875" bestFit="1" customWidth="1"/>
    <col min="9" max="9" width="14.88671875" style="12" bestFit="1" customWidth="1"/>
    <col min="10" max="10" width="13.88671875" bestFit="1" customWidth="1"/>
    <col min="11" max="11" width="15.5546875" bestFit="1" customWidth="1"/>
    <col min="12" max="12" width="9.109375" style="5"/>
  </cols>
  <sheetData>
    <row r="1" spans="1:13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156"/>
      <c r="K1" s="4"/>
      <c r="L1" s="4"/>
    </row>
    <row r="2" spans="1:13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57"/>
      <c r="K2" s="18"/>
      <c r="L2" s="4"/>
      <c r="M2" s="30" t="s">
        <v>566</v>
      </c>
    </row>
    <row r="3" spans="1:13" ht="16.2" thickBot="1" x14ac:dyDescent="0.35">
      <c r="A3" s="6"/>
      <c r="B3" s="158" t="s">
        <v>540</v>
      </c>
      <c r="C3" s="158"/>
      <c r="D3" s="158"/>
      <c r="E3" s="158"/>
      <c r="F3" s="158"/>
      <c r="G3" s="158"/>
      <c r="H3" s="158"/>
      <c r="I3" s="158"/>
      <c r="J3" s="158"/>
      <c r="K3" s="19"/>
      <c r="L3" s="6"/>
    </row>
    <row r="4" spans="1:13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528</v>
      </c>
      <c r="H4" s="3" t="s">
        <v>6</v>
      </c>
      <c r="I4" s="3" t="s">
        <v>381</v>
      </c>
      <c r="J4" s="3" t="s">
        <v>10</v>
      </c>
      <c r="K4" s="20" t="s">
        <v>200</v>
      </c>
    </row>
    <row r="5" spans="1:13" ht="25.8" x14ac:dyDescent="0.5">
      <c r="B5" s="13">
        <v>42859</v>
      </c>
      <c r="C5" s="8" t="s">
        <v>20</v>
      </c>
      <c r="D5" s="8" t="s">
        <v>11</v>
      </c>
      <c r="E5" s="8">
        <v>298</v>
      </c>
      <c r="F5" s="8">
        <v>306</v>
      </c>
      <c r="G5" s="7">
        <v>42860</v>
      </c>
      <c r="H5" s="8">
        <v>6000</v>
      </c>
      <c r="I5" s="8">
        <v>6</v>
      </c>
      <c r="J5" s="8">
        <f>H5*I5</f>
        <v>36000</v>
      </c>
      <c r="K5" s="17" t="s">
        <v>198</v>
      </c>
    </row>
    <row r="6" spans="1:13" ht="25.8" x14ac:dyDescent="0.5">
      <c r="B6" s="7">
        <v>42877</v>
      </c>
      <c r="C6" s="8" t="s">
        <v>8</v>
      </c>
      <c r="D6" s="8" t="s">
        <v>418</v>
      </c>
      <c r="E6" s="8">
        <v>360</v>
      </c>
      <c r="F6" s="8">
        <v>350</v>
      </c>
      <c r="G6" s="7">
        <v>42878</v>
      </c>
      <c r="H6" s="8">
        <v>6168</v>
      </c>
      <c r="I6" s="8">
        <v>-10</v>
      </c>
      <c r="J6" s="8">
        <f>I6*H6</f>
        <v>-61680</v>
      </c>
      <c r="K6" s="17" t="s">
        <v>197</v>
      </c>
    </row>
    <row r="7" spans="1:13" ht="25.8" x14ac:dyDescent="0.5">
      <c r="B7" s="7">
        <v>42879</v>
      </c>
      <c r="C7" s="8" t="s">
        <v>13</v>
      </c>
      <c r="D7" s="8" t="s">
        <v>418</v>
      </c>
      <c r="E7" s="8">
        <v>360</v>
      </c>
      <c r="F7" s="8">
        <v>350</v>
      </c>
      <c r="G7" s="7">
        <v>42879</v>
      </c>
      <c r="H7" s="8">
        <v>6168</v>
      </c>
      <c r="I7" s="8">
        <v>10</v>
      </c>
      <c r="J7" s="8">
        <f>I7*H7</f>
        <v>61680</v>
      </c>
      <c r="K7" s="17" t="s">
        <v>198</v>
      </c>
    </row>
    <row r="8" spans="1:13" ht="25.8" x14ac:dyDescent="0.5">
      <c r="B8" s="7">
        <v>42881</v>
      </c>
      <c r="C8" s="8" t="s">
        <v>13</v>
      </c>
      <c r="D8" s="8" t="s">
        <v>547</v>
      </c>
      <c r="E8" s="8">
        <v>586</v>
      </c>
      <c r="F8" s="8">
        <v>520</v>
      </c>
      <c r="G8" s="7">
        <v>42881</v>
      </c>
      <c r="H8" s="8">
        <v>1400</v>
      </c>
      <c r="I8" s="8">
        <f>E8-F8</f>
        <v>66</v>
      </c>
      <c r="J8" s="8">
        <f>I8*H8</f>
        <v>92400</v>
      </c>
      <c r="K8" s="17" t="s">
        <v>195</v>
      </c>
    </row>
    <row r="9" spans="1:13" ht="25.8" x14ac:dyDescent="0.5">
      <c r="B9" s="7"/>
      <c r="C9" s="8"/>
      <c r="D9" s="8"/>
      <c r="E9" s="8"/>
      <c r="F9" s="8"/>
      <c r="G9" s="8"/>
      <c r="H9" s="8"/>
      <c r="I9" s="8"/>
      <c r="J9" s="9">
        <f>SUM(J5:J8)</f>
        <v>128400</v>
      </c>
      <c r="K9" s="17"/>
    </row>
    <row r="10" spans="1:13" ht="15" thickBot="1" x14ac:dyDescent="0.35"/>
    <row r="11" spans="1:13" ht="16.2" thickBot="1" x14ac:dyDescent="0.35">
      <c r="B11" s="158" t="s">
        <v>541</v>
      </c>
      <c r="C11" s="158"/>
      <c r="D11" s="158"/>
      <c r="E11" s="158"/>
      <c r="F11" s="158"/>
      <c r="G11" s="158"/>
      <c r="H11" s="158"/>
      <c r="I11" s="158"/>
      <c r="J11" s="158"/>
      <c r="K11" s="19"/>
    </row>
    <row r="12" spans="1:13" x14ac:dyDescent="0.3">
      <c r="B12" s="1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3" t="s">
        <v>528</v>
      </c>
      <c r="H12" s="3" t="s">
        <v>382</v>
      </c>
      <c r="I12" s="3" t="s">
        <v>381</v>
      </c>
      <c r="J12" s="3" t="s">
        <v>375</v>
      </c>
      <c r="K12" s="20" t="s">
        <v>200</v>
      </c>
    </row>
    <row r="13" spans="1:13" ht="25.8" x14ac:dyDescent="0.5">
      <c r="B13" s="13">
        <v>42865</v>
      </c>
      <c r="C13" s="8" t="s">
        <v>20</v>
      </c>
      <c r="D13" s="8" t="s">
        <v>30</v>
      </c>
      <c r="E13" s="8">
        <v>9400</v>
      </c>
      <c r="F13" s="8">
        <v>9500</v>
      </c>
      <c r="G13" s="7">
        <v>42871</v>
      </c>
      <c r="H13" s="8">
        <v>375</v>
      </c>
      <c r="I13" s="8">
        <v>100</v>
      </c>
      <c r="J13" s="8">
        <f>H13*I13</f>
        <v>37500</v>
      </c>
      <c r="K13" s="8" t="s">
        <v>198</v>
      </c>
    </row>
    <row r="14" spans="1:13" ht="25.8" x14ac:dyDescent="0.5">
      <c r="B14" s="13">
        <v>42877</v>
      </c>
      <c r="C14" s="8" t="s">
        <v>8</v>
      </c>
      <c r="D14" s="8" t="s">
        <v>30</v>
      </c>
      <c r="E14" s="8">
        <v>9430</v>
      </c>
      <c r="F14" s="8">
        <v>9350</v>
      </c>
      <c r="G14" s="7">
        <v>42879</v>
      </c>
      <c r="H14" s="8">
        <v>375</v>
      </c>
      <c r="I14" s="8">
        <v>-80</v>
      </c>
      <c r="J14" s="8">
        <f t="shared" ref="J14" si="0">H14*I14</f>
        <v>-30000</v>
      </c>
      <c r="K14" s="8" t="s">
        <v>197</v>
      </c>
    </row>
    <row r="15" spans="1:13" ht="25.8" x14ac:dyDescent="0.5">
      <c r="B15" s="7"/>
      <c r="C15" s="8"/>
      <c r="D15" s="8"/>
      <c r="E15" s="8"/>
      <c r="F15" s="8"/>
      <c r="G15" s="8"/>
      <c r="H15" s="8"/>
      <c r="I15" s="8"/>
      <c r="J15" s="9">
        <f>SUM(J13:J14)</f>
        <v>7500</v>
      </c>
      <c r="K15" s="8"/>
    </row>
    <row r="16" spans="1:13" ht="26.4" thickBot="1" x14ac:dyDescent="0.55000000000000004">
      <c r="B16" s="7"/>
      <c r="C16" s="8"/>
      <c r="D16" s="8"/>
      <c r="E16" s="8"/>
      <c r="F16" s="8"/>
      <c r="G16" s="8"/>
      <c r="H16" s="8"/>
      <c r="I16" s="8"/>
      <c r="J16" s="9"/>
      <c r="K16" s="8"/>
    </row>
    <row r="17" spans="2:11" ht="16.2" thickBot="1" x14ac:dyDescent="0.35">
      <c r="B17" s="158" t="s">
        <v>542</v>
      </c>
      <c r="C17" s="158"/>
      <c r="D17" s="158"/>
      <c r="E17" s="158"/>
      <c r="F17" s="158"/>
      <c r="G17" s="158"/>
      <c r="H17" s="158"/>
      <c r="I17" s="158"/>
      <c r="J17" s="158"/>
      <c r="K17" s="19"/>
    </row>
    <row r="18" spans="2:11" x14ac:dyDescent="0.3">
      <c r="B18" s="1"/>
      <c r="C18" s="2" t="s">
        <v>2</v>
      </c>
      <c r="D18" s="2" t="s">
        <v>3</v>
      </c>
      <c r="E18" s="3" t="s">
        <v>4</v>
      </c>
      <c r="F18" s="3" t="s">
        <v>5</v>
      </c>
      <c r="G18" s="3" t="s">
        <v>528</v>
      </c>
      <c r="H18" s="3" t="s">
        <v>6</v>
      </c>
      <c r="I18" s="3" t="s">
        <v>381</v>
      </c>
      <c r="J18" s="3" t="s">
        <v>89</v>
      </c>
      <c r="K18" s="20" t="s">
        <v>200</v>
      </c>
    </row>
    <row r="19" spans="2:11" ht="25.8" x14ac:dyDescent="0.5">
      <c r="B19" s="13">
        <v>42859</v>
      </c>
      <c r="C19" s="8" t="s">
        <v>20</v>
      </c>
      <c r="D19" s="8" t="s">
        <v>543</v>
      </c>
      <c r="E19" s="8">
        <v>8</v>
      </c>
      <c r="F19" s="8">
        <v>12</v>
      </c>
      <c r="G19" s="7">
        <v>42860</v>
      </c>
      <c r="H19" s="8">
        <v>3000</v>
      </c>
      <c r="I19" s="8">
        <v>4</v>
      </c>
      <c r="J19" s="8">
        <f>H19*I19</f>
        <v>12000</v>
      </c>
      <c r="K19" s="8" t="s">
        <v>198</v>
      </c>
    </row>
    <row r="20" spans="2:11" ht="25.8" x14ac:dyDescent="0.5">
      <c r="B20" s="13">
        <v>42864</v>
      </c>
      <c r="C20" s="8" t="s">
        <v>8</v>
      </c>
      <c r="D20" s="8" t="s">
        <v>544</v>
      </c>
      <c r="E20" s="8">
        <v>24</v>
      </c>
      <c r="F20" s="8">
        <v>40</v>
      </c>
      <c r="G20" s="7">
        <v>42865</v>
      </c>
      <c r="H20" s="8">
        <v>1000</v>
      </c>
      <c r="I20" s="8">
        <v>16</v>
      </c>
      <c r="J20" s="8">
        <f t="shared" ref="J20:J22" si="1">H20*I20</f>
        <v>16000</v>
      </c>
      <c r="K20" s="8" t="s">
        <v>198</v>
      </c>
    </row>
    <row r="21" spans="2:11" ht="25.8" x14ac:dyDescent="0.5">
      <c r="B21" s="13">
        <v>42870</v>
      </c>
      <c r="C21" s="8" t="s">
        <v>8</v>
      </c>
      <c r="D21" s="8" t="s">
        <v>545</v>
      </c>
      <c r="E21" s="8">
        <v>43</v>
      </c>
      <c r="F21" s="8">
        <v>100</v>
      </c>
      <c r="G21" s="7">
        <v>42871</v>
      </c>
      <c r="H21" s="8">
        <v>450</v>
      </c>
      <c r="I21" s="8">
        <f>F21-E21</f>
        <v>57</v>
      </c>
      <c r="J21" s="8">
        <f t="shared" si="1"/>
        <v>25650</v>
      </c>
      <c r="K21" s="8" t="s">
        <v>195</v>
      </c>
    </row>
    <row r="22" spans="2:11" ht="25.8" x14ac:dyDescent="0.5">
      <c r="B22" s="13">
        <v>42871</v>
      </c>
      <c r="C22" s="8" t="s">
        <v>8</v>
      </c>
      <c r="D22" s="8" t="s">
        <v>546</v>
      </c>
      <c r="E22" s="8">
        <v>18</v>
      </c>
      <c r="F22" s="8">
        <v>40</v>
      </c>
      <c r="G22" s="7">
        <v>42872</v>
      </c>
      <c r="H22" s="8">
        <v>1200</v>
      </c>
      <c r="I22" s="8">
        <v>22</v>
      </c>
      <c r="J22" s="8">
        <f t="shared" si="1"/>
        <v>26400</v>
      </c>
      <c r="K22" s="8" t="s">
        <v>198</v>
      </c>
    </row>
    <row r="23" spans="2:11" ht="25.8" x14ac:dyDescent="0.5">
      <c r="B23" s="13"/>
      <c r="C23" s="8"/>
      <c r="D23" s="8"/>
      <c r="E23" s="8"/>
      <c r="F23" s="8"/>
      <c r="G23" s="8"/>
      <c r="H23" s="8"/>
      <c r="I23" s="8"/>
      <c r="J23" s="9">
        <f>SUM(J19:J22)</f>
        <v>80050</v>
      </c>
      <c r="K23" s="8"/>
    </row>
    <row r="24" spans="2:11" ht="25.8" x14ac:dyDescent="0.5">
      <c r="B24" s="13"/>
      <c r="C24" s="8"/>
      <c r="D24" s="8"/>
      <c r="E24" s="8"/>
      <c r="F24" s="8"/>
      <c r="G24" s="8"/>
      <c r="H24" s="8"/>
      <c r="I24" s="8"/>
      <c r="J24" s="9"/>
      <c r="K24" s="8"/>
    </row>
    <row r="25" spans="2:11" ht="25.8" x14ac:dyDescent="0.5">
      <c r="B25" s="13"/>
      <c r="C25" s="8"/>
      <c r="D25" s="8"/>
      <c r="E25" s="8"/>
      <c r="F25" s="8"/>
      <c r="G25" s="8"/>
      <c r="H25" s="8"/>
      <c r="I25" s="8"/>
      <c r="J25" s="9"/>
      <c r="K25" s="8"/>
    </row>
    <row r="26" spans="2:11" ht="25.8" x14ac:dyDescent="0.5">
      <c r="J26" s="9"/>
      <c r="K26" s="9"/>
    </row>
  </sheetData>
  <mergeCells count="5">
    <mergeCell ref="B1:J1"/>
    <mergeCell ref="B2:J2"/>
    <mergeCell ref="B3:J3"/>
    <mergeCell ref="B11:J11"/>
    <mergeCell ref="B17:J17"/>
  </mergeCells>
  <hyperlinks>
    <hyperlink ref="M2" location="'Home Page'!A1" display="Back" xr:uid="{00000000-0004-0000-3200-000000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M25"/>
  <sheetViews>
    <sheetView topLeftCell="A10" workbookViewId="0">
      <selection activeCell="M2" sqref="M2"/>
    </sheetView>
  </sheetViews>
  <sheetFormatPr defaultRowHeight="14.4" x14ac:dyDescent="0.3"/>
  <cols>
    <col min="1" max="1" width="5.44140625" style="5" bestFit="1" customWidth="1"/>
    <col min="2" max="2" width="20.109375" bestFit="1" customWidth="1"/>
    <col min="3" max="3" width="10" bestFit="1" customWidth="1"/>
    <col min="4" max="4" width="28.6640625" bestFit="1" customWidth="1"/>
    <col min="5" max="6" width="9.5546875" bestFit="1" customWidth="1"/>
    <col min="7" max="7" width="20.109375" bestFit="1" customWidth="1"/>
    <col min="8" max="8" width="9.5546875" bestFit="1" customWidth="1"/>
    <col min="9" max="9" width="14.88671875" style="12" bestFit="1" customWidth="1"/>
    <col min="10" max="10" width="13.88671875" bestFit="1" customWidth="1"/>
    <col min="11" max="11" width="15.5546875" bestFit="1" customWidth="1"/>
    <col min="12" max="12" width="9.109375" style="5"/>
  </cols>
  <sheetData>
    <row r="1" spans="1:13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156"/>
      <c r="K1" s="4"/>
      <c r="L1" s="4"/>
    </row>
    <row r="2" spans="1:13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57"/>
      <c r="K2" s="18"/>
      <c r="L2" s="4"/>
      <c r="M2" s="30" t="s">
        <v>566</v>
      </c>
    </row>
    <row r="3" spans="1:13" ht="16.2" thickBot="1" x14ac:dyDescent="0.35">
      <c r="A3" s="6"/>
      <c r="B3" s="158" t="s">
        <v>548</v>
      </c>
      <c r="C3" s="158"/>
      <c r="D3" s="158"/>
      <c r="E3" s="158"/>
      <c r="F3" s="158"/>
      <c r="G3" s="158"/>
      <c r="H3" s="158"/>
      <c r="I3" s="158"/>
      <c r="J3" s="158"/>
      <c r="K3" s="19"/>
      <c r="L3" s="6"/>
    </row>
    <row r="4" spans="1:13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528</v>
      </c>
      <c r="H4" s="3" t="s">
        <v>6</v>
      </c>
      <c r="I4" s="25" t="s">
        <v>381</v>
      </c>
      <c r="J4" s="3" t="s">
        <v>10</v>
      </c>
      <c r="K4" s="20" t="s">
        <v>200</v>
      </c>
    </row>
    <row r="5" spans="1:13" ht="25.8" x14ac:dyDescent="0.5">
      <c r="B5" s="13">
        <v>42891</v>
      </c>
      <c r="C5" s="8" t="s">
        <v>20</v>
      </c>
      <c r="D5" s="8" t="s">
        <v>78</v>
      </c>
      <c r="E5" s="8">
        <v>740</v>
      </c>
      <c r="F5" s="8">
        <v>770</v>
      </c>
      <c r="G5" s="7">
        <v>42895</v>
      </c>
      <c r="H5" s="8">
        <v>2200</v>
      </c>
      <c r="I5" s="8">
        <v>30</v>
      </c>
      <c r="J5" s="8">
        <f>H5*I5</f>
        <v>66000</v>
      </c>
      <c r="K5" s="17" t="s">
        <v>195</v>
      </c>
    </row>
    <row r="6" spans="1:13" ht="25.8" x14ac:dyDescent="0.5">
      <c r="B6" s="7">
        <v>42893</v>
      </c>
      <c r="C6" s="8" t="s">
        <v>8</v>
      </c>
      <c r="D6" s="8" t="s">
        <v>61</v>
      </c>
      <c r="E6" s="8">
        <v>7240</v>
      </c>
      <c r="F6" s="8">
        <v>7450</v>
      </c>
      <c r="G6" s="7">
        <v>42895</v>
      </c>
      <c r="H6" s="8">
        <v>300</v>
      </c>
      <c r="I6" s="8">
        <v>210</v>
      </c>
      <c r="J6" s="8">
        <f>I6*H6</f>
        <v>63000</v>
      </c>
      <c r="K6" s="17" t="s">
        <v>195</v>
      </c>
    </row>
    <row r="7" spans="1:13" ht="25.8" x14ac:dyDescent="0.5">
      <c r="B7" s="7">
        <v>42909</v>
      </c>
      <c r="C7" s="8" t="s">
        <v>8</v>
      </c>
      <c r="D7" s="8" t="s">
        <v>418</v>
      </c>
      <c r="E7" s="8">
        <v>339</v>
      </c>
      <c r="F7" s="8">
        <v>333</v>
      </c>
      <c r="G7" s="7">
        <v>42913</v>
      </c>
      <c r="H7" s="8">
        <v>6168</v>
      </c>
      <c r="I7" s="8">
        <v>-6</v>
      </c>
      <c r="J7" s="8">
        <f>I7*H7</f>
        <v>-37008</v>
      </c>
      <c r="K7" s="17" t="s">
        <v>197</v>
      </c>
    </row>
    <row r="8" spans="1:13" ht="25.8" x14ac:dyDescent="0.5">
      <c r="B8" s="7">
        <v>42913</v>
      </c>
      <c r="C8" s="8" t="s">
        <v>8</v>
      </c>
      <c r="D8" s="8" t="s">
        <v>554</v>
      </c>
      <c r="E8" s="8">
        <v>372</v>
      </c>
      <c r="F8" s="8">
        <v>380</v>
      </c>
      <c r="G8" s="7">
        <v>42915</v>
      </c>
      <c r="H8" s="8">
        <v>3200</v>
      </c>
      <c r="I8" s="8">
        <v>8</v>
      </c>
      <c r="J8" s="8">
        <f>I8*H8</f>
        <v>25600</v>
      </c>
      <c r="K8" s="17" t="s">
        <v>198</v>
      </c>
    </row>
    <row r="9" spans="1:13" ht="25.8" x14ac:dyDescent="0.5">
      <c r="B9" s="7"/>
      <c r="C9" s="8"/>
      <c r="D9" s="8"/>
      <c r="E9" s="8"/>
      <c r="F9" s="8"/>
      <c r="G9" s="8"/>
      <c r="H9" s="8"/>
      <c r="I9" s="8"/>
      <c r="J9" s="9">
        <f>SUM(J5:J8)</f>
        <v>117592</v>
      </c>
      <c r="K9" s="17"/>
    </row>
    <row r="10" spans="1:13" ht="15" thickBot="1" x14ac:dyDescent="0.35"/>
    <row r="11" spans="1:13" ht="16.2" thickBot="1" x14ac:dyDescent="0.35">
      <c r="B11" s="158" t="s">
        <v>549</v>
      </c>
      <c r="C11" s="158"/>
      <c r="D11" s="158"/>
      <c r="E11" s="158"/>
      <c r="F11" s="158"/>
      <c r="G11" s="158"/>
      <c r="H11" s="158"/>
      <c r="I11" s="158"/>
      <c r="J11" s="158"/>
      <c r="K11" s="19"/>
    </row>
    <row r="12" spans="1:13" x14ac:dyDescent="0.3">
      <c r="B12" s="1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3" t="s">
        <v>528</v>
      </c>
      <c r="H12" s="3" t="s">
        <v>382</v>
      </c>
      <c r="I12" s="25" t="s">
        <v>381</v>
      </c>
      <c r="J12" s="3" t="s">
        <v>375</v>
      </c>
      <c r="K12" s="20" t="s">
        <v>200</v>
      </c>
    </row>
    <row r="13" spans="1:13" ht="25.8" x14ac:dyDescent="0.5">
      <c r="B13" s="13">
        <v>42898</v>
      </c>
      <c r="C13" s="8" t="s">
        <v>20</v>
      </c>
      <c r="D13" s="8" t="s">
        <v>30</v>
      </c>
      <c r="E13" s="8">
        <v>9610</v>
      </c>
      <c r="F13" s="8">
        <v>9680</v>
      </c>
      <c r="G13" s="7">
        <v>42905</v>
      </c>
      <c r="H13" s="8">
        <v>375</v>
      </c>
      <c r="I13" s="8">
        <v>70</v>
      </c>
      <c r="J13" s="8">
        <f>H13*I13</f>
        <v>26250</v>
      </c>
      <c r="K13" s="8" t="s">
        <v>198</v>
      </c>
    </row>
    <row r="14" spans="1:13" ht="25.8" x14ac:dyDescent="0.5">
      <c r="B14" s="13">
        <v>42909</v>
      </c>
      <c r="C14" s="8" t="s">
        <v>8</v>
      </c>
      <c r="D14" s="8" t="s">
        <v>30</v>
      </c>
      <c r="E14" s="8">
        <v>9590</v>
      </c>
      <c r="F14" s="8">
        <v>9530</v>
      </c>
      <c r="G14" s="7">
        <v>42913</v>
      </c>
      <c r="H14" s="8">
        <v>375</v>
      </c>
      <c r="I14" s="8">
        <v>-60</v>
      </c>
      <c r="J14" s="8">
        <f t="shared" ref="J14" si="0">H14*I14</f>
        <v>-22500</v>
      </c>
      <c r="K14" s="8" t="s">
        <v>197</v>
      </c>
    </row>
    <row r="15" spans="1:13" ht="25.8" x14ac:dyDescent="0.5">
      <c r="B15" s="7"/>
      <c r="C15" s="8"/>
      <c r="D15" s="8"/>
      <c r="E15" s="8"/>
      <c r="F15" s="8"/>
      <c r="G15" s="8"/>
      <c r="H15" s="8"/>
      <c r="I15" s="8"/>
      <c r="J15" s="9">
        <f>SUM(J13:J14)</f>
        <v>3750</v>
      </c>
      <c r="K15" s="8"/>
    </row>
    <row r="16" spans="1:13" ht="26.4" thickBot="1" x14ac:dyDescent="0.55000000000000004">
      <c r="B16" s="7"/>
      <c r="C16" s="8"/>
      <c r="D16" s="8"/>
      <c r="E16" s="8"/>
      <c r="F16" s="8"/>
      <c r="G16" s="8"/>
      <c r="H16" s="8"/>
      <c r="I16" s="8"/>
      <c r="J16" s="9"/>
      <c r="K16" s="8"/>
    </row>
    <row r="17" spans="2:11" ht="16.2" thickBot="1" x14ac:dyDescent="0.35">
      <c r="B17" s="158" t="s">
        <v>550</v>
      </c>
      <c r="C17" s="158"/>
      <c r="D17" s="158"/>
      <c r="E17" s="158"/>
      <c r="F17" s="158"/>
      <c r="G17" s="158"/>
      <c r="H17" s="158"/>
      <c r="I17" s="158"/>
      <c r="J17" s="158"/>
      <c r="K17" s="19"/>
    </row>
    <row r="18" spans="2:11" x14ac:dyDescent="0.3">
      <c r="B18" s="1"/>
      <c r="C18" s="2" t="s">
        <v>2</v>
      </c>
      <c r="D18" s="2" t="s">
        <v>3</v>
      </c>
      <c r="E18" s="3" t="s">
        <v>4</v>
      </c>
      <c r="F18" s="3" t="s">
        <v>5</v>
      </c>
      <c r="G18" s="3" t="s">
        <v>528</v>
      </c>
      <c r="H18" s="3" t="s">
        <v>6</v>
      </c>
      <c r="I18" s="25" t="s">
        <v>381</v>
      </c>
      <c r="J18" s="3" t="s">
        <v>89</v>
      </c>
      <c r="K18" s="20" t="s">
        <v>200</v>
      </c>
    </row>
    <row r="19" spans="2:11" ht="25.8" x14ac:dyDescent="0.5">
      <c r="B19" s="13">
        <v>42887</v>
      </c>
      <c r="C19" s="8" t="s">
        <v>20</v>
      </c>
      <c r="D19" s="8" t="s">
        <v>551</v>
      </c>
      <c r="E19" s="8">
        <v>60</v>
      </c>
      <c r="F19" s="8">
        <v>150</v>
      </c>
      <c r="G19" s="7">
        <v>42895</v>
      </c>
      <c r="H19" s="8">
        <v>450</v>
      </c>
      <c r="I19" s="8">
        <v>90</v>
      </c>
      <c r="J19" s="8">
        <f>H19*I19</f>
        <v>40500</v>
      </c>
      <c r="K19" s="8" t="s">
        <v>195</v>
      </c>
    </row>
    <row r="20" spans="2:11" ht="25.8" x14ac:dyDescent="0.5">
      <c r="B20" s="13">
        <v>42893</v>
      </c>
      <c r="C20" s="8" t="s">
        <v>20</v>
      </c>
      <c r="D20" s="8" t="s">
        <v>552</v>
      </c>
      <c r="E20" s="8">
        <v>40</v>
      </c>
      <c r="F20" s="8">
        <v>80</v>
      </c>
      <c r="G20" s="7">
        <v>42895</v>
      </c>
      <c r="H20" s="8">
        <v>600</v>
      </c>
      <c r="I20" s="8">
        <v>40</v>
      </c>
      <c r="J20" s="8">
        <f t="shared" ref="J20:J21" si="1">H20*I20</f>
        <v>24000</v>
      </c>
      <c r="K20" s="8" t="s">
        <v>195</v>
      </c>
    </row>
    <row r="21" spans="2:11" ht="25.8" x14ac:dyDescent="0.5">
      <c r="B21" s="13">
        <v>42905</v>
      </c>
      <c r="C21" s="8" t="s">
        <v>8</v>
      </c>
      <c r="D21" s="8" t="s">
        <v>553</v>
      </c>
      <c r="E21" s="8">
        <v>4.5</v>
      </c>
      <c r="F21" s="8">
        <v>10.5</v>
      </c>
      <c r="G21" s="7">
        <v>42909</v>
      </c>
      <c r="H21" s="8">
        <v>6168</v>
      </c>
      <c r="I21" s="8">
        <f>F21-E21</f>
        <v>6</v>
      </c>
      <c r="J21" s="8">
        <f t="shared" si="1"/>
        <v>37008</v>
      </c>
      <c r="K21" s="8" t="s">
        <v>195</v>
      </c>
    </row>
    <row r="22" spans="2:11" ht="25.8" x14ac:dyDescent="0.5">
      <c r="B22" s="13"/>
      <c r="C22" s="8"/>
      <c r="D22" s="8"/>
      <c r="E22" s="8"/>
      <c r="F22" s="8"/>
      <c r="G22" s="8"/>
      <c r="H22" s="8"/>
      <c r="I22" s="8"/>
      <c r="J22" s="9">
        <f>SUM(J19:J21)</f>
        <v>101508</v>
      </c>
      <c r="K22" s="8"/>
    </row>
    <row r="23" spans="2:11" ht="25.8" x14ac:dyDescent="0.5">
      <c r="B23" s="13"/>
      <c r="C23" s="8"/>
      <c r="D23" s="8"/>
      <c r="E23" s="8"/>
      <c r="F23" s="8"/>
      <c r="G23" s="8"/>
      <c r="H23" s="8"/>
      <c r="I23" s="8"/>
      <c r="J23" s="9"/>
      <c r="K23" s="8"/>
    </row>
    <row r="24" spans="2:11" ht="25.8" x14ac:dyDescent="0.5">
      <c r="B24" s="13"/>
      <c r="C24" s="8"/>
      <c r="D24" s="8"/>
      <c r="E24" s="8"/>
      <c r="F24" s="8"/>
      <c r="G24" s="8"/>
      <c r="H24" s="8"/>
      <c r="I24" s="8"/>
      <c r="J24" s="9"/>
      <c r="K24" s="8"/>
    </row>
    <row r="25" spans="2:11" ht="25.8" x14ac:dyDescent="0.5">
      <c r="J25" s="9"/>
      <c r="K25" s="9"/>
    </row>
  </sheetData>
  <mergeCells count="5">
    <mergeCell ref="B1:J1"/>
    <mergeCell ref="B2:J2"/>
    <mergeCell ref="B3:J3"/>
    <mergeCell ref="B11:J11"/>
    <mergeCell ref="B17:J17"/>
  </mergeCells>
  <hyperlinks>
    <hyperlink ref="M2" location="'Home Page'!A1" display="Back" xr:uid="{00000000-0004-0000-33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M24"/>
  <sheetViews>
    <sheetView topLeftCell="A19" workbookViewId="0">
      <selection activeCell="M2" sqref="M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27" bestFit="1" customWidth="1"/>
    <col min="5" max="6" width="9.5546875" bestFit="1" customWidth="1"/>
    <col min="7" max="7" width="20.109375" bestFit="1" customWidth="1"/>
    <col min="8" max="8" width="9.5546875" bestFit="1" customWidth="1"/>
    <col min="9" max="9" width="14.88671875" style="12" bestFit="1" customWidth="1"/>
    <col min="10" max="10" width="15.6640625" bestFit="1" customWidth="1"/>
    <col min="11" max="11" width="25.44140625" bestFit="1" customWidth="1"/>
    <col min="12" max="12" width="9.109375" style="5"/>
  </cols>
  <sheetData>
    <row r="1" spans="1:13" ht="15" thickBot="1" x14ac:dyDescent="0.35">
      <c r="A1" s="4"/>
      <c r="B1" s="156"/>
      <c r="C1" s="156"/>
      <c r="D1" s="156"/>
      <c r="E1" s="156"/>
      <c r="F1" s="156"/>
      <c r="G1" s="156"/>
      <c r="H1" s="156"/>
      <c r="I1" s="156"/>
      <c r="J1" s="156"/>
      <c r="K1" s="4"/>
      <c r="L1" s="4"/>
    </row>
    <row r="2" spans="1:13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157"/>
      <c r="J2" s="157"/>
      <c r="K2" s="18"/>
      <c r="L2" s="4"/>
      <c r="M2" s="30" t="s">
        <v>566</v>
      </c>
    </row>
    <row r="3" spans="1:13" ht="16.2" thickBot="1" x14ac:dyDescent="0.35">
      <c r="A3" s="6"/>
      <c r="B3" s="158" t="s">
        <v>555</v>
      </c>
      <c r="C3" s="158"/>
      <c r="D3" s="158"/>
      <c r="E3" s="158"/>
      <c r="F3" s="158"/>
      <c r="G3" s="158"/>
      <c r="H3" s="158"/>
      <c r="I3" s="158"/>
      <c r="J3" s="158"/>
      <c r="K3" s="19"/>
      <c r="L3" s="6"/>
    </row>
    <row r="4" spans="1:13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528</v>
      </c>
      <c r="H4" s="3" t="s">
        <v>6</v>
      </c>
      <c r="I4" s="25" t="s">
        <v>381</v>
      </c>
      <c r="J4" s="3" t="s">
        <v>10</v>
      </c>
      <c r="K4" s="20" t="s">
        <v>200</v>
      </c>
    </row>
    <row r="5" spans="1:13" ht="25.8" x14ac:dyDescent="0.5">
      <c r="B5" s="13">
        <v>42922</v>
      </c>
      <c r="C5" s="8" t="s">
        <v>13</v>
      </c>
      <c r="D5" s="8" t="s">
        <v>418</v>
      </c>
      <c r="E5" s="8">
        <v>340</v>
      </c>
      <c r="F5" s="8">
        <v>346</v>
      </c>
      <c r="G5" s="7">
        <v>42926</v>
      </c>
      <c r="H5" s="8">
        <v>6168</v>
      </c>
      <c r="I5" s="8">
        <v>-6</v>
      </c>
      <c r="J5" s="8">
        <f>H5*I5</f>
        <v>-37008</v>
      </c>
      <c r="K5" s="17" t="s">
        <v>197</v>
      </c>
    </row>
    <row r="6" spans="1:13" ht="25.8" x14ac:dyDescent="0.5">
      <c r="B6" s="7">
        <v>42927</v>
      </c>
      <c r="C6" s="8" t="s">
        <v>13</v>
      </c>
      <c r="D6" s="8" t="s">
        <v>418</v>
      </c>
      <c r="E6" s="8">
        <v>362</v>
      </c>
      <c r="F6" s="8">
        <v>353</v>
      </c>
      <c r="G6" s="7">
        <v>42927</v>
      </c>
      <c r="H6" s="8">
        <v>6168</v>
      </c>
      <c r="I6" s="8">
        <v>9</v>
      </c>
      <c r="J6" s="8">
        <f t="shared" ref="J6:J7" si="0">H6*I6</f>
        <v>55512</v>
      </c>
      <c r="K6" s="17" t="s">
        <v>199</v>
      </c>
    </row>
    <row r="7" spans="1:13" ht="25.8" x14ac:dyDescent="0.5">
      <c r="B7" s="7">
        <v>42930</v>
      </c>
      <c r="C7" s="8" t="s">
        <v>13</v>
      </c>
      <c r="D7" s="8" t="s">
        <v>418</v>
      </c>
      <c r="E7" s="8">
        <v>367</v>
      </c>
      <c r="F7" s="8">
        <v>354</v>
      </c>
      <c r="G7" s="7">
        <v>42934</v>
      </c>
      <c r="H7" s="8">
        <v>6168</v>
      </c>
      <c r="I7" s="8">
        <v>13</v>
      </c>
      <c r="J7" s="8">
        <f t="shared" si="0"/>
        <v>80184</v>
      </c>
      <c r="K7" s="17" t="s">
        <v>195</v>
      </c>
    </row>
    <row r="8" spans="1:13" ht="25.8" x14ac:dyDescent="0.5">
      <c r="B8" s="7"/>
      <c r="C8" s="8"/>
      <c r="D8" s="8"/>
      <c r="E8" s="8"/>
      <c r="F8" s="8"/>
      <c r="G8" s="8"/>
      <c r="H8" s="8"/>
      <c r="I8" s="8"/>
      <c r="J8" s="9">
        <f>SUM(J5:J7)</f>
        <v>98688</v>
      </c>
      <c r="K8" s="17"/>
    </row>
    <row r="9" spans="1:13" ht="15" thickBot="1" x14ac:dyDescent="0.35"/>
    <row r="10" spans="1:13" ht="16.2" thickBot="1" x14ac:dyDescent="0.35">
      <c r="B10" s="158" t="s">
        <v>556</v>
      </c>
      <c r="C10" s="158"/>
      <c r="D10" s="158"/>
      <c r="E10" s="158"/>
      <c r="F10" s="158"/>
      <c r="G10" s="158"/>
      <c r="H10" s="158"/>
      <c r="I10" s="158"/>
      <c r="J10" s="158"/>
      <c r="K10" s="19"/>
    </row>
    <row r="11" spans="1:13" x14ac:dyDescent="0.3">
      <c r="B11" s="1" t="s">
        <v>1</v>
      </c>
      <c r="C11" s="2" t="s">
        <v>2</v>
      </c>
      <c r="D11" s="2" t="s">
        <v>3</v>
      </c>
      <c r="E11" s="3" t="s">
        <v>4</v>
      </c>
      <c r="F11" s="3" t="s">
        <v>5</v>
      </c>
      <c r="G11" s="3" t="s">
        <v>528</v>
      </c>
      <c r="H11" s="3" t="s">
        <v>382</v>
      </c>
      <c r="I11" s="25" t="s">
        <v>381</v>
      </c>
      <c r="J11" s="3" t="s">
        <v>375</v>
      </c>
      <c r="K11" s="20" t="s">
        <v>200</v>
      </c>
    </row>
    <row r="12" spans="1:13" ht="25.8" x14ac:dyDescent="0.5">
      <c r="B12" s="13">
        <v>42920</v>
      </c>
      <c r="C12" s="8" t="s">
        <v>13</v>
      </c>
      <c r="D12" s="8" t="s">
        <v>30</v>
      </c>
      <c r="E12" s="8">
        <v>9640</v>
      </c>
      <c r="F12" s="8">
        <v>9720</v>
      </c>
      <c r="G12" s="7">
        <v>42926</v>
      </c>
      <c r="H12" s="8">
        <v>375</v>
      </c>
      <c r="I12" s="8">
        <v>-80</v>
      </c>
      <c r="J12" s="8">
        <f>H12*I12</f>
        <v>-30000</v>
      </c>
      <c r="K12" s="8" t="s">
        <v>197</v>
      </c>
    </row>
    <row r="13" spans="1:13" ht="25.8" x14ac:dyDescent="0.5">
      <c r="B13" s="13">
        <v>42927</v>
      </c>
      <c r="C13" s="8" t="s">
        <v>13</v>
      </c>
      <c r="D13" s="8" t="s">
        <v>30</v>
      </c>
      <c r="E13" s="8">
        <v>9820</v>
      </c>
      <c r="F13" s="8">
        <v>9780</v>
      </c>
      <c r="G13" s="7">
        <v>42927</v>
      </c>
      <c r="H13" s="8">
        <v>375</v>
      </c>
      <c r="I13" s="8">
        <v>40</v>
      </c>
      <c r="J13" s="8">
        <f t="shared" ref="J13:J14" si="1">H13*I13</f>
        <v>15000</v>
      </c>
      <c r="K13" s="8"/>
    </row>
    <row r="14" spans="1:13" ht="25.8" x14ac:dyDescent="0.5">
      <c r="B14" s="7">
        <v>42935</v>
      </c>
      <c r="C14" s="8" t="s">
        <v>8</v>
      </c>
      <c r="D14" s="8" t="s">
        <v>30</v>
      </c>
      <c r="E14" s="8">
        <v>9870</v>
      </c>
      <c r="F14" s="8">
        <v>9960</v>
      </c>
      <c r="G14" s="7">
        <v>42940</v>
      </c>
      <c r="H14" s="8">
        <v>375</v>
      </c>
      <c r="I14" s="8">
        <v>90</v>
      </c>
      <c r="J14" s="8">
        <f t="shared" si="1"/>
        <v>33750</v>
      </c>
      <c r="K14" s="8"/>
    </row>
    <row r="15" spans="1:13" ht="25.8" x14ac:dyDescent="0.5">
      <c r="B15" s="7"/>
      <c r="C15" s="8"/>
      <c r="D15" s="8"/>
      <c r="E15" s="8"/>
      <c r="F15" s="8"/>
      <c r="G15" s="8"/>
      <c r="H15" s="8"/>
      <c r="I15" s="8"/>
      <c r="J15" s="9">
        <f>SUM(J12:J14)</f>
        <v>18750</v>
      </c>
      <c r="K15" s="8"/>
    </row>
    <row r="16" spans="1:13" ht="26.4" thickBot="1" x14ac:dyDescent="0.55000000000000004">
      <c r="B16" s="7"/>
      <c r="C16" s="8"/>
      <c r="D16" s="8"/>
      <c r="E16" s="8"/>
      <c r="F16" s="8"/>
      <c r="G16" s="8"/>
      <c r="H16" s="8"/>
      <c r="I16" s="8"/>
      <c r="J16" s="9"/>
      <c r="K16" s="8"/>
    </row>
    <row r="17" spans="2:11" ht="16.2" thickBot="1" x14ac:dyDescent="0.35">
      <c r="B17" s="158" t="s">
        <v>557</v>
      </c>
      <c r="C17" s="158"/>
      <c r="D17" s="158"/>
      <c r="E17" s="158"/>
      <c r="F17" s="158"/>
      <c r="G17" s="158"/>
      <c r="H17" s="158"/>
      <c r="I17" s="158"/>
      <c r="J17" s="158"/>
      <c r="K17" s="19"/>
    </row>
    <row r="18" spans="2:11" x14ac:dyDescent="0.3">
      <c r="B18" s="1"/>
      <c r="C18" s="2" t="s">
        <v>2</v>
      </c>
      <c r="D18" s="2" t="s">
        <v>3</v>
      </c>
      <c r="E18" s="3" t="s">
        <v>4</v>
      </c>
      <c r="F18" s="3" t="s">
        <v>5</v>
      </c>
      <c r="G18" s="3" t="s">
        <v>528</v>
      </c>
      <c r="H18" s="3" t="s">
        <v>6</v>
      </c>
      <c r="I18" s="25" t="s">
        <v>381</v>
      </c>
      <c r="J18" s="3" t="s">
        <v>89</v>
      </c>
      <c r="K18" s="20" t="s">
        <v>200</v>
      </c>
    </row>
    <row r="19" spans="2:11" ht="25.8" x14ac:dyDescent="0.5">
      <c r="B19" s="13">
        <v>42927</v>
      </c>
      <c r="C19" s="8" t="s">
        <v>20</v>
      </c>
      <c r="D19" s="8" t="s">
        <v>558</v>
      </c>
      <c r="E19" s="8">
        <v>7</v>
      </c>
      <c r="F19" s="8">
        <v>9</v>
      </c>
      <c r="G19" s="7">
        <v>42928</v>
      </c>
      <c r="H19" s="8">
        <v>6000</v>
      </c>
      <c r="I19" s="8">
        <v>2</v>
      </c>
      <c r="J19" s="8">
        <f>H19*I19</f>
        <v>12000</v>
      </c>
      <c r="K19" s="8" t="s">
        <v>403</v>
      </c>
    </row>
    <row r="20" spans="2:11" ht="25.8" x14ac:dyDescent="0.5">
      <c r="B20" s="13">
        <v>42934</v>
      </c>
      <c r="C20" s="8" t="s">
        <v>8</v>
      </c>
      <c r="D20" s="8" t="s">
        <v>559</v>
      </c>
      <c r="E20" s="8">
        <v>6.5</v>
      </c>
      <c r="F20" s="8">
        <v>15</v>
      </c>
      <c r="G20" s="7">
        <v>42934</v>
      </c>
      <c r="H20" s="8">
        <v>6168</v>
      </c>
      <c r="I20" s="8">
        <f>F20-E20</f>
        <v>8.5</v>
      </c>
      <c r="J20" s="8">
        <f t="shared" ref="J20:J21" si="2">H20*I20</f>
        <v>52428</v>
      </c>
      <c r="K20" s="8" t="s">
        <v>195</v>
      </c>
    </row>
    <row r="21" spans="2:11" ht="25.8" x14ac:dyDescent="0.5">
      <c r="B21" s="13">
        <v>42940</v>
      </c>
      <c r="C21" s="8" t="s">
        <v>8</v>
      </c>
      <c r="D21" s="8" t="s">
        <v>560</v>
      </c>
      <c r="E21" s="8">
        <v>3.5</v>
      </c>
      <c r="F21" s="8">
        <v>5.3</v>
      </c>
      <c r="G21" s="7">
        <v>42940</v>
      </c>
      <c r="H21" s="8">
        <v>6168</v>
      </c>
      <c r="I21" s="8">
        <v>1.8</v>
      </c>
      <c r="J21" s="8">
        <f t="shared" si="2"/>
        <v>11102.4</v>
      </c>
      <c r="K21" s="8" t="s">
        <v>198</v>
      </c>
    </row>
    <row r="22" spans="2:11" ht="25.8" x14ac:dyDescent="0.5">
      <c r="B22" s="13"/>
      <c r="C22" s="8"/>
      <c r="D22" s="8"/>
      <c r="E22" s="8"/>
      <c r="F22" s="8"/>
      <c r="G22" s="8"/>
      <c r="H22" s="8"/>
      <c r="I22" s="8"/>
      <c r="J22" s="9">
        <f>SUM(J19:J21)</f>
        <v>75530.399999999994</v>
      </c>
      <c r="K22" s="8"/>
    </row>
    <row r="23" spans="2:11" ht="25.8" x14ac:dyDescent="0.5">
      <c r="B23" s="13"/>
      <c r="C23" s="8"/>
      <c r="D23" s="8"/>
      <c r="E23" s="8"/>
      <c r="F23" s="8"/>
      <c r="G23" s="8"/>
      <c r="H23" s="8"/>
      <c r="I23" s="8"/>
      <c r="J23" s="9"/>
      <c r="K23" s="8"/>
    </row>
    <row r="24" spans="2:11" ht="25.8" x14ac:dyDescent="0.5">
      <c r="J24" s="9"/>
      <c r="K24" s="9"/>
    </row>
  </sheetData>
  <mergeCells count="5">
    <mergeCell ref="B1:J1"/>
    <mergeCell ref="B2:J2"/>
    <mergeCell ref="B3:J3"/>
    <mergeCell ref="B10:J10"/>
    <mergeCell ref="B17:J17"/>
  </mergeCells>
  <hyperlinks>
    <hyperlink ref="M2" location="'Home Page'!A1" display="Back" xr:uid="{00000000-0004-0000-3400-000000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Y53"/>
  <sheetViews>
    <sheetView topLeftCell="A31" workbookViewId="0">
      <selection activeCell="O2" sqref="O2:T14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42948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94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95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x14ac:dyDescent="0.3">
      <c r="A6" s="31"/>
      <c r="B6" s="33">
        <v>1</v>
      </c>
      <c r="C6" s="34">
        <v>42950</v>
      </c>
      <c r="D6" s="35" t="s">
        <v>13</v>
      </c>
      <c r="E6" s="35" t="s">
        <v>418</v>
      </c>
      <c r="F6" s="36">
        <v>356</v>
      </c>
      <c r="G6" s="36">
        <v>344</v>
      </c>
      <c r="H6" s="34">
        <v>42955</v>
      </c>
      <c r="I6" s="36">
        <v>6168</v>
      </c>
      <c r="J6" s="84">
        <v>12</v>
      </c>
      <c r="K6" s="84">
        <f>I6*J6</f>
        <v>74016</v>
      </c>
      <c r="L6" s="37" t="s">
        <v>195</v>
      </c>
      <c r="M6" s="32"/>
      <c r="O6" s="198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f>P6-Q6-R6</f>
        <v>0</v>
      </c>
      <c r="T6" s="197">
        <f t="shared" ref="T6" si="0">Q6/P6</f>
        <v>1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42956</v>
      </c>
      <c r="D7" s="40" t="s">
        <v>13</v>
      </c>
      <c r="E7" s="40" t="s">
        <v>418</v>
      </c>
      <c r="F7" s="41">
        <v>350</v>
      </c>
      <c r="G7" s="41">
        <v>336</v>
      </c>
      <c r="H7" s="39">
        <v>42957</v>
      </c>
      <c r="I7" s="41">
        <v>6168</v>
      </c>
      <c r="J7" s="85">
        <v>14</v>
      </c>
      <c r="K7" s="85">
        <f t="shared" ref="K7:K15" si="1">I7*J7</f>
        <v>86352</v>
      </c>
      <c r="L7" s="42" t="s">
        <v>195</v>
      </c>
      <c r="M7" s="32"/>
      <c r="O7" s="198"/>
      <c r="P7" s="199"/>
      <c r="Q7" s="200"/>
      <c r="R7" s="200"/>
      <c r="S7" s="202"/>
      <c r="T7" s="197"/>
      <c r="X7" s="29">
        <f t="shared" ref="X7:X14" si="2">IF($L7&gt;0,1,0)</f>
        <v>1</v>
      </c>
      <c r="Y7" s="29">
        <f t="shared" ref="Y7:Y14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42975</v>
      </c>
      <c r="D8" s="40" t="s">
        <v>13</v>
      </c>
      <c r="E8" s="40" t="s">
        <v>418</v>
      </c>
      <c r="F8" s="41">
        <v>343</v>
      </c>
      <c r="G8" s="41">
        <v>337</v>
      </c>
      <c r="H8" s="39">
        <v>42976</v>
      </c>
      <c r="I8" s="41">
        <v>6168</v>
      </c>
      <c r="J8" s="85">
        <v>6</v>
      </c>
      <c r="K8" s="85">
        <f t="shared" si="1"/>
        <v>37008</v>
      </c>
      <c r="L8" s="42" t="s">
        <v>198</v>
      </c>
      <c r="M8" s="32"/>
      <c r="O8" s="198" t="s">
        <v>600</v>
      </c>
      <c r="P8" s="199">
        <f>COUNT(C42:C51)</f>
        <v>5</v>
      </c>
      <c r="Q8" s="200">
        <f>X52</f>
        <v>5</v>
      </c>
      <c r="R8" s="200">
        <f>Y52</f>
        <v>0</v>
      </c>
      <c r="S8" s="201">
        <f>P8-Q8-R8</f>
        <v>0</v>
      </c>
      <c r="T8" s="197">
        <f t="shared" ref="T8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41"/>
      <c r="G9" s="41"/>
      <c r="H9" s="41"/>
      <c r="I9" s="41"/>
      <c r="J9" s="85"/>
      <c r="K9" s="85">
        <f t="shared" si="1"/>
        <v>0</v>
      </c>
      <c r="L9" s="42"/>
      <c r="M9" s="32"/>
      <c r="O9" s="203"/>
      <c r="P9" s="199"/>
      <c r="Q9" s="200"/>
      <c r="R9" s="200"/>
      <c r="S9" s="202"/>
      <c r="T9" s="19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41"/>
      <c r="G10" s="41"/>
      <c r="H10" s="41"/>
      <c r="I10" s="41"/>
      <c r="J10" s="85"/>
      <c r="K10" s="85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f>SUM(Q4:Q9)</f>
        <v>11</v>
      </c>
      <c r="R10" s="173">
        <f>SUM(R4:R9)</f>
        <v>0</v>
      </c>
      <c r="S10" s="193">
        <f>SUM(S4:S9)</f>
        <v>0</v>
      </c>
      <c r="T10" s="195">
        <f t="shared" ref="T10" si="6">Q10/P10</f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41"/>
      <c r="G11" s="41"/>
      <c r="H11" s="41"/>
      <c r="I11" s="41"/>
      <c r="J11" s="85"/>
      <c r="K11" s="85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x14ac:dyDescent="0.3">
      <c r="A12" s="31"/>
      <c r="B12" s="38">
        <f t="shared" si="4"/>
        <v>7</v>
      </c>
      <c r="C12" s="39"/>
      <c r="D12" s="40"/>
      <c r="E12" s="40"/>
      <c r="F12" s="41"/>
      <c r="G12" s="41"/>
      <c r="H12" s="41"/>
      <c r="I12" s="41"/>
      <c r="J12" s="85"/>
      <c r="K12" s="85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41"/>
      <c r="G13" s="41"/>
      <c r="H13" s="41"/>
      <c r="I13" s="41"/>
      <c r="J13" s="85"/>
      <c r="K13" s="85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>
        <f t="shared" si="1"/>
        <v>0</v>
      </c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197376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42948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95" t="s">
        <v>10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4">
        <v>42950</v>
      </c>
      <c r="D24" s="35" t="s">
        <v>13</v>
      </c>
      <c r="E24" s="35" t="s">
        <v>30</v>
      </c>
      <c r="F24" s="36">
        <v>10075</v>
      </c>
      <c r="G24" s="36">
        <v>9930</v>
      </c>
      <c r="H24" s="34">
        <v>42955</v>
      </c>
      <c r="I24" s="36">
        <v>375</v>
      </c>
      <c r="J24" s="84">
        <v>145</v>
      </c>
      <c r="K24" s="84">
        <f>I24*J24</f>
        <v>54375</v>
      </c>
      <c r="L24" s="37" t="s">
        <v>195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9">
        <v>42955</v>
      </c>
      <c r="D25" s="40" t="s">
        <v>13</v>
      </c>
      <c r="E25" s="40" t="s">
        <v>30</v>
      </c>
      <c r="F25" s="41">
        <v>10020</v>
      </c>
      <c r="G25" s="41">
        <v>9880</v>
      </c>
      <c r="H25" s="39">
        <v>42957</v>
      </c>
      <c r="I25" s="41">
        <v>375</v>
      </c>
      <c r="J25" s="85">
        <v>140</v>
      </c>
      <c r="K25" s="85">
        <f t="shared" ref="K25:K33" si="7">I25*J25</f>
        <v>52500</v>
      </c>
      <c r="L25" s="42" t="s">
        <v>195</v>
      </c>
      <c r="M25" s="32"/>
      <c r="X25" s="29">
        <f t="shared" ref="X25:X33" si="8">IF($L25&gt;0,1,0)</f>
        <v>1</v>
      </c>
      <c r="Y25" s="29">
        <f t="shared" ref="Y25:Y33" si="9">IF($L25&lt;0,1,0)</f>
        <v>0</v>
      </c>
    </row>
    <row r="26" spans="1:25" x14ac:dyDescent="0.3">
      <c r="A26" s="31"/>
      <c r="B26" s="38">
        <f t="shared" ref="B26:B33" si="10">B25+1</f>
        <v>3</v>
      </c>
      <c r="C26" s="39">
        <v>42975</v>
      </c>
      <c r="D26" s="40" t="s">
        <v>13</v>
      </c>
      <c r="E26" s="40" t="s">
        <v>30</v>
      </c>
      <c r="F26" s="41">
        <v>9935</v>
      </c>
      <c r="G26" s="41">
        <v>9822</v>
      </c>
      <c r="H26" s="39">
        <v>42976</v>
      </c>
      <c r="I26" s="41">
        <v>375</v>
      </c>
      <c r="J26" s="85">
        <f>F26-G26</f>
        <v>113</v>
      </c>
      <c r="K26" s="85">
        <f t="shared" si="7"/>
        <v>42375</v>
      </c>
      <c r="L26" s="42" t="s">
        <v>195</v>
      </c>
      <c r="M26" s="32"/>
      <c r="X26" s="29">
        <f t="shared" si="8"/>
        <v>1</v>
      </c>
      <c r="Y26" s="29">
        <f t="shared" si="9"/>
        <v>0</v>
      </c>
    </row>
    <row r="27" spans="1:25" x14ac:dyDescent="0.3">
      <c r="A27" s="31"/>
      <c r="B27" s="38">
        <f t="shared" si="10"/>
        <v>4</v>
      </c>
      <c r="C27" s="39"/>
      <c r="D27" s="40"/>
      <c r="E27" s="40"/>
      <c r="F27" s="41"/>
      <c r="G27" s="41"/>
      <c r="H27" s="41"/>
      <c r="I27" s="41"/>
      <c r="J27" s="85"/>
      <c r="K27" s="85">
        <f t="shared" si="7"/>
        <v>0</v>
      </c>
      <c r="L27" s="42"/>
      <c r="M27" s="32"/>
      <c r="X27" s="29">
        <f t="shared" si="8"/>
        <v>0</v>
      </c>
      <c r="Y27" s="29">
        <f t="shared" si="9"/>
        <v>0</v>
      </c>
    </row>
    <row r="28" spans="1:25" x14ac:dyDescent="0.3">
      <c r="A28" s="31"/>
      <c r="B28" s="38">
        <f t="shared" si="10"/>
        <v>5</v>
      </c>
      <c r="C28" s="39"/>
      <c r="D28" s="40"/>
      <c r="E28" s="40"/>
      <c r="F28" s="41"/>
      <c r="G28" s="41"/>
      <c r="H28" s="41"/>
      <c r="I28" s="41"/>
      <c r="J28" s="85"/>
      <c r="K28" s="85">
        <f t="shared" si="7"/>
        <v>0</v>
      </c>
      <c r="L28" s="42"/>
      <c r="M28" s="32"/>
      <c r="X28" s="29">
        <f t="shared" si="8"/>
        <v>0</v>
      </c>
      <c r="Y28" s="29">
        <f t="shared" si="9"/>
        <v>0</v>
      </c>
    </row>
    <row r="29" spans="1:25" x14ac:dyDescent="0.3">
      <c r="A29" s="31"/>
      <c r="B29" s="38">
        <f t="shared" si="10"/>
        <v>6</v>
      </c>
      <c r="C29" s="39"/>
      <c r="D29" s="40"/>
      <c r="E29" s="40"/>
      <c r="F29" s="41"/>
      <c r="G29" s="41"/>
      <c r="H29" s="41"/>
      <c r="I29" s="41"/>
      <c r="J29" s="85"/>
      <c r="K29" s="85">
        <f t="shared" si="7"/>
        <v>0</v>
      </c>
      <c r="L29" s="42"/>
      <c r="M29" s="32"/>
      <c r="X29" s="29">
        <f t="shared" si="8"/>
        <v>0</v>
      </c>
      <c r="Y29" s="29">
        <f t="shared" si="9"/>
        <v>0</v>
      </c>
    </row>
    <row r="30" spans="1:25" x14ac:dyDescent="0.3">
      <c r="A30" s="31"/>
      <c r="B30" s="38">
        <f t="shared" si="10"/>
        <v>7</v>
      </c>
      <c r="C30" s="39"/>
      <c r="D30" s="40"/>
      <c r="E30" s="40"/>
      <c r="F30" s="41"/>
      <c r="G30" s="41"/>
      <c r="H30" s="41"/>
      <c r="I30" s="41"/>
      <c r="J30" s="85"/>
      <c r="K30" s="85">
        <f t="shared" si="7"/>
        <v>0</v>
      </c>
      <c r="L30" s="42"/>
      <c r="M30" s="32"/>
      <c r="X30" s="29">
        <f t="shared" si="8"/>
        <v>0</v>
      </c>
      <c r="Y30" s="29">
        <f t="shared" si="9"/>
        <v>0</v>
      </c>
    </row>
    <row r="31" spans="1:25" x14ac:dyDescent="0.3">
      <c r="A31" s="31"/>
      <c r="B31" s="38">
        <f t="shared" si="10"/>
        <v>8</v>
      </c>
      <c r="C31" s="39"/>
      <c r="D31" s="40"/>
      <c r="E31" s="40"/>
      <c r="F31" s="41"/>
      <c r="G31" s="41"/>
      <c r="H31" s="41"/>
      <c r="I31" s="41"/>
      <c r="J31" s="85"/>
      <c r="K31" s="85">
        <f t="shared" si="7"/>
        <v>0</v>
      </c>
      <c r="L31" s="42"/>
      <c r="M31" s="32"/>
      <c r="X31" s="29">
        <f t="shared" si="8"/>
        <v>0</v>
      </c>
      <c r="Y31" s="29">
        <f t="shared" si="9"/>
        <v>0</v>
      </c>
    </row>
    <row r="32" spans="1:25" x14ac:dyDescent="0.3">
      <c r="A32" s="31"/>
      <c r="B32" s="38">
        <f t="shared" si="10"/>
        <v>9</v>
      </c>
      <c r="C32" s="39"/>
      <c r="D32" s="40"/>
      <c r="E32" s="40"/>
      <c r="F32" s="41"/>
      <c r="G32" s="41"/>
      <c r="H32" s="41"/>
      <c r="I32" s="41"/>
      <c r="J32" s="85"/>
      <c r="K32" s="85">
        <f t="shared" si="7"/>
        <v>0</v>
      </c>
      <c r="L32" s="42"/>
      <c r="M32" s="32"/>
      <c r="X32" s="29">
        <f t="shared" si="8"/>
        <v>0</v>
      </c>
      <c r="Y32" s="29">
        <f t="shared" si="9"/>
        <v>0</v>
      </c>
    </row>
    <row r="33" spans="1:25" ht="15" thickBot="1" x14ac:dyDescent="0.35">
      <c r="A33" s="31"/>
      <c r="B33" s="38">
        <f t="shared" si="10"/>
        <v>10</v>
      </c>
      <c r="C33" s="39"/>
      <c r="D33" s="40"/>
      <c r="E33" s="40"/>
      <c r="F33" s="41"/>
      <c r="G33" s="41"/>
      <c r="H33" s="41"/>
      <c r="I33" s="41"/>
      <c r="J33" s="85"/>
      <c r="K33" s="85">
        <f t="shared" si="7"/>
        <v>0</v>
      </c>
      <c r="L33" s="42"/>
      <c r="M33" s="32"/>
      <c r="X33" s="29">
        <f t="shared" si="8"/>
        <v>0</v>
      </c>
      <c r="Y33" s="29">
        <f t="shared" si="9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149250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42948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95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42948</v>
      </c>
      <c r="D42" s="35" t="s">
        <v>561</v>
      </c>
      <c r="E42" s="35" t="s">
        <v>562</v>
      </c>
      <c r="F42" s="36">
        <v>10</v>
      </c>
      <c r="G42" s="36">
        <v>15</v>
      </c>
      <c r="H42" s="36" t="s">
        <v>603</v>
      </c>
      <c r="I42" s="36">
        <v>3000</v>
      </c>
      <c r="J42" s="84">
        <v>5</v>
      </c>
      <c r="K42" s="84">
        <f>I42*J42</f>
        <v>15000</v>
      </c>
      <c r="L42" s="37" t="s">
        <v>198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38">
        <f>B42+1</f>
        <v>2</v>
      </c>
      <c r="C43" s="39">
        <v>42955</v>
      </c>
      <c r="D43" s="40" t="s">
        <v>8</v>
      </c>
      <c r="E43" s="40" t="s">
        <v>563</v>
      </c>
      <c r="F43" s="41">
        <v>50</v>
      </c>
      <c r="G43" s="41">
        <v>100</v>
      </c>
      <c r="H43" s="39">
        <v>42955</v>
      </c>
      <c r="I43" s="41">
        <v>400</v>
      </c>
      <c r="J43" s="85">
        <v>50</v>
      </c>
      <c r="K43" s="85">
        <f t="shared" ref="K43:K51" si="11">I43*J43</f>
        <v>20000</v>
      </c>
      <c r="L43" s="42" t="s">
        <v>195</v>
      </c>
      <c r="M43" s="32"/>
      <c r="X43" s="29">
        <f t="shared" ref="X43:X51" si="12">IF($L43&gt;0,1,0)</f>
        <v>1</v>
      </c>
      <c r="Y43" s="29">
        <f t="shared" ref="Y43:Y51" si="13">IF($L43&lt;0,1,0)</f>
        <v>0</v>
      </c>
    </row>
    <row r="44" spans="1:25" x14ac:dyDescent="0.3">
      <c r="A44" s="31"/>
      <c r="B44" s="38">
        <f t="shared" ref="B44:B51" si="14">B43+1</f>
        <v>3</v>
      </c>
      <c r="C44" s="39">
        <v>42956</v>
      </c>
      <c r="D44" s="40" t="s">
        <v>8</v>
      </c>
      <c r="E44" s="40" t="s">
        <v>564</v>
      </c>
      <c r="F44" s="41">
        <v>55</v>
      </c>
      <c r="G44" s="41">
        <v>120</v>
      </c>
      <c r="H44" s="39">
        <v>42957</v>
      </c>
      <c r="I44" s="41">
        <v>400</v>
      </c>
      <c r="J44" s="85">
        <v>65</v>
      </c>
      <c r="K44" s="85">
        <f t="shared" si="11"/>
        <v>26000</v>
      </c>
      <c r="L44" s="42" t="s">
        <v>195</v>
      </c>
      <c r="M44" s="32"/>
      <c r="X44" s="29">
        <f t="shared" si="12"/>
        <v>1</v>
      </c>
      <c r="Y44" s="29">
        <f t="shared" si="13"/>
        <v>0</v>
      </c>
    </row>
    <row r="45" spans="1:25" x14ac:dyDescent="0.3">
      <c r="A45" s="31"/>
      <c r="B45" s="38">
        <f t="shared" si="14"/>
        <v>4</v>
      </c>
      <c r="C45" s="39">
        <v>42963</v>
      </c>
      <c r="D45" s="40" t="s">
        <v>8</v>
      </c>
      <c r="E45" s="40" t="s">
        <v>602</v>
      </c>
      <c r="F45" s="41">
        <v>50</v>
      </c>
      <c r="G45" s="41">
        <v>25</v>
      </c>
      <c r="H45" s="39">
        <v>42969</v>
      </c>
      <c r="I45" s="41">
        <v>400</v>
      </c>
      <c r="J45" s="85">
        <v>-25</v>
      </c>
      <c r="K45" s="85">
        <f t="shared" si="11"/>
        <v>-10000</v>
      </c>
      <c r="L45" s="42" t="s">
        <v>197</v>
      </c>
      <c r="M45" s="32"/>
      <c r="X45" s="29">
        <f t="shared" si="12"/>
        <v>1</v>
      </c>
      <c r="Y45" s="29">
        <f t="shared" si="13"/>
        <v>0</v>
      </c>
    </row>
    <row r="46" spans="1:25" x14ac:dyDescent="0.3">
      <c r="A46" s="31"/>
      <c r="B46" s="38">
        <f t="shared" si="14"/>
        <v>5</v>
      </c>
      <c r="C46" s="39">
        <v>42975</v>
      </c>
      <c r="D46" s="40" t="s">
        <v>8</v>
      </c>
      <c r="E46" s="40" t="s">
        <v>604</v>
      </c>
      <c r="F46" s="41">
        <v>14</v>
      </c>
      <c r="G46" s="41">
        <v>30</v>
      </c>
      <c r="H46" s="39">
        <v>42976</v>
      </c>
      <c r="I46" s="41">
        <v>1400</v>
      </c>
      <c r="J46" s="85">
        <v>16</v>
      </c>
      <c r="K46" s="85">
        <f t="shared" si="11"/>
        <v>22400</v>
      </c>
      <c r="L46" s="42" t="s">
        <v>198</v>
      </c>
      <c r="M46" s="32"/>
      <c r="X46" s="29">
        <f t="shared" si="12"/>
        <v>1</v>
      </c>
      <c r="Y46" s="29">
        <f t="shared" si="13"/>
        <v>0</v>
      </c>
    </row>
    <row r="47" spans="1:25" x14ac:dyDescent="0.3">
      <c r="A47" s="31"/>
      <c r="B47" s="38">
        <f t="shared" si="14"/>
        <v>6</v>
      </c>
      <c r="C47" s="39"/>
      <c r="D47" s="40"/>
      <c r="E47" s="40"/>
      <c r="F47" s="41"/>
      <c r="G47" s="41"/>
      <c r="H47" s="41"/>
      <c r="I47" s="41"/>
      <c r="J47" s="85"/>
      <c r="K47" s="85">
        <f t="shared" si="11"/>
        <v>0</v>
      </c>
      <c r="L47" s="42"/>
      <c r="M47" s="32"/>
      <c r="X47" s="29">
        <f t="shared" si="12"/>
        <v>0</v>
      </c>
      <c r="Y47" s="29">
        <f t="shared" si="13"/>
        <v>0</v>
      </c>
    </row>
    <row r="48" spans="1:25" x14ac:dyDescent="0.3">
      <c r="A48" s="31"/>
      <c r="B48" s="38">
        <f t="shared" si="14"/>
        <v>7</v>
      </c>
      <c r="C48" s="39"/>
      <c r="D48" s="40"/>
      <c r="E48" s="40"/>
      <c r="F48" s="41"/>
      <c r="G48" s="41"/>
      <c r="H48" s="41"/>
      <c r="I48" s="41"/>
      <c r="J48" s="85"/>
      <c r="K48" s="85">
        <f t="shared" si="11"/>
        <v>0</v>
      </c>
      <c r="L48" s="42"/>
      <c r="M48" s="32"/>
      <c r="X48" s="29">
        <f t="shared" si="12"/>
        <v>0</v>
      </c>
      <c r="Y48" s="29">
        <f t="shared" si="13"/>
        <v>0</v>
      </c>
    </row>
    <row r="49" spans="1:25" x14ac:dyDescent="0.3">
      <c r="A49" s="31"/>
      <c r="B49" s="38">
        <f t="shared" si="14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11"/>
        <v>0</v>
      </c>
      <c r="L49" s="42"/>
      <c r="M49" s="32"/>
      <c r="X49" s="29">
        <f t="shared" si="12"/>
        <v>0</v>
      </c>
      <c r="Y49" s="29">
        <f t="shared" si="13"/>
        <v>0</v>
      </c>
    </row>
    <row r="50" spans="1:25" x14ac:dyDescent="0.3">
      <c r="A50" s="31"/>
      <c r="B50" s="38">
        <f t="shared" si="14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1"/>
        <v>0</v>
      </c>
      <c r="L50" s="42"/>
      <c r="M50" s="32"/>
      <c r="X50" s="29">
        <f t="shared" si="12"/>
        <v>0</v>
      </c>
      <c r="Y50" s="29">
        <f t="shared" si="13"/>
        <v>0</v>
      </c>
    </row>
    <row r="51" spans="1:25" ht="15" thickBot="1" x14ac:dyDescent="0.35">
      <c r="A51" s="31"/>
      <c r="B51" s="38">
        <f t="shared" si="14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1"/>
        <v>0</v>
      </c>
      <c r="L51" s="42"/>
      <c r="M51" s="32"/>
      <c r="X51" s="29">
        <f t="shared" si="12"/>
        <v>0</v>
      </c>
      <c r="Y51" s="29">
        <f t="shared" si="13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73400</v>
      </c>
      <c r="L52" s="86"/>
      <c r="M52" s="32"/>
      <c r="X52" s="29">
        <f>SUM(X42:X51)</f>
        <v>5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20:L20"/>
    <mergeCell ref="B21:L21"/>
    <mergeCell ref="B16:I16"/>
    <mergeCell ref="S10:S11"/>
    <mergeCell ref="T10:T11"/>
    <mergeCell ref="B34:I34"/>
    <mergeCell ref="B52:I52"/>
    <mergeCell ref="B38:L38"/>
    <mergeCell ref="B39:L39"/>
    <mergeCell ref="B40:L40"/>
  </mergeCells>
  <hyperlinks>
    <hyperlink ref="B16" r:id="rId1" xr:uid="{00000000-0004-0000-3500-000000000000}"/>
    <hyperlink ref="O1" location="'Home Page'!A1" display="Back" xr:uid="{00000000-0004-0000-3500-000001000000}"/>
    <hyperlink ref="B34" r:id="rId2" xr:uid="{00000000-0004-0000-3500-000002000000}"/>
    <hyperlink ref="B52" r:id="rId3" xr:uid="{00000000-0004-0000-3500-000003000000}"/>
  </hyperlinks>
  <pageMargins left="0" right="0" top="0" bottom="0" header="0" footer="0"/>
  <pageSetup paperSize="9" orientation="portrait" r:id="rId4"/>
  <drawing r:id="rId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Y53"/>
  <sheetViews>
    <sheetView workbookViewId="0">
      <selection activeCell="T16" sqref="T16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42979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v>1</v>
      </c>
      <c r="R4" s="208">
        <v>2</v>
      </c>
      <c r="S4" s="209">
        <f>P4-Q4-R4</f>
        <v>0</v>
      </c>
      <c r="T4" s="195">
        <f>Q4/P4</f>
        <v>0.33333333333333331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94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95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thickBot="1" x14ac:dyDescent="0.35">
      <c r="A6" s="31"/>
      <c r="B6" s="33">
        <v>1</v>
      </c>
      <c r="C6" s="34">
        <v>42983</v>
      </c>
      <c r="D6" s="35" t="s">
        <v>13</v>
      </c>
      <c r="E6" s="35" t="s">
        <v>418</v>
      </c>
      <c r="F6" s="105">
        <v>339.5</v>
      </c>
      <c r="G6" s="105">
        <v>330</v>
      </c>
      <c r="H6" s="34">
        <v>42986</v>
      </c>
      <c r="I6" s="36">
        <v>6168</v>
      </c>
      <c r="J6" s="107">
        <f>F6-G6</f>
        <v>9.5</v>
      </c>
      <c r="K6" s="84">
        <f>I6*J6</f>
        <v>58596</v>
      </c>
      <c r="L6" s="37" t="s">
        <v>195</v>
      </c>
      <c r="M6" s="32"/>
      <c r="O6" s="198" t="s">
        <v>599</v>
      </c>
      <c r="P6" s="199">
        <f>COUNT(C24:C33)</f>
        <v>1</v>
      </c>
      <c r="Q6" s="200">
        <v>0</v>
      </c>
      <c r="R6" s="200">
        <v>1</v>
      </c>
      <c r="S6" s="201">
        <f>P6-Q6-R6</f>
        <v>0</v>
      </c>
      <c r="T6" s="197">
        <f t="shared" ref="T6" si="0">Q6/P6</f>
        <v>0</v>
      </c>
      <c r="X6" s="29">
        <f>IF($L6&gt;0,1,0)</f>
        <v>1</v>
      </c>
      <c r="Y6" s="29">
        <f>IF($L6&lt;0,1,0)</f>
        <v>0</v>
      </c>
    </row>
    <row r="7" spans="1:25" ht="15" thickBot="1" x14ac:dyDescent="0.35">
      <c r="A7" s="31"/>
      <c r="B7" s="38">
        <f>B6+1</f>
        <v>2</v>
      </c>
      <c r="C7" s="39">
        <v>42992</v>
      </c>
      <c r="D7" s="40" t="s">
        <v>13</v>
      </c>
      <c r="E7" s="40" t="s">
        <v>418</v>
      </c>
      <c r="F7" s="105">
        <v>344</v>
      </c>
      <c r="G7" s="106">
        <v>351</v>
      </c>
      <c r="H7" s="39">
        <v>42993</v>
      </c>
      <c r="I7" s="41">
        <v>6168</v>
      </c>
      <c r="J7" s="85">
        <v>-6</v>
      </c>
      <c r="K7" s="85">
        <f t="shared" ref="K7:K15" si="1">I7*J7</f>
        <v>-37008</v>
      </c>
      <c r="L7" s="42" t="s">
        <v>461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43004</v>
      </c>
      <c r="D8" s="40" t="s">
        <v>20</v>
      </c>
      <c r="E8" s="40" t="s">
        <v>610</v>
      </c>
      <c r="F8" s="105">
        <v>330</v>
      </c>
      <c r="G8" s="106">
        <v>322</v>
      </c>
      <c r="H8" s="39" t="s">
        <v>609</v>
      </c>
      <c r="I8" s="41">
        <v>2400</v>
      </c>
      <c r="J8" s="85">
        <v>-8</v>
      </c>
      <c r="K8" s="85">
        <f t="shared" si="1"/>
        <v>-19200</v>
      </c>
      <c r="L8" s="42" t="s">
        <v>461</v>
      </c>
      <c r="M8" s="32"/>
      <c r="O8" s="198" t="s">
        <v>600</v>
      </c>
      <c r="P8" s="199">
        <f>COUNT(C42:C51)</f>
        <v>4</v>
      </c>
      <c r="Q8" s="200">
        <v>2</v>
      </c>
      <c r="R8" s="200">
        <v>2</v>
      </c>
      <c r="S8" s="201">
        <f>P8-Q8-R8</f>
        <v>0</v>
      </c>
      <c r="T8" s="197">
        <f t="shared" ref="T8" si="5">Q8/P8</f>
        <v>0.5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06"/>
      <c r="G9" s="106"/>
      <c r="H9" s="41"/>
      <c r="I9" s="41"/>
      <c r="J9" s="85"/>
      <c r="K9" s="85">
        <f t="shared" si="1"/>
        <v>0</v>
      </c>
      <c r="L9" s="42"/>
      <c r="M9" s="32"/>
      <c r="O9" s="203"/>
      <c r="P9" s="199"/>
      <c r="Q9" s="200"/>
      <c r="R9" s="200"/>
      <c r="S9" s="202"/>
      <c r="T9" s="19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41"/>
      <c r="I10" s="41"/>
      <c r="J10" s="85"/>
      <c r="K10" s="85">
        <f t="shared" si="1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3</v>
      </c>
      <c r="R10" s="173">
        <f>SUM(R4:R9)</f>
        <v>5</v>
      </c>
      <c r="S10" s="193">
        <f>SUM(S4:S9)</f>
        <v>0</v>
      </c>
      <c r="T10" s="195">
        <f t="shared" ref="T10" si="6">Q10/P10</f>
        <v>0.375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>
        <f t="shared" si="1"/>
        <v>0</v>
      </c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>
        <f t="shared" si="1"/>
        <v>0</v>
      </c>
      <c r="L12" s="42"/>
      <c r="M12" s="32"/>
      <c r="O12" s="175" t="s">
        <v>576</v>
      </c>
      <c r="P12" s="176"/>
      <c r="Q12" s="177"/>
      <c r="R12" s="184">
        <f>T10</f>
        <v>0.375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>
        <f t="shared" si="1"/>
        <v>0</v>
      </c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>
        <f t="shared" si="1"/>
        <v>0</v>
      </c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>
        <f t="shared" si="1"/>
        <v>0</v>
      </c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2388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42979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95" t="s">
        <v>10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42984</v>
      </c>
      <c r="D24" s="35" t="s">
        <v>13</v>
      </c>
      <c r="E24" s="35" t="s">
        <v>30</v>
      </c>
      <c r="F24" s="36">
        <v>9945</v>
      </c>
      <c r="G24" s="36">
        <v>10025</v>
      </c>
      <c r="H24" s="34">
        <v>42989</v>
      </c>
      <c r="I24" s="36">
        <v>375</v>
      </c>
      <c r="J24" s="84">
        <f>F24-G24</f>
        <v>-80</v>
      </c>
      <c r="K24" s="84">
        <f>I24*J24</f>
        <v>-30000</v>
      </c>
      <c r="L24" s="37" t="s">
        <v>197</v>
      </c>
      <c r="M24" s="32"/>
      <c r="X24" s="29">
        <f>IF($L24&gt;0,1,0)</f>
        <v>1</v>
      </c>
      <c r="Y24" s="29">
        <f>IF($L24&lt;0,1,0)</f>
        <v>0</v>
      </c>
    </row>
    <row r="25" spans="1:25" ht="15" thickBot="1" x14ac:dyDescent="0.35">
      <c r="A25" s="31"/>
      <c r="B25" s="38">
        <f>B24+1</f>
        <v>2</v>
      </c>
      <c r="C25" s="39"/>
      <c r="D25" s="40"/>
      <c r="E25" s="40"/>
      <c r="F25" s="41"/>
      <c r="G25" s="41"/>
      <c r="H25" s="39"/>
      <c r="I25" s="41"/>
      <c r="J25" s="85"/>
      <c r="K25" s="84">
        <f t="shared" ref="K25:K27" si="7">I25*J25</f>
        <v>0</v>
      </c>
      <c r="L25" s="42"/>
      <c r="M25" s="32"/>
      <c r="X25" s="29">
        <f t="shared" ref="X25:X33" si="8">IF($L25&gt;0,1,0)</f>
        <v>0</v>
      </c>
      <c r="Y25" s="29">
        <f t="shared" ref="Y25:Y33" si="9">IF($L25&lt;0,1,0)</f>
        <v>0</v>
      </c>
    </row>
    <row r="26" spans="1:25" ht="15" thickBot="1" x14ac:dyDescent="0.35">
      <c r="A26" s="31"/>
      <c r="B26" s="38">
        <f t="shared" ref="B26:B33" si="10">B25+1</f>
        <v>3</v>
      </c>
      <c r="C26" s="39"/>
      <c r="D26" s="40"/>
      <c r="E26" s="40"/>
      <c r="F26" s="41"/>
      <c r="G26" s="41"/>
      <c r="H26" s="39"/>
      <c r="I26" s="41"/>
      <c r="J26" s="85"/>
      <c r="K26" s="84">
        <f t="shared" si="7"/>
        <v>0</v>
      </c>
      <c r="L26" s="42"/>
      <c r="M26" s="32"/>
      <c r="X26" s="29">
        <f t="shared" si="8"/>
        <v>0</v>
      </c>
      <c r="Y26" s="29">
        <f t="shared" si="9"/>
        <v>0</v>
      </c>
    </row>
    <row r="27" spans="1:25" x14ac:dyDescent="0.3">
      <c r="A27" s="31"/>
      <c r="B27" s="38">
        <f t="shared" si="10"/>
        <v>4</v>
      </c>
      <c r="C27" s="39"/>
      <c r="D27" s="40"/>
      <c r="E27" s="40"/>
      <c r="F27" s="41"/>
      <c r="G27" s="41"/>
      <c r="H27" s="41"/>
      <c r="I27" s="41"/>
      <c r="J27" s="85"/>
      <c r="K27" s="84">
        <f t="shared" si="7"/>
        <v>0</v>
      </c>
      <c r="L27" s="42"/>
      <c r="M27" s="32"/>
      <c r="X27" s="29">
        <f t="shared" si="8"/>
        <v>0</v>
      </c>
      <c r="Y27" s="29">
        <f t="shared" si="9"/>
        <v>0</v>
      </c>
    </row>
    <row r="28" spans="1:25" x14ac:dyDescent="0.3">
      <c r="A28" s="31"/>
      <c r="B28" s="38">
        <f t="shared" si="10"/>
        <v>5</v>
      </c>
      <c r="C28" s="39"/>
      <c r="D28" s="40"/>
      <c r="E28" s="40"/>
      <c r="F28" s="41"/>
      <c r="G28" s="41"/>
      <c r="H28" s="41"/>
      <c r="I28" s="41"/>
      <c r="J28" s="85"/>
      <c r="K28" s="85">
        <f t="shared" ref="K28:K33" si="11">I28*J28</f>
        <v>0</v>
      </c>
      <c r="L28" s="42"/>
      <c r="M28" s="32"/>
      <c r="X28" s="29">
        <f t="shared" si="8"/>
        <v>0</v>
      </c>
      <c r="Y28" s="29">
        <f t="shared" si="9"/>
        <v>0</v>
      </c>
    </row>
    <row r="29" spans="1:25" x14ac:dyDescent="0.3">
      <c r="A29" s="31"/>
      <c r="B29" s="38">
        <f t="shared" si="10"/>
        <v>6</v>
      </c>
      <c r="C29" s="39"/>
      <c r="D29" s="40"/>
      <c r="E29" s="40"/>
      <c r="F29" s="41"/>
      <c r="G29" s="41"/>
      <c r="H29" s="41"/>
      <c r="I29" s="41"/>
      <c r="J29" s="85"/>
      <c r="K29" s="85">
        <f t="shared" si="11"/>
        <v>0</v>
      </c>
      <c r="L29" s="42"/>
      <c r="M29" s="32"/>
      <c r="X29" s="29">
        <f t="shared" si="8"/>
        <v>0</v>
      </c>
      <c r="Y29" s="29">
        <f t="shared" si="9"/>
        <v>0</v>
      </c>
    </row>
    <row r="30" spans="1:25" x14ac:dyDescent="0.3">
      <c r="A30" s="31"/>
      <c r="B30" s="38">
        <f t="shared" si="10"/>
        <v>7</v>
      </c>
      <c r="C30" s="39"/>
      <c r="D30" s="40"/>
      <c r="E30" s="40"/>
      <c r="F30" s="41"/>
      <c r="G30" s="41"/>
      <c r="H30" s="41"/>
      <c r="I30" s="41"/>
      <c r="J30" s="85"/>
      <c r="K30" s="85">
        <f t="shared" si="11"/>
        <v>0</v>
      </c>
      <c r="L30" s="42"/>
      <c r="M30" s="32"/>
      <c r="X30" s="29">
        <f t="shared" si="8"/>
        <v>0</v>
      </c>
      <c r="Y30" s="29">
        <f t="shared" si="9"/>
        <v>0</v>
      </c>
    </row>
    <row r="31" spans="1:25" x14ac:dyDescent="0.3">
      <c r="A31" s="31"/>
      <c r="B31" s="38">
        <f t="shared" si="10"/>
        <v>8</v>
      </c>
      <c r="C31" s="39"/>
      <c r="D31" s="40"/>
      <c r="E31" s="40"/>
      <c r="F31" s="41"/>
      <c r="G31" s="41"/>
      <c r="H31" s="41"/>
      <c r="I31" s="41"/>
      <c r="J31" s="85"/>
      <c r="K31" s="85">
        <f t="shared" si="11"/>
        <v>0</v>
      </c>
      <c r="L31" s="42"/>
      <c r="M31" s="32"/>
      <c r="X31" s="29">
        <f t="shared" si="8"/>
        <v>0</v>
      </c>
      <c r="Y31" s="29">
        <f t="shared" si="9"/>
        <v>0</v>
      </c>
    </row>
    <row r="32" spans="1:25" x14ac:dyDescent="0.3">
      <c r="A32" s="31"/>
      <c r="B32" s="38">
        <f t="shared" si="10"/>
        <v>9</v>
      </c>
      <c r="C32" s="39"/>
      <c r="D32" s="40"/>
      <c r="E32" s="40"/>
      <c r="F32" s="41"/>
      <c r="G32" s="41"/>
      <c r="H32" s="41"/>
      <c r="I32" s="41"/>
      <c r="J32" s="85"/>
      <c r="K32" s="85">
        <f t="shared" si="11"/>
        <v>0</v>
      </c>
      <c r="L32" s="42"/>
      <c r="M32" s="32"/>
      <c r="X32" s="29">
        <f t="shared" si="8"/>
        <v>0</v>
      </c>
      <c r="Y32" s="29">
        <f t="shared" si="9"/>
        <v>0</v>
      </c>
    </row>
    <row r="33" spans="1:25" ht="15" thickBot="1" x14ac:dyDescent="0.35">
      <c r="A33" s="31"/>
      <c r="B33" s="38">
        <f t="shared" si="10"/>
        <v>10</v>
      </c>
      <c r="C33" s="39"/>
      <c r="D33" s="40"/>
      <c r="E33" s="40"/>
      <c r="F33" s="41"/>
      <c r="G33" s="41"/>
      <c r="H33" s="41"/>
      <c r="I33" s="41"/>
      <c r="J33" s="85"/>
      <c r="K33" s="85">
        <f t="shared" si="11"/>
        <v>0</v>
      </c>
      <c r="L33" s="42"/>
      <c r="M33" s="32"/>
      <c r="X33" s="29">
        <f t="shared" si="8"/>
        <v>0</v>
      </c>
      <c r="Y33" s="29">
        <f t="shared" si="9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-30000</v>
      </c>
      <c r="L34" s="86"/>
      <c r="M34" s="32"/>
      <c r="X34" s="29">
        <f>SUM(X24:X33)</f>
        <v>1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42979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95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ht="15" thickBot="1" x14ac:dyDescent="0.35">
      <c r="A42" s="31"/>
      <c r="B42" s="33">
        <v>1</v>
      </c>
      <c r="C42" s="34">
        <v>42983</v>
      </c>
      <c r="D42" s="35" t="s">
        <v>20</v>
      </c>
      <c r="E42" s="35" t="s">
        <v>606</v>
      </c>
      <c r="F42" s="105">
        <v>6.5</v>
      </c>
      <c r="G42" s="105">
        <v>10</v>
      </c>
      <c r="H42" s="34">
        <v>42986</v>
      </c>
      <c r="I42" s="36">
        <v>3084</v>
      </c>
      <c r="J42" s="107">
        <f>G42-F42</f>
        <v>3.5</v>
      </c>
      <c r="K42" s="84">
        <f>I42*J42</f>
        <v>10794</v>
      </c>
      <c r="L42" s="37" t="s">
        <v>198</v>
      </c>
      <c r="M42" s="32"/>
      <c r="X42" s="29">
        <f>IF($L42&gt;0,1,0)</f>
        <v>1</v>
      </c>
      <c r="Y42" s="29">
        <f>IF($L42&lt;0,1,0)</f>
        <v>0</v>
      </c>
    </row>
    <row r="43" spans="1:25" ht="15" thickBot="1" x14ac:dyDescent="0.35">
      <c r="A43" s="31"/>
      <c r="B43" s="38">
        <f>B42+1</f>
        <v>2</v>
      </c>
      <c r="C43" s="39">
        <v>42989</v>
      </c>
      <c r="D43" s="40" t="s">
        <v>8</v>
      </c>
      <c r="E43" s="40" t="s">
        <v>606</v>
      </c>
      <c r="F43" s="106">
        <v>5.5</v>
      </c>
      <c r="G43" s="106">
        <v>3</v>
      </c>
      <c r="H43" s="39">
        <v>42990</v>
      </c>
      <c r="I43" s="41">
        <v>3084</v>
      </c>
      <c r="J43" s="108">
        <v>-2.5</v>
      </c>
      <c r="K43" s="84">
        <f t="shared" ref="K43:K46" si="12">I43*J43</f>
        <v>-7710</v>
      </c>
      <c r="L43" s="42" t="s">
        <v>197</v>
      </c>
      <c r="M43" s="32"/>
      <c r="X43" s="29">
        <f t="shared" ref="X43:X51" si="13">IF($L43&gt;0,1,0)</f>
        <v>1</v>
      </c>
      <c r="Y43" s="29">
        <f t="shared" ref="Y43:Y51" si="14">IF($L43&lt;0,1,0)</f>
        <v>0</v>
      </c>
    </row>
    <row r="44" spans="1:25" ht="15" thickBot="1" x14ac:dyDescent="0.35">
      <c r="A44" s="31"/>
      <c r="B44" s="38">
        <f t="shared" ref="B44:B51" si="15">B43+1</f>
        <v>3</v>
      </c>
      <c r="C44" s="39">
        <v>42992</v>
      </c>
      <c r="D44" s="40" t="s">
        <v>8</v>
      </c>
      <c r="E44" s="40" t="s">
        <v>607</v>
      </c>
      <c r="F44" s="106">
        <v>5.5</v>
      </c>
      <c r="G44" s="106">
        <v>3</v>
      </c>
      <c r="H44" s="39">
        <v>42993</v>
      </c>
      <c r="I44" s="41">
        <v>3084</v>
      </c>
      <c r="J44" s="85">
        <v>-2.5</v>
      </c>
      <c r="K44" s="84">
        <f t="shared" si="12"/>
        <v>-7710</v>
      </c>
      <c r="L44" s="42" t="s">
        <v>197</v>
      </c>
      <c r="M44" s="32"/>
      <c r="X44" s="29">
        <f t="shared" si="13"/>
        <v>1</v>
      </c>
      <c r="Y44" s="29">
        <f t="shared" si="14"/>
        <v>0</v>
      </c>
    </row>
    <row r="45" spans="1:25" ht="15" thickBot="1" x14ac:dyDescent="0.35">
      <c r="A45" s="31"/>
      <c r="B45" s="38">
        <f t="shared" si="15"/>
        <v>4</v>
      </c>
      <c r="C45" s="39">
        <v>43004</v>
      </c>
      <c r="D45" s="40" t="s">
        <v>8</v>
      </c>
      <c r="E45" s="40" t="s">
        <v>608</v>
      </c>
      <c r="F45" s="106">
        <v>3.5</v>
      </c>
      <c r="G45" s="106">
        <v>5.5</v>
      </c>
      <c r="H45" s="39" t="s">
        <v>609</v>
      </c>
      <c r="I45" s="41">
        <v>4800</v>
      </c>
      <c r="J45" s="85">
        <v>2</v>
      </c>
      <c r="K45" s="84">
        <f t="shared" si="12"/>
        <v>9600</v>
      </c>
      <c r="L45" s="42" t="s">
        <v>198</v>
      </c>
      <c r="M45" s="32"/>
      <c r="X45" s="29">
        <f t="shared" si="13"/>
        <v>1</v>
      </c>
      <c r="Y45" s="29">
        <f t="shared" si="14"/>
        <v>0</v>
      </c>
    </row>
    <row r="46" spans="1:25" x14ac:dyDescent="0.3">
      <c r="A46" s="31"/>
      <c r="B46" s="38">
        <f t="shared" si="15"/>
        <v>5</v>
      </c>
      <c r="C46" s="39"/>
      <c r="D46" s="40"/>
      <c r="E46" s="40"/>
      <c r="F46" s="106"/>
      <c r="G46" s="106"/>
      <c r="H46" s="39"/>
      <c r="I46" s="41"/>
      <c r="J46" s="85"/>
      <c r="K46" s="84">
        <f t="shared" si="12"/>
        <v>0</v>
      </c>
      <c r="L46" s="42"/>
      <c r="M46" s="32"/>
      <c r="X46" s="29">
        <f t="shared" si="13"/>
        <v>0</v>
      </c>
      <c r="Y46" s="29">
        <f t="shared" si="14"/>
        <v>0</v>
      </c>
    </row>
    <row r="47" spans="1:25" x14ac:dyDescent="0.3">
      <c r="A47" s="31"/>
      <c r="B47" s="38">
        <f t="shared" si="15"/>
        <v>6</v>
      </c>
      <c r="C47" s="39"/>
      <c r="D47" s="40"/>
      <c r="E47" s="40"/>
      <c r="F47" s="106"/>
      <c r="G47" s="106"/>
      <c r="H47" s="41"/>
      <c r="I47" s="41"/>
      <c r="J47" s="85"/>
      <c r="K47" s="85">
        <f t="shared" ref="K47:K51" si="16">I47*J47</f>
        <v>0</v>
      </c>
      <c r="L47" s="42"/>
      <c r="M47" s="32"/>
      <c r="X47" s="29">
        <f t="shared" si="13"/>
        <v>0</v>
      </c>
      <c r="Y47" s="29">
        <f t="shared" si="14"/>
        <v>0</v>
      </c>
    </row>
    <row r="48" spans="1:25" x14ac:dyDescent="0.3">
      <c r="A48" s="31"/>
      <c r="B48" s="38">
        <f t="shared" si="15"/>
        <v>7</v>
      </c>
      <c r="C48" s="39"/>
      <c r="D48" s="40"/>
      <c r="E48" s="40"/>
      <c r="F48" s="41"/>
      <c r="G48" s="41"/>
      <c r="H48" s="41"/>
      <c r="I48" s="41"/>
      <c r="J48" s="85"/>
      <c r="K48" s="85">
        <f t="shared" si="16"/>
        <v>0</v>
      </c>
      <c r="L48" s="42"/>
      <c r="M48" s="32"/>
      <c r="X48" s="29">
        <f t="shared" si="13"/>
        <v>0</v>
      </c>
      <c r="Y48" s="29">
        <f t="shared" si="14"/>
        <v>0</v>
      </c>
    </row>
    <row r="49" spans="1:25" x14ac:dyDescent="0.3">
      <c r="A49" s="31"/>
      <c r="B49" s="38">
        <f t="shared" si="15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16"/>
        <v>0</v>
      </c>
      <c r="L49" s="42"/>
      <c r="M49" s="32"/>
      <c r="X49" s="29">
        <f t="shared" si="13"/>
        <v>0</v>
      </c>
      <c r="Y49" s="29">
        <f t="shared" si="14"/>
        <v>0</v>
      </c>
    </row>
    <row r="50" spans="1:25" x14ac:dyDescent="0.3">
      <c r="A50" s="31"/>
      <c r="B50" s="38">
        <f t="shared" si="15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6"/>
        <v>0</v>
      </c>
      <c r="L50" s="42"/>
      <c r="M50" s="32"/>
      <c r="X50" s="29">
        <f t="shared" si="13"/>
        <v>0</v>
      </c>
      <c r="Y50" s="29">
        <f t="shared" si="14"/>
        <v>0</v>
      </c>
    </row>
    <row r="51" spans="1:25" ht="15" thickBot="1" x14ac:dyDescent="0.35">
      <c r="A51" s="31"/>
      <c r="B51" s="38">
        <f t="shared" si="15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6"/>
        <v>0</v>
      </c>
      <c r="L51" s="42"/>
      <c r="M51" s="32"/>
      <c r="X51" s="29">
        <f t="shared" si="13"/>
        <v>0</v>
      </c>
      <c r="Y51" s="29">
        <f t="shared" si="14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4974</v>
      </c>
      <c r="L52" s="86"/>
      <c r="M52" s="32"/>
      <c r="X52" s="29">
        <f>SUM(X42:X51)</f>
        <v>4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3600-000000000000}"/>
    <hyperlink ref="O1" location="'Home Page'!A1" display="Back" xr:uid="{00000000-0004-0000-3600-000001000000}"/>
    <hyperlink ref="B34" r:id="rId2" xr:uid="{00000000-0004-0000-3600-000002000000}"/>
    <hyperlink ref="B52" r:id="rId3" xr:uid="{00000000-0004-0000-3600-000003000000}"/>
  </hyperlinks>
  <pageMargins left="0" right="0" top="0" bottom="0" header="0" footer="0"/>
  <pageSetup paperSize="9" orientation="portrait" r:id="rId4"/>
  <drawing r:id="rId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Y53"/>
  <sheetViews>
    <sheetView workbookViewId="0">
      <selection activeCell="B40" sqref="B40:L40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43009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0</v>
      </c>
      <c r="Q4" s="208">
        <v>0</v>
      </c>
      <c r="R4" s="208">
        <v>0</v>
      </c>
      <c r="S4" s="209">
        <v>0</v>
      </c>
      <c r="T4" s="195" t="e">
        <f>Q4/P4</f>
        <v>#DIV/0!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94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95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thickBot="1" x14ac:dyDescent="0.35">
      <c r="A6" s="31"/>
      <c r="B6" s="33">
        <v>1</v>
      </c>
      <c r="C6" s="34"/>
      <c r="D6" s="35"/>
      <c r="E6" s="35"/>
      <c r="F6" s="105"/>
      <c r="G6" s="105"/>
      <c r="H6" s="34"/>
      <c r="I6" s="36"/>
      <c r="J6" s="107"/>
      <c r="K6" s="84"/>
      <c r="L6" s="37"/>
      <c r="M6" s="32"/>
      <c r="O6" s="198" t="s">
        <v>599</v>
      </c>
      <c r="P6" s="199">
        <f>COUNT(C24:C33)</f>
        <v>0</v>
      </c>
      <c r="Q6" s="200">
        <v>0</v>
      </c>
      <c r="R6" s="200">
        <v>0</v>
      </c>
      <c r="S6" s="201">
        <f>P6-Q6-R6</f>
        <v>0</v>
      </c>
      <c r="T6" s="197" t="e">
        <f t="shared" ref="T6" si="0">Q6/P6</f>
        <v>#DIV/0!</v>
      </c>
      <c r="X6" s="29">
        <f>IF($L6&gt;0,1,0)</f>
        <v>0</v>
      </c>
      <c r="Y6" s="29">
        <f>IF($L6&lt;0,1,0)</f>
        <v>0</v>
      </c>
    </row>
    <row r="7" spans="1:25" ht="15" thickBot="1" x14ac:dyDescent="0.35">
      <c r="A7" s="31"/>
      <c r="B7" s="38">
        <f>B6+1</f>
        <v>2</v>
      </c>
      <c r="C7" s="39"/>
      <c r="D7" s="40"/>
      <c r="E7" s="40"/>
      <c r="F7" s="105"/>
      <c r="G7" s="106"/>
      <c r="H7" s="39"/>
      <c r="I7" s="41"/>
      <c r="J7" s="85"/>
      <c r="K7" s="85"/>
      <c r="L7" s="42"/>
      <c r="M7" s="32"/>
      <c r="O7" s="198"/>
      <c r="P7" s="199"/>
      <c r="Q7" s="200"/>
      <c r="R7" s="200"/>
      <c r="S7" s="202"/>
      <c r="T7" s="197"/>
      <c r="X7" s="29">
        <f t="shared" ref="X7:X10" si="1">IF($L7&gt;0,1,0)</f>
        <v>0</v>
      </c>
      <c r="Y7" s="29">
        <f t="shared" ref="Y7:Y10" si="2">IF($L7&lt;0,1,0)</f>
        <v>0</v>
      </c>
    </row>
    <row r="8" spans="1:25" x14ac:dyDescent="0.3">
      <c r="A8" s="31"/>
      <c r="B8" s="38">
        <f t="shared" ref="B8:B15" si="3">B7+1</f>
        <v>3</v>
      </c>
      <c r="C8" s="39"/>
      <c r="D8" s="40"/>
      <c r="E8" s="40"/>
      <c r="F8" s="105"/>
      <c r="G8" s="106"/>
      <c r="H8" s="39"/>
      <c r="I8" s="41"/>
      <c r="J8" s="85"/>
      <c r="K8" s="85"/>
      <c r="L8" s="42"/>
      <c r="M8" s="32"/>
      <c r="O8" s="198" t="s">
        <v>600</v>
      </c>
      <c r="P8" s="199">
        <f>COUNT(C42:C51)</f>
        <v>1</v>
      </c>
      <c r="Q8" s="200">
        <v>1</v>
      </c>
      <c r="R8" s="200">
        <v>0</v>
      </c>
      <c r="S8" s="201">
        <f>P8-Q8-R8</f>
        <v>0</v>
      </c>
      <c r="T8" s="197">
        <f t="shared" ref="T8" si="4">Q8/P8</f>
        <v>1</v>
      </c>
      <c r="X8" s="29">
        <f t="shared" si="1"/>
        <v>0</v>
      </c>
      <c r="Y8" s="29">
        <f t="shared" si="2"/>
        <v>0</v>
      </c>
    </row>
    <row r="9" spans="1:25" ht="15" thickBot="1" x14ac:dyDescent="0.35">
      <c r="A9" s="31"/>
      <c r="B9" s="38">
        <f t="shared" si="3"/>
        <v>4</v>
      </c>
      <c r="C9" s="39"/>
      <c r="D9" s="40"/>
      <c r="E9" s="40"/>
      <c r="F9" s="106"/>
      <c r="G9" s="106"/>
      <c r="H9" s="41"/>
      <c r="I9" s="41"/>
      <c r="J9" s="85"/>
      <c r="K9" s="85"/>
      <c r="L9" s="42"/>
      <c r="M9" s="32"/>
      <c r="O9" s="203"/>
      <c r="P9" s="199"/>
      <c r="Q9" s="200"/>
      <c r="R9" s="200"/>
      <c r="S9" s="202"/>
      <c r="T9" s="197"/>
      <c r="X9" s="29">
        <f t="shared" si="1"/>
        <v>0</v>
      </c>
      <c r="Y9" s="29">
        <f t="shared" si="2"/>
        <v>0</v>
      </c>
    </row>
    <row r="10" spans="1:25" x14ac:dyDescent="0.3">
      <c r="A10" s="31"/>
      <c r="B10" s="38">
        <f t="shared" si="3"/>
        <v>5</v>
      </c>
      <c r="C10" s="39"/>
      <c r="D10" s="40"/>
      <c r="E10" s="40"/>
      <c r="F10" s="106"/>
      <c r="G10" s="106"/>
      <c r="H10" s="41"/>
      <c r="I10" s="41"/>
      <c r="J10" s="85"/>
      <c r="K10" s="85"/>
      <c r="L10" s="42"/>
      <c r="M10" s="32"/>
      <c r="O10" s="171" t="s">
        <v>575</v>
      </c>
      <c r="P10" s="173">
        <f>SUM(P4:P9)</f>
        <v>1</v>
      </c>
      <c r="Q10" s="173">
        <f>SUM(Q4:Q9)</f>
        <v>1</v>
      </c>
      <c r="R10" s="173">
        <f>SUM(R4:R9)</f>
        <v>0</v>
      </c>
      <c r="S10" s="193">
        <f>SUM(S4:S9)</f>
        <v>0</v>
      </c>
      <c r="T10" s="195">
        <f t="shared" ref="T10" si="5">Q10/P10</f>
        <v>1</v>
      </c>
      <c r="X10" s="29">
        <f t="shared" si="1"/>
        <v>0</v>
      </c>
      <c r="Y10" s="29">
        <f t="shared" si="2"/>
        <v>0</v>
      </c>
    </row>
    <row r="11" spans="1:25" ht="15" thickBot="1" x14ac:dyDescent="0.35">
      <c r="A11" s="31"/>
      <c r="B11" s="38">
        <f t="shared" si="3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3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3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3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0</v>
      </c>
      <c r="L16" s="86"/>
      <c r="M16" s="32"/>
      <c r="X16" s="29">
        <f>SUM(X6:X15)</f>
        <v>0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43009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95" t="s">
        <v>10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/>
      <c r="D24" s="35"/>
      <c r="E24" s="35"/>
      <c r="F24" s="36"/>
      <c r="G24" s="36"/>
      <c r="H24" s="34"/>
      <c r="I24" s="36"/>
      <c r="J24" s="84"/>
      <c r="K24" s="84"/>
      <c r="L24" s="37"/>
      <c r="M24" s="32"/>
      <c r="X24" s="29">
        <f>IF($L24&gt;0,1,0)</f>
        <v>0</v>
      </c>
      <c r="Y24" s="29">
        <f>IF($L24&lt;0,1,0)</f>
        <v>0</v>
      </c>
    </row>
    <row r="25" spans="1:25" ht="15" thickBot="1" x14ac:dyDescent="0.35">
      <c r="A25" s="31"/>
      <c r="B25" s="38">
        <f>B24+1</f>
        <v>2</v>
      </c>
      <c r="C25" s="39"/>
      <c r="D25" s="40"/>
      <c r="E25" s="40"/>
      <c r="F25" s="41"/>
      <c r="G25" s="41"/>
      <c r="H25" s="39"/>
      <c r="I25" s="41"/>
      <c r="J25" s="85"/>
      <c r="K25" s="84"/>
      <c r="L25" s="42"/>
      <c r="M25" s="32"/>
      <c r="X25" s="29">
        <f t="shared" ref="X25:X33" si="6">IF($L25&gt;0,1,0)</f>
        <v>0</v>
      </c>
      <c r="Y25" s="29">
        <f t="shared" ref="Y25:Y33" si="7">IF($L25&lt;0,1,0)</f>
        <v>0</v>
      </c>
    </row>
    <row r="26" spans="1:25" ht="15" thickBot="1" x14ac:dyDescent="0.35">
      <c r="A26" s="31"/>
      <c r="B26" s="38">
        <f t="shared" ref="B26:B33" si="8">B25+1</f>
        <v>3</v>
      </c>
      <c r="C26" s="39"/>
      <c r="D26" s="40"/>
      <c r="E26" s="40"/>
      <c r="F26" s="41"/>
      <c r="G26" s="41"/>
      <c r="H26" s="39"/>
      <c r="I26" s="41"/>
      <c r="J26" s="85"/>
      <c r="K26" s="84"/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8"/>
        <v>4</v>
      </c>
      <c r="C27" s="39"/>
      <c r="D27" s="40"/>
      <c r="E27" s="40"/>
      <c r="F27" s="41"/>
      <c r="G27" s="41"/>
      <c r="H27" s="41"/>
      <c r="I27" s="41"/>
      <c r="J27" s="85"/>
      <c r="K27" s="84"/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8"/>
        <v>5</v>
      </c>
      <c r="C28" s="39"/>
      <c r="D28" s="40"/>
      <c r="E28" s="40"/>
      <c r="F28" s="41"/>
      <c r="G28" s="41"/>
      <c r="H28" s="41"/>
      <c r="I28" s="41"/>
      <c r="J28" s="85"/>
      <c r="K28" s="85"/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8"/>
        <v>6</v>
      </c>
      <c r="C29" s="39"/>
      <c r="D29" s="40"/>
      <c r="E29" s="40"/>
      <c r="F29" s="41"/>
      <c r="G29" s="41"/>
      <c r="H29" s="41"/>
      <c r="I29" s="41"/>
      <c r="J29" s="85"/>
      <c r="K29" s="85"/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8"/>
        <v>7</v>
      </c>
      <c r="C30" s="39"/>
      <c r="D30" s="40"/>
      <c r="E30" s="40"/>
      <c r="F30" s="41"/>
      <c r="G30" s="41"/>
      <c r="H30" s="41"/>
      <c r="I30" s="41"/>
      <c r="J30" s="85"/>
      <c r="K30" s="85"/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8"/>
        <v>8</v>
      </c>
      <c r="C31" s="39"/>
      <c r="D31" s="40"/>
      <c r="E31" s="40"/>
      <c r="F31" s="41"/>
      <c r="G31" s="41"/>
      <c r="H31" s="41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8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8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0</v>
      </c>
      <c r="L34" s="86"/>
      <c r="M34" s="32"/>
      <c r="X34" s="29">
        <f>SUM(X24:X33)</f>
        <v>0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43009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95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ht="15" thickBot="1" x14ac:dyDescent="0.35">
      <c r="A42" s="31"/>
      <c r="B42" s="33">
        <v>1</v>
      </c>
      <c r="C42" s="34">
        <v>43014</v>
      </c>
      <c r="D42" s="35" t="s">
        <v>20</v>
      </c>
      <c r="E42" s="35" t="s">
        <v>488</v>
      </c>
      <c r="F42" s="105">
        <v>4</v>
      </c>
      <c r="G42" s="105">
        <v>8</v>
      </c>
      <c r="H42" s="34">
        <v>43020</v>
      </c>
      <c r="I42" s="36">
        <v>5500</v>
      </c>
      <c r="J42" s="107">
        <v>4</v>
      </c>
      <c r="K42" s="84">
        <f>I42*J42</f>
        <v>22000</v>
      </c>
      <c r="L42" s="37" t="s">
        <v>195</v>
      </c>
      <c r="M42" s="32"/>
      <c r="X42" s="29">
        <f>IF($L42&gt;0,1,0)</f>
        <v>1</v>
      </c>
      <c r="Y42" s="29">
        <f>IF($L42&lt;0,1,0)</f>
        <v>0</v>
      </c>
    </row>
    <row r="43" spans="1:25" ht="15" thickBot="1" x14ac:dyDescent="0.35">
      <c r="A43" s="31"/>
      <c r="B43" s="38">
        <f>B42+1</f>
        <v>2</v>
      </c>
      <c r="C43" s="39"/>
      <c r="D43" s="40"/>
      <c r="E43" s="40"/>
      <c r="F43" s="106"/>
      <c r="G43" s="106"/>
      <c r="H43" s="39"/>
      <c r="I43" s="41"/>
      <c r="J43" s="108"/>
      <c r="K43" s="84">
        <f t="shared" ref="K43:K51" si="9">I43*J43</f>
        <v>0</v>
      </c>
      <c r="L43" s="42">
        <v>0</v>
      </c>
      <c r="M43" s="32"/>
      <c r="X43" s="29">
        <f t="shared" ref="X43:X51" si="10">IF($L43&gt;0,1,0)</f>
        <v>0</v>
      </c>
      <c r="Y43" s="29">
        <f t="shared" ref="Y43:Y51" si="11">IF($L43&lt;0,1,0)</f>
        <v>0</v>
      </c>
    </row>
    <row r="44" spans="1:25" ht="15" thickBot="1" x14ac:dyDescent="0.35">
      <c r="A44" s="31"/>
      <c r="B44" s="38">
        <f t="shared" ref="B44:B51" si="12">B43+1</f>
        <v>3</v>
      </c>
      <c r="C44" s="39"/>
      <c r="D44" s="40"/>
      <c r="E44" s="40"/>
      <c r="F44" s="106"/>
      <c r="G44" s="106"/>
      <c r="H44" s="39"/>
      <c r="I44" s="41"/>
      <c r="J44" s="85"/>
      <c r="K44" s="84">
        <f t="shared" si="9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ht="15" thickBot="1" x14ac:dyDescent="0.35">
      <c r="A45" s="31"/>
      <c r="B45" s="38">
        <f t="shared" si="12"/>
        <v>4</v>
      </c>
      <c r="C45" s="39"/>
      <c r="D45" s="40"/>
      <c r="E45" s="40"/>
      <c r="F45" s="106"/>
      <c r="G45" s="106"/>
      <c r="H45" s="39"/>
      <c r="I45" s="41"/>
      <c r="J45" s="85"/>
      <c r="K45" s="84">
        <f t="shared" si="9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2"/>
        <v>5</v>
      </c>
      <c r="C46" s="39"/>
      <c r="D46" s="40"/>
      <c r="E46" s="40"/>
      <c r="F46" s="106"/>
      <c r="G46" s="106"/>
      <c r="H46" s="39"/>
      <c r="I46" s="41"/>
      <c r="J46" s="85"/>
      <c r="K46" s="84">
        <f t="shared" si="9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2"/>
        <v>6</v>
      </c>
      <c r="C47" s="39"/>
      <c r="D47" s="40"/>
      <c r="E47" s="40"/>
      <c r="F47" s="106"/>
      <c r="G47" s="106"/>
      <c r="H47" s="41"/>
      <c r="I47" s="41"/>
      <c r="J47" s="85"/>
      <c r="K47" s="85">
        <f t="shared" si="9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2"/>
        <v>7</v>
      </c>
      <c r="C48" s="39"/>
      <c r="D48" s="40"/>
      <c r="E48" s="40"/>
      <c r="F48" s="41"/>
      <c r="G48" s="41"/>
      <c r="H48" s="41"/>
      <c r="I48" s="41"/>
      <c r="J48" s="85"/>
      <c r="K48" s="85">
        <f t="shared" si="9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2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9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2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9"/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2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9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22000</v>
      </c>
      <c r="L52" s="86"/>
      <c r="M52" s="32"/>
      <c r="X52" s="29">
        <f>SUM(X42:X51)</f>
        <v>1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3700-000000000000}"/>
    <hyperlink ref="O1" location="'Home Page'!A1" display="Back" xr:uid="{00000000-0004-0000-3700-000001000000}"/>
    <hyperlink ref="B34" r:id="rId2" xr:uid="{00000000-0004-0000-3700-000002000000}"/>
    <hyperlink ref="B52" r:id="rId3" xr:uid="{00000000-0004-0000-3700-000003000000}"/>
  </hyperlinks>
  <pageMargins left="0" right="0" top="0" bottom="0" header="0" footer="0"/>
  <pageSetup paperSize="9" orientation="portrait" r:id="rId4"/>
  <drawing r:id="rId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Y53"/>
  <sheetViews>
    <sheetView topLeftCell="A28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43040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v>3</v>
      </c>
      <c r="R4" s="208">
        <v>0</v>
      </c>
      <c r="S4" s="209"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94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95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thickBot="1" x14ac:dyDescent="0.35">
      <c r="A6" s="31"/>
      <c r="B6" s="33">
        <v>1</v>
      </c>
      <c r="C6" s="34">
        <v>43047</v>
      </c>
      <c r="D6" s="35" t="s">
        <v>20</v>
      </c>
      <c r="E6" s="35" t="s">
        <v>418</v>
      </c>
      <c r="F6" s="105">
        <v>387</v>
      </c>
      <c r="G6" s="105">
        <v>397</v>
      </c>
      <c r="H6" s="34">
        <v>43047</v>
      </c>
      <c r="I6" s="36">
        <v>6168</v>
      </c>
      <c r="J6" s="107">
        <v>10</v>
      </c>
      <c r="K6" s="84">
        <f>I6*J6</f>
        <v>61680</v>
      </c>
      <c r="L6" s="37" t="s">
        <v>198</v>
      </c>
      <c r="M6" s="32"/>
      <c r="O6" s="198" t="s">
        <v>599</v>
      </c>
      <c r="P6" s="199">
        <f>COUNT(C24:C33)</f>
        <v>3</v>
      </c>
      <c r="Q6" s="200">
        <v>1</v>
      </c>
      <c r="R6" s="200">
        <v>0</v>
      </c>
      <c r="S6" s="201">
        <f>P6-Q6-R6</f>
        <v>2</v>
      </c>
      <c r="T6" s="197">
        <f t="shared" ref="T6" si="0">Q6/P6</f>
        <v>0.33333333333333331</v>
      </c>
      <c r="X6" s="29">
        <f>IF($L6&gt;0,1,0)</f>
        <v>1</v>
      </c>
      <c r="Y6" s="29">
        <f>IF($L6&lt;0,1,0)</f>
        <v>0</v>
      </c>
    </row>
    <row r="7" spans="1:25" ht="15" thickBot="1" x14ac:dyDescent="0.35">
      <c r="A7" s="31"/>
      <c r="B7" s="38">
        <f>B6+1</f>
        <v>2</v>
      </c>
      <c r="C7" s="39">
        <v>43053</v>
      </c>
      <c r="D7" s="40" t="s">
        <v>8</v>
      </c>
      <c r="E7" s="40" t="s">
        <v>418</v>
      </c>
      <c r="F7" s="105">
        <v>378</v>
      </c>
      <c r="G7" s="106">
        <v>382</v>
      </c>
      <c r="H7" s="39">
        <v>43054</v>
      </c>
      <c r="I7" s="41">
        <v>6168</v>
      </c>
      <c r="J7" s="85">
        <v>4</v>
      </c>
      <c r="K7" s="84">
        <f t="shared" ref="K7:K8" si="1">I7*J7</f>
        <v>24672</v>
      </c>
      <c r="L7" s="42" t="s">
        <v>403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43062</v>
      </c>
      <c r="D8" s="40" t="s">
        <v>8</v>
      </c>
      <c r="E8" s="40" t="s">
        <v>418</v>
      </c>
      <c r="F8" s="105">
        <v>394</v>
      </c>
      <c r="G8" s="106">
        <v>398</v>
      </c>
      <c r="H8" s="39">
        <v>43063</v>
      </c>
      <c r="I8" s="41">
        <v>6168</v>
      </c>
      <c r="J8" s="85">
        <v>4</v>
      </c>
      <c r="K8" s="84">
        <f t="shared" si="1"/>
        <v>24672</v>
      </c>
      <c r="L8" s="42" t="s">
        <v>403</v>
      </c>
      <c r="M8" s="32"/>
      <c r="O8" s="198" t="s">
        <v>600</v>
      </c>
      <c r="P8" s="199">
        <f>COUNT(C42:C51)</f>
        <v>4</v>
      </c>
      <c r="Q8" s="200">
        <v>3</v>
      </c>
      <c r="R8" s="200">
        <v>1</v>
      </c>
      <c r="S8" s="201">
        <v>0</v>
      </c>
      <c r="T8" s="197">
        <f t="shared" ref="T8" si="5">Q8/P8</f>
        <v>0.75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06"/>
      <c r="G9" s="106"/>
      <c r="H9" s="41"/>
      <c r="I9" s="41"/>
      <c r="J9" s="85"/>
      <c r="K9" s="85"/>
      <c r="L9" s="42"/>
      <c r="M9" s="32"/>
      <c r="O9" s="203"/>
      <c r="P9" s="199"/>
      <c r="Q9" s="200"/>
      <c r="R9" s="200"/>
      <c r="S9" s="202"/>
      <c r="T9" s="19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41"/>
      <c r="I10" s="41"/>
      <c r="J10" s="85"/>
      <c r="K10" s="85"/>
      <c r="L10" s="42"/>
      <c r="M10" s="32"/>
      <c r="O10" s="171" t="s">
        <v>575</v>
      </c>
      <c r="P10" s="173">
        <f>SUM(P4:P9)</f>
        <v>10</v>
      </c>
      <c r="Q10" s="173">
        <v>7</v>
      </c>
      <c r="R10" s="173">
        <f>SUM(R4:R9)</f>
        <v>1</v>
      </c>
      <c r="S10" s="193">
        <v>0</v>
      </c>
      <c r="T10" s="195">
        <f t="shared" ref="T10" si="6">Q10/P10</f>
        <v>0.7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111024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43040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95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43045</v>
      </c>
      <c r="D24" s="35" t="s">
        <v>13</v>
      </c>
      <c r="E24" s="35" t="s">
        <v>30</v>
      </c>
      <c r="F24" s="36">
        <v>10520</v>
      </c>
      <c r="G24" s="36">
        <v>10360</v>
      </c>
      <c r="H24" s="34">
        <v>43047</v>
      </c>
      <c r="I24" s="36">
        <v>375</v>
      </c>
      <c r="J24" s="84">
        <f>F24-G24</f>
        <v>160</v>
      </c>
      <c r="K24" s="84">
        <f>I24*J24</f>
        <v>60000</v>
      </c>
      <c r="L24" s="37" t="s">
        <v>195</v>
      </c>
      <c r="M24" s="32"/>
      <c r="X24" s="29">
        <f>IF($L24&gt;0,1,0)</f>
        <v>1</v>
      </c>
      <c r="Y24" s="29">
        <f>IF($L24&lt;0,1,0)</f>
        <v>0</v>
      </c>
    </row>
    <row r="25" spans="1:25" ht="15" thickBot="1" x14ac:dyDescent="0.35">
      <c r="A25" s="31"/>
      <c r="B25" s="38">
        <f>B24+1</f>
        <v>2</v>
      </c>
      <c r="C25" s="39">
        <v>43060</v>
      </c>
      <c r="D25" s="40" t="s">
        <v>20</v>
      </c>
      <c r="E25" s="40" t="s">
        <v>30</v>
      </c>
      <c r="F25" s="41">
        <v>10350</v>
      </c>
      <c r="G25" s="41">
        <v>10420</v>
      </c>
      <c r="H25" s="39">
        <v>43063</v>
      </c>
      <c r="I25" s="41">
        <v>375</v>
      </c>
      <c r="J25" s="85">
        <v>70</v>
      </c>
      <c r="K25" s="84">
        <f t="shared" ref="K25:K26" si="7">I25*J25</f>
        <v>26250</v>
      </c>
      <c r="L25" s="42" t="s">
        <v>198</v>
      </c>
      <c r="M25" s="32"/>
      <c r="X25" s="29">
        <f t="shared" ref="X25:X33" si="8">IF($L25&gt;0,1,0)</f>
        <v>1</v>
      </c>
      <c r="Y25" s="29">
        <f t="shared" ref="Y25:Y33" si="9">IF($L25&lt;0,1,0)</f>
        <v>0</v>
      </c>
    </row>
    <row r="26" spans="1:25" ht="15" thickBot="1" x14ac:dyDescent="0.35">
      <c r="A26" s="31"/>
      <c r="B26" s="38">
        <f t="shared" ref="B26:B33" si="10">B25+1</f>
        <v>3</v>
      </c>
      <c r="C26" s="39">
        <v>43066</v>
      </c>
      <c r="D26" s="40" t="s">
        <v>8</v>
      </c>
      <c r="E26" s="40" t="s">
        <v>30</v>
      </c>
      <c r="F26" s="41">
        <v>10400</v>
      </c>
      <c r="G26" s="41">
        <v>10340</v>
      </c>
      <c r="H26" s="39">
        <v>43067</v>
      </c>
      <c r="I26" s="41">
        <v>375</v>
      </c>
      <c r="J26" s="85">
        <v>-60</v>
      </c>
      <c r="K26" s="84">
        <f t="shared" si="7"/>
        <v>-22500</v>
      </c>
      <c r="L26" s="42" t="s">
        <v>197</v>
      </c>
      <c r="M26" s="32"/>
      <c r="X26" s="29">
        <f t="shared" si="8"/>
        <v>1</v>
      </c>
      <c r="Y26" s="29">
        <f t="shared" si="9"/>
        <v>0</v>
      </c>
    </row>
    <row r="27" spans="1:25" x14ac:dyDescent="0.3">
      <c r="A27" s="31"/>
      <c r="B27" s="38">
        <f t="shared" si="10"/>
        <v>4</v>
      </c>
      <c r="C27" s="39"/>
      <c r="D27" s="40"/>
      <c r="E27" s="40"/>
      <c r="F27" s="41"/>
      <c r="G27" s="41"/>
      <c r="H27" s="41"/>
      <c r="I27" s="41"/>
      <c r="J27" s="85"/>
      <c r="K27" s="84"/>
      <c r="L27" s="42"/>
      <c r="M27" s="32"/>
      <c r="X27" s="29">
        <f t="shared" si="8"/>
        <v>0</v>
      </c>
      <c r="Y27" s="29">
        <f t="shared" si="9"/>
        <v>0</v>
      </c>
    </row>
    <row r="28" spans="1:25" x14ac:dyDescent="0.3">
      <c r="A28" s="31"/>
      <c r="B28" s="38">
        <f t="shared" si="10"/>
        <v>5</v>
      </c>
      <c r="C28" s="39"/>
      <c r="D28" s="40"/>
      <c r="E28" s="40"/>
      <c r="F28" s="41"/>
      <c r="G28" s="41"/>
      <c r="H28" s="41"/>
      <c r="I28" s="41"/>
      <c r="J28" s="85"/>
      <c r="K28" s="85"/>
      <c r="L28" s="42"/>
      <c r="M28" s="32"/>
      <c r="X28" s="29">
        <f t="shared" si="8"/>
        <v>0</v>
      </c>
      <c r="Y28" s="29">
        <f t="shared" si="9"/>
        <v>0</v>
      </c>
    </row>
    <row r="29" spans="1:25" x14ac:dyDescent="0.3">
      <c r="A29" s="31"/>
      <c r="B29" s="38">
        <f t="shared" si="10"/>
        <v>6</v>
      </c>
      <c r="C29" s="39"/>
      <c r="D29" s="40"/>
      <c r="E29" s="40"/>
      <c r="F29" s="41"/>
      <c r="G29" s="41"/>
      <c r="H29" s="41"/>
      <c r="I29" s="41"/>
      <c r="J29" s="85"/>
      <c r="K29" s="85"/>
      <c r="L29" s="42"/>
      <c r="M29" s="32"/>
      <c r="X29" s="29">
        <f t="shared" si="8"/>
        <v>0</v>
      </c>
      <c r="Y29" s="29">
        <f t="shared" si="9"/>
        <v>0</v>
      </c>
    </row>
    <row r="30" spans="1:25" x14ac:dyDescent="0.3">
      <c r="A30" s="31"/>
      <c r="B30" s="38">
        <f t="shared" si="10"/>
        <v>7</v>
      </c>
      <c r="C30" s="39"/>
      <c r="D30" s="40"/>
      <c r="E30" s="40"/>
      <c r="F30" s="41"/>
      <c r="G30" s="41"/>
      <c r="H30" s="41"/>
      <c r="I30" s="41"/>
      <c r="J30" s="85"/>
      <c r="K30" s="85"/>
      <c r="L30" s="42"/>
      <c r="M30" s="32"/>
      <c r="X30" s="29">
        <f t="shared" si="8"/>
        <v>0</v>
      </c>
      <c r="Y30" s="29">
        <f t="shared" si="9"/>
        <v>0</v>
      </c>
    </row>
    <row r="31" spans="1:25" x14ac:dyDescent="0.3">
      <c r="A31" s="31"/>
      <c r="B31" s="38">
        <f t="shared" si="10"/>
        <v>8</v>
      </c>
      <c r="C31" s="39"/>
      <c r="D31" s="40"/>
      <c r="E31" s="40"/>
      <c r="F31" s="41"/>
      <c r="G31" s="41"/>
      <c r="H31" s="41"/>
      <c r="I31" s="41"/>
      <c r="J31" s="85"/>
      <c r="K31" s="85"/>
      <c r="L31" s="42"/>
      <c r="M31" s="32"/>
      <c r="X31" s="29">
        <f t="shared" si="8"/>
        <v>0</v>
      </c>
      <c r="Y31" s="29">
        <f t="shared" si="9"/>
        <v>0</v>
      </c>
    </row>
    <row r="32" spans="1:25" x14ac:dyDescent="0.3">
      <c r="A32" s="31"/>
      <c r="B32" s="38">
        <f t="shared" si="10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8"/>
        <v>0</v>
      </c>
      <c r="Y32" s="29">
        <f t="shared" si="9"/>
        <v>0</v>
      </c>
    </row>
    <row r="33" spans="1:25" ht="15" thickBot="1" x14ac:dyDescent="0.35">
      <c r="A33" s="31"/>
      <c r="B33" s="38">
        <f t="shared" si="10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8"/>
        <v>0</v>
      </c>
      <c r="Y33" s="29">
        <f t="shared" si="9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63750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43040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95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ht="15" thickBot="1" x14ac:dyDescent="0.35">
      <c r="A42" s="31"/>
      <c r="B42" s="33">
        <v>1</v>
      </c>
      <c r="C42" s="34">
        <v>43045</v>
      </c>
      <c r="D42" s="35" t="s">
        <v>20</v>
      </c>
      <c r="E42" s="35" t="s">
        <v>613</v>
      </c>
      <c r="F42" s="105">
        <v>8.5</v>
      </c>
      <c r="G42" s="105">
        <v>14</v>
      </c>
      <c r="H42" s="34">
        <v>43047</v>
      </c>
      <c r="I42" s="36">
        <v>5500</v>
      </c>
      <c r="J42" s="107">
        <v>5.5</v>
      </c>
      <c r="K42" s="84">
        <f>I42*J42</f>
        <v>30250</v>
      </c>
      <c r="L42" s="37" t="s">
        <v>195</v>
      </c>
      <c r="M42" s="32"/>
      <c r="X42" s="29">
        <f>IF($L42&gt;0,1,0)</f>
        <v>1</v>
      </c>
      <c r="Y42" s="29">
        <f>IF($L42&lt;0,1,0)</f>
        <v>0</v>
      </c>
    </row>
    <row r="43" spans="1:25" ht="15" thickBot="1" x14ac:dyDescent="0.35">
      <c r="A43" s="31"/>
      <c r="B43" s="38">
        <f>B42+1</f>
        <v>2</v>
      </c>
      <c r="C43" s="39">
        <v>43047</v>
      </c>
      <c r="D43" s="40" t="s">
        <v>8</v>
      </c>
      <c r="E43" s="40" t="s">
        <v>614</v>
      </c>
      <c r="F43" s="106">
        <v>10</v>
      </c>
      <c r="G43" s="106">
        <v>18</v>
      </c>
      <c r="H43" s="39">
        <v>43048</v>
      </c>
      <c r="I43" s="41">
        <v>5500</v>
      </c>
      <c r="J43" s="108">
        <v>8</v>
      </c>
      <c r="K43" s="84">
        <f t="shared" ref="K43:K45" si="11">I43*J43</f>
        <v>44000</v>
      </c>
      <c r="L43" s="42" t="s">
        <v>195</v>
      </c>
      <c r="M43" s="32"/>
      <c r="X43" s="29">
        <f t="shared" ref="X43:X51" si="12">IF($L43&gt;0,1,0)</f>
        <v>1</v>
      </c>
      <c r="Y43" s="29">
        <f t="shared" ref="Y43:Y51" si="13">IF($L43&lt;0,1,0)</f>
        <v>0</v>
      </c>
    </row>
    <row r="44" spans="1:25" ht="15" thickBot="1" x14ac:dyDescent="0.35">
      <c r="A44" s="31"/>
      <c r="B44" s="38">
        <f t="shared" ref="B44:B51" si="14">B43+1</f>
        <v>3</v>
      </c>
      <c r="C44" s="39">
        <v>43054</v>
      </c>
      <c r="D44" s="40" t="s">
        <v>8</v>
      </c>
      <c r="E44" s="40" t="s">
        <v>615</v>
      </c>
      <c r="F44" s="106">
        <v>7</v>
      </c>
      <c r="G44" s="106">
        <v>3</v>
      </c>
      <c r="H44" s="39">
        <v>43056</v>
      </c>
      <c r="I44" s="41">
        <v>3084</v>
      </c>
      <c r="J44" s="85">
        <v>-3</v>
      </c>
      <c r="K44" s="84">
        <f t="shared" si="11"/>
        <v>-9252</v>
      </c>
      <c r="L44" s="42" t="s">
        <v>197</v>
      </c>
      <c r="M44" s="32"/>
      <c r="X44" s="29">
        <f t="shared" si="12"/>
        <v>1</v>
      </c>
      <c r="Y44" s="29">
        <f t="shared" si="13"/>
        <v>0</v>
      </c>
    </row>
    <row r="45" spans="1:25" ht="15" thickBot="1" x14ac:dyDescent="0.35">
      <c r="A45" s="31"/>
      <c r="B45" s="38">
        <f t="shared" si="14"/>
        <v>4</v>
      </c>
      <c r="C45" s="39">
        <v>43062</v>
      </c>
      <c r="D45" s="40" t="s">
        <v>8</v>
      </c>
      <c r="E45" s="40" t="s">
        <v>616</v>
      </c>
      <c r="F45" s="106">
        <v>40</v>
      </c>
      <c r="G45" s="106">
        <v>20</v>
      </c>
      <c r="H45" s="39">
        <v>43066</v>
      </c>
      <c r="I45" s="41">
        <v>400</v>
      </c>
      <c r="J45" s="85">
        <v>-20</v>
      </c>
      <c r="K45" s="84">
        <f t="shared" si="11"/>
        <v>-8000</v>
      </c>
      <c r="L45" s="42" t="s">
        <v>197</v>
      </c>
      <c r="M45" s="32"/>
      <c r="X45" s="29">
        <f t="shared" si="12"/>
        <v>1</v>
      </c>
      <c r="Y45" s="29">
        <f t="shared" si="13"/>
        <v>0</v>
      </c>
    </row>
    <row r="46" spans="1:25" x14ac:dyDescent="0.3">
      <c r="A46" s="31"/>
      <c r="B46" s="38">
        <f t="shared" si="14"/>
        <v>5</v>
      </c>
      <c r="C46" s="39"/>
      <c r="D46" s="40"/>
      <c r="E46" s="40"/>
      <c r="F46" s="106"/>
      <c r="G46" s="106"/>
      <c r="H46" s="39"/>
      <c r="I46" s="41"/>
      <c r="J46" s="85"/>
      <c r="K46" s="84">
        <f t="shared" ref="K46:K51" si="15">I46*J46</f>
        <v>0</v>
      </c>
      <c r="L46" s="42"/>
      <c r="M46" s="32"/>
      <c r="X46" s="29">
        <f t="shared" si="12"/>
        <v>0</v>
      </c>
      <c r="Y46" s="29">
        <f t="shared" si="13"/>
        <v>0</v>
      </c>
    </row>
    <row r="47" spans="1:25" x14ac:dyDescent="0.3">
      <c r="A47" s="31"/>
      <c r="B47" s="38">
        <f t="shared" si="14"/>
        <v>6</v>
      </c>
      <c r="C47" s="39"/>
      <c r="D47" s="40"/>
      <c r="E47" s="40"/>
      <c r="F47" s="106"/>
      <c r="G47" s="106"/>
      <c r="H47" s="41"/>
      <c r="I47" s="41"/>
      <c r="J47" s="85"/>
      <c r="K47" s="85">
        <f t="shared" si="15"/>
        <v>0</v>
      </c>
      <c r="L47" s="42"/>
      <c r="M47" s="32"/>
      <c r="X47" s="29">
        <f t="shared" si="12"/>
        <v>0</v>
      </c>
      <c r="Y47" s="29">
        <f t="shared" si="13"/>
        <v>0</v>
      </c>
    </row>
    <row r="48" spans="1:25" x14ac:dyDescent="0.3">
      <c r="A48" s="31"/>
      <c r="B48" s="38">
        <f t="shared" si="14"/>
        <v>7</v>
      </c>
      <c r="C48" s="39"/>
      <c r="D48" s="40"/>
      <c r="E48" s="40"/>
      <c r="F48" s="41"/>
      <c r="G48" s="41"/>
      <c r="H48" s="41"/>
      <c r="I48" s="41"/>
      <c r="J48" s="85"/>
      <c r="K48" s="85">
        <f t="shared" si="15"/>
        <v>0</v>
      </c>
      <c r="L48" s="42"/>
      <c r="M48" s="32"/>
      <c r="X48" s="29">
        <f t="shared" si="12"/>
        <v>0</v>
      </c>
      <c r="Y48" s="29">
        <f t="shared" si="13"/>
        <v>0</v>
      </c>
    </row>
    <row r="49" spans="1:25" x14ac:dyDescent="0.3">
      <c r="A49" s="31"/>
      <c r="B49" s="38">
        <f t="shared" si="14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15"/>
        <v>0</v>
      </c>
      <c r="L49" s="42"/>
      <c r="M49" s="32"/>
      <c r="X49" s="29">
        <f t="shared" si="12"/>
        <v>0</v>
      </c>
      <c r="Y49" s="29">
        <f t="shared" si="13"/>
        <v>0</v>
      </c>
    </row>
    <row r="50" spans="1:25" x14ac:dyDescent="0.3">
      <c r="A50" s="31"/>
      <c r="B50" s="38">
        <f t="shared" si="14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5"/>
        <v>0</v>
      </c>
      <c r="L50" s="42"/>
      <c r="M50" s="32"/>
      <c r="X50" s="29">
        <f t="shared" si="12"/>
        <v>0</v>
      </c>
      <c r="Y50" s="29">
        <f t="shared" si="13"/>
        <v>0</v>
      </c>
    </row>
    <row r="51" spans="1:25" ht="15" thickBot="1" x14ac:dyDescent="0.35">
      <c r="A51" s="31"/>
      <c r="B51" s="38">
        <f t="shared" si="14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5"/>
        <v>0</v>
      </c>
      <c r="L51" s="42"/>
      <c r="M51" s="32"/>
      <c r="X51" s="29">
        <f t="shared" si="12"/>
        <v>0</v>
      </c>
      <c r="Y51" s="29">
        <f t="shared" si="13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56998</v>
      </c>
      <c r="L52" s="86"/>
      <c r="M52" s="32"/>
      <c r="X52" s="29">
        <f>SUM(X42:X51)</f>
        <v>4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3800-000000000000}"/>
    <hyperlink ref="O1" location="'Home Page'!A1" display="Back" xr:uid="{00000000-0004-0000-3800-000001000000}"/>
    <hyperlink ref="B34" r:id="rId2" xr:uid="{00000000-0004-0000-3800-000002000000}"/>
    <hyperlink ref="B52" r:id="rId3" xr:uid="{00000000-0004-0000-3800-000003000000}"/>
  </hyperlinks>
  <pageMargins left="0" right="0" top="0" bottom="0" header="0" footer="0"/>
  <pageSetup paperSize="9" orientation="portrait" r:id="rId4"/>
  <drawing r:id="rId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Y53"/>
  <sheetViews>
    <sheetView topLeftCell="A37" workbookViewId="0">
      <selection activeCell="N43" sqref="N43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43070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v>2</v>
      </c>
      <c r="R4" s="208">
        <v>1</v>
      </c>
      <c r="S4" s="209">
        <v>0</v>
      </c>
      <c r="T4" s="195">
        <f>Q4/P4</f>
        <v>0.66666666666666663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94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95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thickBot="1" x14ac:dyDescent="0.35">
      <c r="A6" s="31"/>
      <c r="B6" s="33">
        <v>1</v>
      </c>
      <c r="C6" s="34">
        <v>43074</v>
      </c>
      <c r="D6" s="35" t="s">
        <v>13</v>
      </c>
      <c r="E6" s="35" t="s">
        <v>418</v>
      </c>
      <c r="F6" s="105">
        <v>375</v>
      </c>
      <c r="G6" s="105">
        <v>365</v>
      </c>
      <c r="H6" s="34">
        <v>43075</v>
      </c>
      <c r="I6" s="36">
        <v>6168</v>
      </c>
      <c r="J6" s="107">
        <v>10</v>
      </c>
      <c r="K6" s="84">
        <f>I6*J6</f>
        <v>61680</v>
      </c>
      <c r="L6" s="37" t="s">
        <v>198</v>
      </c>
      <c r="M6" s="32"/>
      <c r="O6" s="198" t="s">
        <v>599</v>
      </c>
      <c r="P6" s="199">
        <f>COUNT(C24:C33)</f>
        <v>4</v>
      </c>
      <c r="Q6" s="200">
        <v>2</v>
      </c>
      <c r="R6" s="200">
        <v>1</v>
      </c>
      <c r="S6" s="201">
        <v>0</v>
      </c>
      <c r="T6" s="197">
        <f t="shared" ref="T6" si="0">Q6/P6</f>
        <v>0.5</v>
      </c>
      <c r="X6" s="29">
        <f>IF($L6&gt;0,1,0)</f>
        <v>1</v>
      </c>
      <c r="Y6" s="29">
        <f>IF($L6&lt;0,1,0)</f>
        <v>0</v>
      </c>
    </row>
    <row r="7" spans="1:25" ht="15" thickBot="1" x14ac:dyDescent="0.35">
      <c r="A7" s="31"/>
      <c r="B7" s="38">
        <f>B6+1</f>
        <v>2</v>
      </c>
      <c r="C7" s="39">
        <v>43083</v>
      </c>
      <c r="D7" s="40" t="s">
        <v>20</v>
      </c>
      <c r="E7" s="40" t="s">
        <v>418</v>
      </c>
      <c r="F7" s="105">
        <v>358</v>
      </c>
      <c r="G7" s="106">
        <v>363.5</v>
      </c>
      <c r="H7" s="39">
        <v>43084</v>
      </c>
      <c r="I7" s="41">
        <v>6168</v>
      </c>
      <c r="J7" s="85">
        <v>5.5</v>
      </c>
      <c r="K7" s="84">
        <f t="shared" ref="K7:K10" si="1">I7*J7</f>
        <v>33924</v>
      </c>
      <c r="L7" s="42" t="s">
        <v>198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ht="15" thickBot="1" x14ac:dyDescent="0.35">
      <c r="A8" s="31"/>
      <c r="B8" s="38">
        <f t="shared" ref="B8:B15" si="4">B7+1</f>
        <v>3</v>
      </c>
      <c r="C8" s="39">
        <v>43090</v>
      </c>
      <c r="D8" s="40" t="s">
        <v>13</v>
      </c>
      <c r="E8" s="40" t="s">
        <v>25</v>
      </c>
      <c r="F8" s="105">
        <v>498</v>
      </c>
      <c r="G8" s="106">
        <v>510</v>
      </c>
      <c r="H8" s="39">
        <v>43090</v>
      </c>
      <c r="I8" s="41">
        <v>2600</v>
      </c>
      <c r="J8" s="85">
        <v>-12</v>
      </c>
      <c r="K8" s="84">
        <f t="shared" si="1"/>
        <v>-31200</v>
      </c>
      <c r="L8" s="42" t="s">
        <v>197</v>
      </c>
      <c r="M8" s="32"/>
      <c r="O8" s="198" t="s">
        <v>600</v>
      </c>
      <c r="P8" s="199">
        <f>COUNT(C42:C51)</f>
        <v>3</v>
      </c>
      <c r="Q8" s="200">
        <v>2</v>
      </c>
      <c r="R8" s="200">
        <v>0</v>
      </c>
      <c r="S8" s="201">
        <v>0</v>
      </c>
      <c r="T8" s="197">
        <f t="shared" ref="T8" si="5">Q8/P8</f>
        <v>0.66666666666666663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06"/>
      <c r="G9" s="106"/>
      <c r="H9" s="41"/>
      <c r="I9" s="41"/>
      <c r="J9" s="85"/>
      <c r="K9" s="84">
        <f t="shared" si="1"/>
        <v>0</v>
      </c>
      <c r="L9" s="42"/>
      <c r="M9" s="32"/>
      <c r="O9" s="203"/>
      <c r="P9" s="199"/>
      <c r="Q9" s="200"/>
      <c r="R9" s="200"/>
      <c r="S9" s="202"/>
      <c r="T9" s="19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41"/>
      <c r="I10" s="41"/>
      <c r="J10" s="85"/>
      <c r="K10" s="84">
        <f t="shared" si="1"/>
        <v>0</v>
      </c>
      <c r="L10" s="42"/>
      <c r="M10" s="32"/>
      <c r="O10" s="171" t="s">
        <v>575</v>
      </c>
      <c r="P10" s="173">
        <f>SUM(P4:P9)</f>
        <v>10</v>
      </c>
      <c r="Q10" s="173">
        <v>6</v>
      </c>
      <c r="R10" s="173">
        <f>SUM(R4:R9)</f>
        <v>2</v>
      </c>
      <c r="S10" s="193">
        <v>0</v>
      </c>
      <c r="T10" s="195">
        <f t="shared" ref="T10" si="6">Q10/P10</f>
        <v>0.6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64404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43070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95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43074</v>
      </c>
      <c r="D24" s="35" t="s">
        <v>20</v>
      </c>
      <c r="E24" s="35" t="s">
        <v>30</v>
      </c>
      <c r="F24" s="36">
        <v>10130</v>
      </c>
      <c r="G24" s="36">
        <v>10070</v>
      </c>
      <c r="H24" s="34">
        <v>43075</v>
      </c>
      <c r="I24" s="36">
        <v>375</v>
      </c>
      <c r="J24" s="84">
        <v>-60</v>
      </c>
      <c r="K24" s="84">
        <f>I24*J24</f>
        <v>-22500</v>
      </c>
      <c r="L24" s="37" t="s">
        <v>197</v>
      </c>
      <c r="M24" s="32"/>
      <c r="X24" s="29">
        <f>IF($L24&gt;0,1,0)</f>
        <v>1</v>
      </c>
      <c r="Y24" s="29">
        <f>IF($L24&lt;0,1,0)</f>
        <v>0</v>
      </c>
    </row>
    <row r="25" spans="1:25" ht="15" thickBot="1" x14ac:dyDescent="0.35">
      <c r="A25" s="31"/>
      <c r="B25" s="38">
        <f>B24+1</f>
        <v>2</v>
      </c>
      <c r="C25" s="39">
        <v>43080</v>
      </c>
      <c r="D25" s="40" t="s">
        <v>13</v>
      </c>
      <c r="E25" s="40" t="s">
        <v>30</v>
      </c>
      <c r="F25" s="41">
        <v>10350</v>
      </c>
      <c r="G25" s="41">
        <v>10200</v>
      </c>
      <c r="H25" s="39">
        <v>43081</v>
      </c>
      <c r="I25" s="41">
        <v>375</v>
      </c>
      <c r="J25" s="85">
        <f>F25-G25</f>
        <v>150</v>
      </c>
      <c r="K25" s="84">
        <f t="shared" ref="K25:K27" si="7">I25*J25</f>
        <v>56250</v>
      </c>
      <c r="L25" s="42" t="s">
        <v>195</v>
      </c>
      <c r="M25" s="32"/>
      <c r="X25" s="29">
        <f t="shared" ref="X25:X33" si="8">IF($L25&gt;0,1,0)</f>
        <v>1</v>
      </c>
      <c r="Y25" s="29">
        <f t="shared" ref="Y25:Y33" si="9">IF($L25&lt;0,1,0)</f>
        <v>0</v>
      </c>
    </row>
    <row r="26" spans="1:25" ht="15" thickBot="1" x14ac:dyDescent="0.35">
      <c r="A26" s="31"/>
      <c r="B26" s="38">
        <f t="shared" ref="B26:B33" si="10">B25+1</f>
        <v>3</v>
      </c>
      <c r="C26" s="39">
        <v>43080</v>
      </c>
      <c r="D26" s="40" t="s">
        <v>13</v>
      </c>
      <c r="E26" s="40" t="s">
        <v>619</v>
      </c>
      <c r="F26" s="41">
        <v>25450</v>
      </c>
      <c r="G26" s="41">
        <v>25000</v>
      </c>
      <c r="H26" s="39">
        <v>43081</v>
      </c>
      <c r="I26" s="41">
        <f>F26-G26</f>
        <v>450</v>
      </c>
      <c r="J26" s="85">
        <v>200</v>
      </c>
      <c r="K26" s="84">
        <f t="shared" si="7"/>
        <v>90000</v>
      </c>
      <c r="L26" s="42" t="s">
        <v>195</v>
      </c>
      <c r="M26" s="32"/>
      <c r="X26" s="29">
        <f t="shared" si="8"/>
        <v>1</v>
      </c>
      <c r="Y26" s="29">
        <f t="shared" si="9"/>
        <v>0</v>
      </c>
    </row>
    <row r="27" spans="1:25" x14ac:dyDescent="0.3">
      <c r="A27" s="31"/>
      <c r="B27" s="38">
        <f t="shared" si="10"/>
        <v>4</v>
      </c>
      <c r="C27" s="39">
        <v>43088</v>
      </c>
      <c r="D27" s="40" t="s">
        <v>13</v>
      </c>
      <c r="E27" s="40" t="s">
        <v>30</v>
      </c>
      <c r="F27" s="41">
        <v>10440</v>
      </c>
      <c r="G27" s="41">
        <v>10520</v>
      </c>
      <c r="H27" s="41">
        <v>43096</v>
      </c>
      <c r="I27" s="41">
        <v>375</v>
      </c>
      <c r="J27" s="85">
        <v>-80</v>
      </c>
      <c r="K27" s="84">
        <f t="shared" si="7"/>
        <v>-30000</v>
      </c>
      <c r="L27" s="42" t="s">
        <v>197</v>
      </c>
      <c r="M27" s="32"/>
      <c r="X27" s="29">
        <f t="shared" si="8"/>
        <v>1</v>
      </c>
      <c r="Y27" s="29">
        <f t="shared" si="9"/>
        <v>0</v>
      </c>
    </row>
    <row r="28" spans="1:25" x14ac:dyDescent="0.3">
      <c r="A28" s="31"/>
      <c r="B28" s="38">
        <f t="shared" si="10"/>
        <v>5</v>
      </c>
      <c r="C28" s="39"/>
      <c r="D28" s="40"/>
      <c r="E28" s="40"/>
      <c r="F28" s="41"/>
      <c r="G28" s="41"/>
      <c r="H28" s="41"/>
      <c r="I28" s="41"/>
      <c r="J28" s="85"/>
      <c r="K28" s="85"/>
      <c r="L28" s="42"/>
      <c r="M28" s="32"/>
      <c r="X28" s="29">
        <f t="shared" si="8"/>
        <v>0</v>
      </c>
      <c r="Y28" s="29">
        <f t="shared" si="9"/>
        <v>0</v>
      </c>
    </row>
    <row r="29" spans="1:25" x14ac:dyDescent="0.3">
      <c r="A29" s="31"/>
      <c r="B29" s="38">
        <f t="shared" si="10"/>
        <v>6</v>
      </c>
      <c r="C29" s="39"/>
      <c r="D29" s="40"/>
      <c r="E29" s="40"/>
      <c r="F29" s="41"/>
      <c r="G29" s="41"/>
      <c r="H29" s="41"/>
      <c r="I29" s="41"/>
      <c r="J29" s="85"/>
      <c r="K29" s="85"/>
      <c r="L29" s="42"/>
      <c r="M29" s="32"/>
      <c r="X29" s="29">
        <f t="shared" si="8"/>
        <v>0</v>
      </c>
      <c r="Y29" s="29">
        <f t="shared" si="9"/>
        <v>0</v>
      </c>
    </row>
    <row r="30" spans="1:25" x14ac:dyDescent="0.3">
      <c r="A30" s="31"/>
      <c r="B30" s="38">
        <f t="shared" si="10"/>
        <v>7</v>
      </c>
      <c r="C30" s="39"/>
      <c r="D30" s="40"/>
      <c r="E30" s="40"/>
      <c r="F30" s="41"/>
      <c r="G30" s="41"/>
      <c r="H30" s="41"/>
      <c r="I30" s="41"/>
      <c r="J30" s="85"/>
      <c r="K30" s="85"/>
      <c r="L30" s="42"/>
      <c r="M30" s="32"/>
      <c r="X30" s="29">
        <f t="shared" si="8"/>
        <v>0</v>
      </c>
      <c r="Y30" s="29">
        <f t="shared" si="9"/>
        <v>0</v>
      </c>
    </row>
    <row r="31" spans="1:25" x14ac:dyDescent="0.3">
      <c r="A31" s="31"/>
      <c r="B31" s="38">
        <f t="shared" si="10"/>
        <v>8</v>
      </c>
      <c r="C31" s="39"/>
      <c r="D31" s="40"/>
      <c r="E31" s="40"/>
      <c r="F31" s="41"/>
      <c r="G31" s="41"/>
      <c r="H31" s="41"/>
      <c r="I31" s="41"/>
      <c r="J31" s="85"/>
      <c r="K31" s="85"/>
      <c r="L31" s="42"/>
      <c r="M31" s="32"/>
      <c r="X31" s="29">
        <f t="shared" si="8"/>
        <v>0</v>
      </c>
      <c r="Y31" s="29">
        <f t="shared" si="9"/>
        <v>0</v>
      </c>
    </row>
    <row r="32" spans="1:25" x14ac:dyDescent="0.3">
      <c r="A32" s="31"/>
      <c r="B32" s="38">
        <f t="shared" si="10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8"/>
        <v>0</v>
      </c>
      <c r="Y32" s="29">
        <f t="shared" si="9"/>
        <v>0</v>
      </c>
    </row>
    <row r="33" spans="1:25" ht="15" thickBot="1" x14ac:dyDescent="0.35">
      <c r="A33" s="31"/>
      <c r="B33" s="38">
        <f t="shared" si="10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8"/>
        <v>0</v>
      </c>
      <c r="Y33" s="29">
        <f t="shared" si="9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93750</v>
      </c>
      <c r="L34" s="86"/>
      <c r="M34" s="32"/>
      <c r="X34" s="29">
        <f>SUM(X24:X33)</f>
        <v>4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43070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43074</v>
      </c>
      <c r="D42" s="35" t="s">
        <v>20</v>
      </c>
      <c r="E42" s="35" t="s">
        <v>617</v>
      </c>
      <c r="F42" s="105">
        <v>15</v>
      </c>
      <c r="G42" s="105">
        <v>18</v>
      </c>
      <c r="H42" s="34">
        <v>43081</v>
      </c>
      <c r="I42" s="36">
        <v>2000</v>
      </c>
      <c r="J42" s="107">
        <v>3</v>
      </c>
      <c r="K42" s="41">
        <f>I42*J42</f>
        <v>6000</v>
      </c>
      <c r="L42" s="37" t="s">
        <v>403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38">
        <f>B42+1</f>
        <v>2</v>
      </c>
      <c r="C43" s="39">
        <v>43083</v>
      </c>
      <c r="D43" s="40" t="s">
        <v>8</v>
      </c>
      <c r="E43" s="40" t="s">
        <v>620</v>
      </c>
      <c r="F43" s="106">
        <v>6.5</v>
      </c>
      <c r="G43" s="106">
        <v>8</v>
      </c>
      <c r="H43" s="39">
        <v>43087</v>
      </c>
      <c r="I43" s="41">
        <v>6168</v>
      </c>
      <c r="J43" s="108">
        <v>1.5</v>
      </c>
      <c r="K43" s="41">
        <f t="shared" ref="K43:K45" si="11">I43*J43</f>
        <v>9252</v>
      </c>
      <c r="L43" s="42" t="s">
        <v>403</v>
      </c>
      <c r="M43" s="32"/>
      <c r="X43" s="29">
        <f t="shared" ref="X43:X51" si="12">IF($L43&gt;0,1,0)</f>
        <v>1</v>
      </c>
      <c r="Y43" s="29">
        <f t="shared" ref="Y43:Y51" si="13">IF($L43&lt;0,1,0)</f>
        <v>0</v>
      </c>
    </row>
    <row r="44" spans="1:25" x14ac:dyDescent="0.3">
      <c r="A44" s="31"/>
      <c r="B44" s="38">
        <f t="shared" ref="B44:B51" si="14">B43+1</f>
        <v>3</v>
      </c>
      <c r="C44" s="39">
        <v>43090</v>
      </c>
      <c r="D44" s="40" t="s">
        <v>8</v>
      </c>
      <c r="E44" s="40" t="s">
        <v>621</v>
      </c>
      <c r="F44" s="106">
        <v>7</v>
      </c>
      <c r="G44" s="106">
        <v>2</v>
      </c>
      <c r="H44" s="39">
        <v>43096</v>
      </c>
      <c r="I44" s="41">
        <v>2600</v>
      </c>
      <c r="J44" s="85">
        <v>-5</v>
      </c>
      <c r="K44" s="41">
        <f t="shared" si="11"/>
        <v>-13000</v>
      </c>
      <c r="L44" s="42" t="s">
        <v>197</v>
      </c>
      <c r="M44" s="32"/>
      <c r="X44" s="29">
        <f t="shared" si="12"/>
        <v>1</v>
      </c>
      <c r="Y44" s="29">
        <f t="shared" si="13"/>
        <v>0</v>
      </c>
    </row>
    <row r="45" spans="1:25" x14ac:dyDescent="0.3">
      <c r="A45" s="31"/>
      <c r="B45" s="38">
        <f t="shared" si="14"/>
        <v>4</v>
      </c>
      <c r="C45" s="39"/>
      <c r="D45" s="40"/>
      <c r="E45" s="40"/>
      <c r="F45" s="106"/>
      <c r="G45" s="106"/>
      <c r="H45" s="39"/>
      <c r="I45" s="41"/>
      <c r="J45" s="85"/>
      <c r="K45" s="41">
        <f t="shared" si="11"/>
        <v>0</v>
      </c>
      <c r="L45" s="42"/>
      <c r="M45" s="32"/>
      <c r="X45" s="29">
        <f t="shared" si="12"/>
        <v>0</v>
      </c>
      <c r="Y45" s="29">
        <f t="shared" si="13"/>
        <v>0</v>
      </c>
    </row>
    <row r="46" spans="1:25" x14ac:dyDescent="0.3">
      <c r="A46" s="31"/>
      <c r="B46" s="38">
        <f t="shared" si="14"/>
        <v>5</v>
      </c>
      <c r="C46" s="39"/>
      <c r="D46" s="40"/>
      <c r="E46" s="40"/>
      <c r="F46" s="106"/>
      <c r="G46" s="106"/>
      <c r="H46" s="39"/>
      <c r="I46" s="41"/>
      <c r="J46" s="85"/>
      <c r="K46" s="115">
        <f t="shared" ref="K46:K51" si="15">I46*J46</f>
        <v>0</v>
      </c>
      <c r="L46" s="42"/>
      <c r="M46" s="32"/>
      <c r="X46" s="29">
        <f t="shared" si="12"/>
        <v>0</v>
      </c>
      <c r="Y46" s="29">
        <f t="shared" si="13"/>
        <v>0</v>
      </c>
    </row>
    <row r="47" spans="1:25" x14ac:dyDescent="0.3">
      <c r="A47" s="31"/>
      <c r="B47" s="38">
        <f t="shared" si="14"/>
        <v>6</v>
      </c>
      <c r="C47" s="39"/>
      <c r="D47" s="40"/>
      <c r="E47" s="40"/>
      <c r="F47" s="106"/>
      <c r="G47" s="106"/>
      <c r="H47" s="41"/>
      <c r="I47" s="41"/>
      <c r="J47" s="85"/>
      <c r="K47" s="85">
        <f t="shared" si="15"/>
        <v>0</v>
      </c>
      <c r="L47" s="42"/>
      <c r="M47" s="32"/>
      <c r="X47" s="29">
        <f t="shared" si="12"/>
        <v>0</v>
      </c>
      <c r="Y47" s="29">
        <f t="shared" si="13"/>
        <v>0</v>
      </c>
    </row>
    <row r="48" spans="1:25" x14ac:dyDescent="0.3">
      <c r="A48" s="31"/>
      <c r="B48" s="38">
        <f t="shared" si="14"/>
        <v>7</v>
      </c>
      <c r="C48" s="39"/>
      <c r="D48" s="40"/>
      <c r="E48" s="40"/>
      <c r="F48" s="41"/>
      <c r="G48" s="41"/>
      <c r="H48" s="41"/>
      <c r="I48" s="41"/>
      <c r="J48" s="85"/>
      <c r="K48" s="85">
        <f t="shared" si="15"/>
        <v>0</v>
      </c>
      <c r="L48" s="42"/>
      <c r="M48" s="32"/>
      <c r="X48" s="29">
        <f t="shared" si="12"/>
        <v>0</v>
      </c>
      <c r="Y48" s="29">
        <f t="shared" si="13"/>
        <v>0</v>
      </c>
    </row>
    <row r="49" spans="1:25" x14ac:dyDescent="0.3">
      <c r="A49" s="31"/>
      <c r="B49" s="38">
        <f t="shared" si="14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15"/>
        <v>0</v>
      </c>
      <c r="L49" s="42"/>
      <c r="M49" s="32"/>
      <c r="X49" s="29">
        <f t="shared" si="12"/>
        <v>0</v>
      </c>
      <c r="Y49" s="29">
        <f t="shared" si="13"/>
        <v>0</v>
      </c>
    </row>
    <row r="50" spans="1:25" x14ac:dyDescent="0.3">
      <c r="A50" s="31"/>
      <c r="B50" s="38">
        <f t="shared" si="14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5"/>
        <v>0</v>
      </c>
      <c r="L50" s="42"/>
      <c r="M50" s="32"/>
      <c r="X50" s="29">
        <f t="shared" si="12"/>
        <v>0</v>
      </c>
      <c r="Y50" s="29">
        <f t="shared" si="13"/>
        <v>0</v>
      </c>
    </row>
    <row r="51" spans="1:25" ht="15" thickBot="1" x14ac:dyDescent="0.35">
      <c r="A51" s="31"/>
      <c r="B51" s="38">
        <f t="shared" si="14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5"/>
        <v>0</v>
      </c>
      <c r="L51" s="42"/>
      <c r="M51" s="32"/>
      <c r="X51" s="29">
        <f t="shared" si="12"/>
        <v>0</v>
      </c>
      <c r="Y51" s="29">
        <f t="shared" si="13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2252</v>
      </c>
      <c r="L52" s="86"/>
      <c r="M52" s="32"/>
      <c r="X52" s="29">
        <f>SUM(X42:X51)</f>
        <v>3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3900-000000000000}"/>
    <hyperlink ref="O1" location="'Home Page'!A1" display="Back" xr:uid="{00000000-0004-0000-3900-000001000000}"/>
    <hyperlink ref="B34" r:id="rId2" xr:uid="{00000000-0004-0000-3900-000002000000}"/>
    <hyperlink ref="B52" r:id="rId3" xr:uid="{00000000-0004-0000-3900-000003000000}"/>
  </hyperlinks>
  <pageMargins left="0" right="0" top="0" bottom="0" header="0" footer="0"/>
  <pageSetup paperSize="9" orientation="portrait" r:id="rId4"/>
  <drawing r:id="rId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Y54"/>
  <sheetViews>
    <sheetView topLeftCell="A28" workbookViewId="0">
      <selection activeCell="C8" sqref="C8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6.8867187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43101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v>1</v>
      </c>
      <c r="R4" s="208">
        <v>1</v>
      </c>
      <c r="S4" s="209"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x14ac:dyDescent="0.3">
      <c r="A6" s="31"/>
      <c r="B6" s="33">
        <v>1</v>
      </c>
      <c r="C6" s="34">
        <v>43116</v>
      </c>
      <c r="D6" s="35" t="s">
        <v>13</v>
      </c>
      <c r="E6" s="35" t="s">
        <v>11</v>
      </c>
      <c r="F6" s="106">
        <v>298</v>
      </c>
      <c r="G6" s="105">
        <v>293</v>
      </c>
      <c r="H6" s="34">
        <v>5</v>
      </c>
      <c r="I6" s="36">
        <v>6000</v>
      </c>
      <c r="J6" s="107">
        <v>5</v>
      </c>
      <c r="K6" s="41">
        <f>I6*J6</f>
        <v>30000</v>
      </c>
      <c r="L6" s="37" t="s">
        <v>403</v>
      </c>
      <c r="M6" s="32"/>
      <c r="O6" s="198" t="s">
        <v>599</v>
      </c>
      <c r="P6" s="199">
        <f>COUNT(C24:C33)</f>
        <v>5</v>
      </c>
      <c r="Q6" s="200">
        <v>4</v>
      </c>
      <c r="R6" s="200">
        <v>1</v>
      </c>
      <c r="S6" s="201">
        <v>0</v>
      </c>
      <c r="T6" s="197">
        <f t="shared" ref="T6" si="0">Q6/P6</f>
        <v>0.8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43122</v>
      </c>
      <c r="D7" s="40" t="s">
        <v>13</v>
      </c>
      <c r="E7" s="40" t="s">
        <v>11</v>
      </c>
      <c r="F7" s="106">
        <v>307</v>
      </c>
      <c r="G7" s="106">
        <v>313</v>
      </c>
      <c r="H7" s="39">
        <v>43123</v>
      </c>
      <c r="I7" s="41">
        <v>6000</v>
      </c>
      <c r="J7" s="85">
        <v>-6</v>
      </c>
      <c r="K7" s="41">
        <f t="shared" ref="K7:K10" si="1">I7*J7</f>
        <v>-36000</v>
      </c>
      <c r="L7" s="42" t="s">
        <v>197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/>
      <c r="D8" s="40"/>
      <c r="E8" s="40"/>
      <c r="F8" s="117"/>
      <c r="G8" s="106"/>
      <c r="H8" s="39"/>
      <c r="I8" s="41"/>
      <c r="J8" s="85"/>
      <c r="K8" s="41">
        <f t="shared" si="1"/>
        <v>0</v>
      </c>
      <c r="L8" s="42"/>
      <c r="M8" s="32"/>
      <c r="O8" s="198" t="s">
        <v>600</v>
      </c>
      <c r="P8" s="199">
        <f>COUNT(C42:C52)</f>
        <v>4</v>
      </c>
      <c r="Q8" s="200">
        <v>2</v>
      </c>
      <c r="R8" s="200">
        <v>2</v>
      </c>
      <c r="S8" s="201">
        <v>0</v>
      </c>
      <c r="T8" s="197">
        <f t="shared" ref="T8" si="5">Q8/P8</f>
        <v>0.5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06"/>
      <c r="G9" s="106"/>
      <c r="H9" s="41"/>
      <c r="I9" s="41"/>
      <c r="J9" s="85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19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41"/>
      <c r="I10" s="41"/>
      <c r="J10" s="85"/>
      <c r="K10" s="115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v>7</v>
      </c>
      <c r="R10" s="173">
        <v>4</v>
      </c>
      <c r="S10" s="193">
        <v>0</v>
      </c>
      <c r="T10" s="195">
        <f t="shared" ref="T10" si="6">Q10/P10</f>
        <v>0.63636363636363635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0.63636363636363635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-6000</v>
      </c>
      <c r="L16" s="86"/>
      <c r="M16" s="32"/>
      <c r="X16" s="29">
        <f>SUM(X6:X15)</f>
        <v>2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43101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4">
        <v>43104</v>
      </c>
      <c r="D24" s="35" t="s">
        <v>13</v>
      </c>
      <c r="E24" s="35" t="s">
        <v>30</v>
      </c>
      <c r="F24" s="36">
        <v>10520</v>
      </c>
      <c r="G24" s="36">
        <v>10590</v>
      </c>
      <c r="H24" s="34">
        <v>42743</v>
      </c>
      <c r="I24" s="36">
        <v>375</v>
      </c>
      <c r="J24" s="84">
        <v>-70</v>
      </c>
      <c r="K24" s="41">
        <f>I24*J24</f>
        <v>-26250</v>
      </c>
      <c r="L24" s="37" t="s">
        <v>197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9">
        <v>42746</v>
      </c>
      <c r="D25" s="40" t="s">
        <v>13</v>
      </c>
      <c r="E25" s="40" t="s">
        <v>30</v>
      </c>
      <c r="F25" s="41">
        <v>10660</v>
      </c>
      <c r="G25" s="41">
        <v>10610</v>
      </c>
      <c r="H25" s="39">
        <v>43112</v>
      </c>
      <c r="I25" s="41">
        <v>375</v>
      </c>
      <c r="J25" s="85">
        <v>50</v>
      </c>
      <c r="K25" s="41">
        <f t="shared" ref="K25:K28" si="7">I25*J25</f>
        <v>18750</v>
      </c>
      <c r="L25" s="42" t="s">
        <v>198</v>
      </c>
      <c r="M25" s="32"/>
      <c r="X25" s="29">
        <f t="shared" ref="X25:X33" si="8">IF($L25&gt;0,1,0)</f>
        <v>1</v>
      </c>
      <c r="Y25" s="29">
        <f t="shared" ref="Y25:Y33" si="9">IF($L25&lt;0,1,0)</f>
        <v>0</v>
      </c>
    </row>
    <row r="26" spans="1:25" x14ac:dyDescent="0.3">
      <c r="A26" s="31"/>
      <c r="B26" s="38">
        <f t="shared" ref="B26:B33" si="10">B25+1</f>
        <v>3</v>
      </c>
      <c r="C26" s="39">
        <v>42746</v>
      </c>
      <c r="D26" s="40" t="s">
        <v>13</v>
      </c>
      <c r="E26" s="40" t="s">
        <v>619</v>
      </c>
      <c r="F26" s="41">
        <v>25700</v>
      </c>
      <c r="G26" s="41">
        <v>25580</v>
      </c>
      <c r="H26" s="39">
        <v>43112</v>
      </c>
      <c r="I26" s="41">
        <v>200</v>
      </c>
      <c r="J26" s="85">
        <v>120</v>
      </c>
      <c r="K26" s="41">
        <f t="shared" si="7"/>
        <v>24000</v>
      </c>
      <c r="L26" s="42" t="s">
        <v>198</v>
      </c>
      <c r="M26" s="32"/>
      <c r="X26" s="29">
        <f t="shared" si="8"/>
        <v>1</v>
      </c>
      <c r="Y26" s="29">
        <f t="shared" si="9"/>
        <v>0</v>
      </c>
    </row>
    <row r="27" spans="1:25" x14ac:dyDescent="0.3">
      <c r="A27" s="31"/>
      <c r="B27" s="38">
        <f t="shared" si="10"/>
        <v>4</v>
      </c>
      <c r="C27" s="39">
        <v>43122</v>
      </c>
      <c r="D27" s="40" t="s">
        <v>20</v>
      </c>
      <c r="E27" s="40" t="s">
        <v>30</v>
      </c>
      <c r="F27" s="41">
        <v>10920</v>
      </c>
      <c r="G27" s="41">
        <v>11070</v>
      </c>
      <c r="H27" s="39">
        <v>43123</v>
      </c>
      <c r="I27" s="41">
        <v>375</v>
      </c>
      <c r="J27" s="85">
        <v>150</v>
      </c>
      <c r="K27" s="41">
        <f t="shared" si="7"/>
        <v>56250</v>
      </c>
      <c r="L27" s="42" t="s">
        <v>195</v>
      </c>
      <c r="M27" s="32"/>
      <c r="X27" s="29">
        <f t="shared" si="8"/>
        <v>1</v>
      </c>
      <c r="Y27" s="29">
        <f t="shared" si="9"/>
        <v>0</v>
      </c>
    </row>
    <row r="28" spans="1:25" x14ac:dyDescent="0.3">
      <c r="A28" s="31"/>
      <c r="B28" s="38">
        <f t="shared" si="10"/>
        <v>5</v>
      </c>
      <c r="C28" s="39">
        <v>43122</v>
      </c>
      <c r="D28" s="40" t="s">
        <v>8</v>
      </c>
      <c r="E28" s="40" t="s">
        <v>619</v>
      </c>
      <c r="F28" s="41">
        <v>26900</v>
      </c>
      <c r="G28" s="41">
        <v>27300</v>
      </c>
      <c r="H28" s="39">
        <v>43123</v>
      </c>
      <c r="I28" s="41">
        <v>200</v>
      </c>
      <c r="J28" s="85">
        <v>400</v>
      </c>
      <c r="K28" s="85">
        <f t="shared" si="7"/>
        <v>80000</v>
      </c>
      <c r="L28" s="42" t="s">
        <v>195</v>
      </c>
      <c r="M28" s="32"/>
      <c r="X28" s="29">
        <f t="shared" si="8"/>
        <v>1</v>
      </c>
      <c r="Y28" s="29">
        <f t="shared" si="9"/>
        <v>0</v>
      </c>
    </row>
    <row r="29" spans="1:25" x14ac:dyDescent="0.3">
      <c r="A29" s="31"/>
      <c r="B29" s="38">
        <f t="shared" si="10"/>
        <v>6</v>
      </c>
      <c r="C29" s="39"/>
      <c r="D29" s="40"/>
      <c r="E29" s="40"/>
      <c r="F29" s="41"/>
      <c r="G29" s="41"/>
      <c r="H29" s="39"/>
      <c r="I29" s="41"/>
      <c r="J29" s="85"/>
      <c r="K29" s="85"/>
      <c r="L29" s="42"/>
      <c r="M29" s="32"/>
      <c r="X29" s="29">
        <f t="shared" si="8"/>
        <v>0</v>
      </c>
      <c r="Y29" s="29">
        <f t="shared" si="9"/>
        <v>0</v>
      </c>
    </row>
    <row r="30" spans="1:25" x14ac:dyDescent="0.3">
      <c r="A30" s="31"/>
      <c r="B30" s="38">
        <f t="shared" si="10"/>
        <v>7</v>
      </c>
      <c r="C30" s="39"/>
      <c r="D30" s="40"/>
      <c r="E30" s="40"/>
      <c r="F30" s="41"/>
      <c r="G30" s="41"/>
      <c r="H30" s="39"/>
      <c r="I30" s="41"/>
      <c r="J30" s="85"/>
      <c r="K30" s="85"/>
      <c r="L30" s="42"/>
      <c r="M30" s="32"/>
      <c r="X30" s="29">
        <f t="shared" si="8"/>
        <v>0</v>
      </c>
      <c r="Y30" s="29">
        <f t="shared" si="9"/>
        <v>0</v>
      </c>
    </row>
    <row r="31" spans="1:25" x14ac:dyDescent="0.3">
      <c r="A31" s="31"/>
      <c r="B31" s="38">
        <f t="shared" si="10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8"/>
        <v>0</v>
      </c>
      <c r="Y31" s="29">
        <f t="shared" si="9"/>
        <v>0</v>
      </c>
    </row>
    <row r="32" spans="1:25" x14ac:dyDescent="0.3">
      <c r="A32" s="31"/>
      <c r="B32" s="38">
        <f t="shared" si="10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8"/>
        <v>0</v>
      </c>
      <c r="Y32" s="29">
        <f t="shared" si="9"/>
        <v>0</v>
      </c>
    </row>
    <row r="33" spans="1:25" ht="15" thickBot="1" x14ac:dyDescent="0.35">
      <c r="A33" s="31"/>
      <c r="B33" s="38">
        <f t="shared" si="10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8"/>
        <v>0</v>
      </c>
      <c r="Y33" s="29">
        <f t="shared" si="9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152750</v>
      </c>
      <c r="L34" s="86"/>
      <c r="M34" s="32"/>
      <c r="X34" s="29">
        <f>SUM(X24:X33)</f>
        <v>5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43101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43104</v>
      </c>
      <c r="D42" s="35" t="s">
        <v>20</v>
      </c>
      <c r="E42" s="35" t="s">
        <v>46</v>
      </c>
      <c r="F42" s="105">
        <v>25</v>
      </c>
      <c r="G42" s="105">
        <v>15</v>
      </c>
      <c r="H42" s="34">
        <v>43108</v>
      </c>
      <c r="I42" s="36">
        <v>750</v>
      </c>
      <c r="J42" s="107">
        <v>-10</v>
      </c>
      <c r="K42" s="41">
        <f>I42*J42</f>
        <v>-7500</v>
      </c>
      <c r="L42" s="37" t="s">
        <v>197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119"/>
      <c r="C43" s="120">
        <v>43116</v>
      </c>
      <c r="D43" s="121" t="s">
        <v>8</v>
      </c>
      <c r="E43" s="121" t="s">
        <v>623</v>
      </c>
      <c r="F43" s="117">
        <v>16</v>
      </c>
      <c r="G43" s="117">
        <v>30</v>
      </c>
      <c r="H43" s="120">
        <v>43122</v>
      </c>
      <c r="I43" s="122">
        <v>2000</v>
      </c>
      <c r="J43" s="123">
        <v>14</v>
      </c>
      <c r="K43" s="41">
        <f>I43*J43</f>
        <v>28000</v>
      </c>
      <c r="L43" s="124" t="s">
        <v>195</v>
      </c>
      <c r="M43" s="32"/>
    </row>
    <row r="44" spans="1:25" x14ac:dyDescent="0.3">
      <c r="A44" s="31"/>
      <c r="B44" s="38">
        <f>B42+1</f>
        <v>2</v>
      </c>
      <c r="C44" s="39">
        <v>43118</v>
      </c>
      <c r="D44" s="40" t="s">
        <v>8</v>
      </c>
      <c r="E44" s="40" t="s">
        <v>622</v>
      </c>
      <c r="F44" s="106">
        <v>3.5</v>
      </c>
      <c r="G44" s="106">
        <v>5</v>
      </c>
      <c r="H44" s="39">
        <v>43119</v>
      </c>
      <c r="I44" s="41">
        <v>5500</v>
      </c>
      <c r="J44" s="108">
        <v>1.5</v>
      </c>
      <c r="K44" s="41">
        <f t="shared" ref="K44:K52" si="11">I44*J44</f>
        <v>8250</v>
      </c>
      <c r="L44" s="42" t="s">
        <v>198</v>
      </c>
      <c r="M44" s="32"/>
      <c r="X44" s="29">
        <f t="shared" ref="X44:X52" si="12">IF($L44&gt;0,1,0)</f>
        <v>1</v>
      </c>
      <c r="Y44" s="29">
        <f t="shared" ref="Y44:Y52" si="13">IF($L44&lt;0,1,0)</f>
        <v>0</v>
      </c>
    </row>
    <row r="45" spans="1:25" x14ac:dyDescent="0.3">
      <c r="A45" s="31"/>
      <c r="B45" s="38">
        <f t="shared" ref="B45:B52" si="14">B44+1</f>
        <v>3</v>
      </c>
      <c r="C45" s="39">
        <v>43122</v>
      </c>
      <c r="D45" s="40" t="s">
        <v>20</v>
      </c>
      <c r="E45" s="40" t="s">
        <v>624</v>
      </c>
      <c r="F45" s="106">
        <v>10</v>
      </c>
      <c r="G45" s="106">
        <v>5</v>
      </c>
      <c r="H45" s="39">
        <v>43123</v>
      </c>
      <c r="I45" s="41">
        <v>2000</v>
      </c>
      <c r="J45" s="85">
        <v>-5</v>
      </c>
      <c r="K45" s="41">
        <f t="shared" si="11"/>
        <v>-10000</v>
      </c>
      <c r="L45" s="42" t="s">
        <v>197</v>
      </c>
      <c r="M45" s="32"/>
      <c r="X45" s="29">
        <f t="shared" si="12"/>
        <v>1</v>
      </c>
      <c r="Y45" s="29">
        <f t="shared" si="13"/>
        <v>0</v>
      </c>
    </row>
    <row r="46" spans="1:25" x14ac:dyDescent="0.3">
      <c r="A46" s="31"/>
      <c r="B46" s="38">
        <f t="shared" si="14"/>
        <v>4</v>
      </c>
      <c r="C46" s="39"/>
      <c r="D46" s="40"/>
      <c r="E46" s="40"/>
      <c r="F46" s="106"/>
      <c r="G46" s="106"/>
      <c r="H46" s="39"/>
      <c r="I46" s="41"/>
      <c r="J46" s="85"/>
      <c r="K46" s="41">
        <f t="shared" si="11"/>
        <v>0</v>
      </c>
      <c r="L46" s="42"/>
      <c r="M46" s="32"/>
      <c r="X46" s="29">
        <f t="shared" si="12"/>
        <v>0</v>
      </c>
      <c r="Y46" s="29">
        <f t="shared" si="13"/>
        <v>0</v>
      </c>
    </row>
    <row r="47" spans="1:25" x14ac:dyDescent="0.3">
      <c r="A47" s="31"/>
      <c r="B47" s="38">
        <f t="shared" si="14"/>
        <v>5</v>
      </c>
      <c r="C47" s="39"/>
      <c r="D47" s="40"/>
      <c r="E47" s="40"/>
      <c r="F47" s="106"/>
      <c r="G47" s="106"/>
      <c r="H47" s="39"/>
      <c r="I47" s="41"/>
      <c r="J47" s="85"/>
      <c r="K47" s="115">
        <f t="shared" si="11"/>
        <v>0</v>
      </c>
      <c r="L47" s="42"/>
      <c r="M47" s="32"/>
      <c r="X47" s="29">
        <f t="shared" si="12"/>
        <v>0</v>
      </c>
      <c r="Y47" s="29">
        <f t="shared" si="13"/>
        <v>0</v>
      </c>
    </row>
    <row r="48" spans="1:25" x14ac:dyDescent="0.3">
      <c r="A48" s="31"/>
      <c r="B48" s="38">
        <f t="shared" si="14"/>
        <v>6</v>
      </c>
      <c r="C48" s="39"/>
      <c r="D48" s="40"/>
      <c r="E48" s="40"/>
      <c r="F48" s="106"/>
      <c r="G48" s="106"/>
      <c r="H48" s="41"/>
      <c r="I48" s="41"/>
      <c r="J48" s="85"/>
      <c r="K48" s="85">
        <f t="shared" si="11"/>
        <v>0</v>
      </c>
      <c r="L48" s="42"/>
      <c r="M48" s="32"/>
      <c r="X48" s="29">
        <f t="shared" si="12"/>
        <v>0</v>
      </c>
      <c r="Y48" s="29">
        <f t="shared" si="13"/>
        <v>0</v>
      </c>
    </row>
    <row r="49" spans="1:25" x14ac:dyDescent="0.3">
      <c r="A49" s="31"/>
      <c r="B49" s="38">
        <f t="shared" si="14"/>
        <v>7</v>
      </c>
      <c r="C49" s="39"/>
      <c r="D49" s="40"/>
      <c r="E49" s="40"/>
      <c r="F49" s="41"/>
      <c r="G49" s="41"/>
      <c r="H49" s="41"/>
      <c r="I49" s="41"/>
      <c r="J49" s="85"/>
      <c r="K49" s="85">
        <f t="shared" si="11"/>
        <v>0</v>
      </c>
      <c r="L49" s="42"/>
      <c r="M49" s="32"/>
      <c r="X49" s="29">
        <f t="shared" si="12"/>
        <v>0</v>
      </c>
      <c r="Y49" s="29">
        <f t="shared" si="13"/>
        <v>0</v>
      </c>
    </row>
    <row r="50" spans="1:25" x14ac:dyDescent="0.3">
      <c r="A50" s="31"/>
      <c r="B50" s="38">
        <f t="shared" si="14"/>
        <v>8</v>
      </c>
      <c r="C50" s="39"/>
      <c r="D50" s="40"/>
      <c r="E50" s="40"/>
      <c r="F50" s="41"/>
      <c r="G50" s="41"/>
      <c r="H50" s="41"/>
      <c r="I50" s="41"/>
      <c r="J50" s="85"/>
      <c r="K50" s="85">
        <f t="shared" si="11"/>
        <v>0</v>
      </c>
      <c r="L50" s="42"/>
      <c r="M50" s="32"/>
      <c r="X50" s="29">
        <f t="shared" si="12"/>
        <v>0</v>
      </c>
      <c r="Y50" s="29">
        <f t="shared" si="13"/>
        <v>0</v>
      </c>
    </row>
    <row r="51" spans="1:25" x14ac:dyDescent="0.3">
      <c r="A51" s="31"/>
      <c r="B51" s="38">
        <f t="shared" si="14"/>
        <v>9</v>
      </c>
      <c r="C51" s="39"/>
      <c r="D51" s="40"/>
      <c r="E51" s="40"/>
      <c r="F51" s="41"/>
      <c r="G51" s="41"/>
      <c r="H51" s="41"/>
      <c r="I51" s="41"/>
      <c r="J51" s="85"/>
      <c r="K51" s="85">
        <f t="shared" si="11"/>
        <v>0</v>
      </c>
      <c r="L51" s="42"/>
      <c r="M51" s="32"/>
      <c r="X51" s="29">
        <f t="shared" si="12"/>
        <v>0</v>
      </c>
      <c r="Y51" s="29">
        <f t="shared" si="13"/>
        <v>0</v>
      </c>
    </row>
    <row r="52" spans="1:25" ht="15" thickBot="1" x14ac:dyDescent="0.35">
      <c r="A52" s="31"/>
      <c r="B52" s="38">
        <f t="shared" si="14"/>
        <v>10</v>
      </c>
      <c r="C52" s="39"/>
      <c r="D52" s="40"/>
      <c r="E52" s="40"/>
      <c r="F52" s="41"/>
      <c r="G52" s="41"/>
      <c r="H52" s="41"/>
      <c r="I52" s="41"/>
      <c r="J52" s="85"/>
      <c r="K52" s="85">
        <f t="shared" si="11"/>
        <v>0</v>
      </c>
      <c r="L52" s="42"/>
      <c r="M52" s="32"/>
      <c r="X52" s="29">
        <f t="shared" si="12"/>
        <v>0</v>
      </c>
      <c r="Y52" s="29">
        <f t="shared" si="13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SUM(K42:K52)</f>
        <v>18750</v>
      </c>
      <c r="L53" s="86"/>
      <c r="M53" s="32"/>
      <c r="X53" s="29">
        <f>SUM(X42:X52)</f>
        <v>3</v>
      </c>
      <c r="Y53" s="29">
        <f>SUM(Y42:Y52)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4:I34"/>
    <mergeCell ref="B38:L38"/>
    <mergeCell ref="B39:L39"/>
    <mergeCell ref="B40:L40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3A00-000000000000}"/>
    <hyperlink ref="O1" location="'Home Page'!A1" display="Back" xr:uid="{00000000-0004-0000-3A00-000001000000}"/>
    <hyperlink ref="B34" r:id="rId2" xr:uid="{00000000-0004-0000-3A00-000002000000}"/>
    <hyperlink ref="B53" r:id="rId3" xr:uid="{00000000-0004-0000-3A00-000003000000}"/>
  </hyperlinks>
  <pageMargins left="0" right="0" top="0" bottom="0" header="0" footer="0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38"/>
  <sheetViews>
    <sheetView workbookViewId="0">
      <selection activeCell="J2" sqref="J2"/>
    </sheetView>
  </sheetViews>
  <sheetFormatPr defaultColWidth="9"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3.5546875" bestFit="1" customWidth="1"/>
    <col min="5" max="7" width="9.5546875" bestFit="1" customWidth="1"/>
    <col min="8" max="8" width="14.88671875" bestFit="1" customWidth="1"/>
    <col min="9" max="9" width="9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85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41487</v>
      </c>
      <c r="C5" s="8" t="s">
        <v>13</v>
      </c>
      <c r="D5" s="8" t="s">
        <v>90</v>
      </c>
      <c r="E5" s="8">
        <v>168</v>
      </c>
      <c r="F5" s="8">
        <v>160</v>
      </c>
      <c r="G5" s="8">
        <v>4000</v>
      </c>
      <c r="H5" s="8">
        <v>32000</v>
      </c>
    </row>
    <row r="6" spans="1:10" ht="25.8" x14ac:dyDescent="0.5">
      <c r="B6" s="7">
        <v>41491</v>
      </c>
      <c r="C6" s="8" t="s">
        <v>13</v>
      </c>
      <c r="D6" s="8" t="s">
        <v>83</v>
      </c>
      <c r="E6" s="8">
        <v>120</v>
      </c>
      <c r="F6" s="8">
        <v>114</v>
      </c>
      <c r="G6" s="8">
        <v>4000</v>
      </c>
      <c r="H6" s="8">
        <v>24000</v>
      </c>
    </row>
    <row r="7" spans="1:10" ht="25.8" x14ac:dyDescent="0.5">
      <c r="B7" s="7">
        <v>41498</v>
      </c>
      <c r="C7" s="8" t="s">
        <v>20</v>
      </c>
      <c r="D7" s="8" t="s">
        <v>14</v>
      </c>
      <c r="E7" s="8">
        <v>139</v>
      </c>
      <c r="F7" s="8">
        <v>147</v>
      </c>
      <c r="G7" s="8">
        <v>2000</v>
      </c>
      <c r="H7" s="8">
        <v>16000</v>
      </c>
    </row>
    <row r="8" spans="1:10" ht="25.8" x14ac:dyDescent="0.5">
      <c r="B8" s="7">
        <v>41500</v>
      </c>
      <c r="C8" s="8" t="s">
        <v>13</v>
      </c>
      <c r="D8" s="8" t="s">
        <v>92</v>
      </c>
      <c r="E8" s="8">
        <v>300</v>
      </c>
      <c r="F8" s="8">
        <v>280</v>
      </c>
      <c r="G8" s="8">
        <v>1000</v>
      </c>
      <c r="H8" s="8">
        <v>20000</v>
      </c>
    </row>
    <row r="9" spans="1:10" ht="25.8" x14ac:dyDescent="0.5">
      <c r="B9" s="7">
        <v>41506</v>
      </c>
      <c r="C9" s="8" t="s">
        <v>13</v>
      </c>
      <c r="D9" s="8" t="s">
        <v>95</v>
      </c>
      <c r="E9" s="8">
        <v>930</v>
      </c>
      <c r="F9" s="8">
        <v>900</v>
      </c>
      <c r="G9" s="8">
        <v>100</v>
      </c>
      <c r="H9" s="8">
        <v>30000</v>
      </c>
    </row>
    <row r="10" spans="1:10" ht="25.8" x14ac:dyDescent="0.5">
      <c r="B10" s="7">
        <v>41507</v>
      </c>
      <c r="C10" s="8" t="s">
        <v>13</v>
      </c>
      <c r="D10" s="8" t="s">
        <v>83</v>
      </c>
      <c r="E10" s="8">
        <v>115</v>
      </c>
      <c r="F10" s="8">
        <v>110</v>
      </c>
      <c r="G10" s="8">
        <v>2000</v>
      </c>
      <c r="H10" s="8">
        <v>10000</v>
      </c>
    </row>
    <row r="11" spans="1:10" ht="25.8" x14ac:dyDescent="0.5">
      <c r="B11" s="7">
        <v>41509</v>
      </c>
      <c r="C11" s="8" t="s">
        <v>13</v>
      </c>
      <c r="D11" s="8" t="s">
        <v>90</v>
      </c>
      <c r="E11" s="8">
        <v>158</v>
      </c>
      <c r="F11" s="8">
        <v>161</v>
      </c>
      <c r="G11" s="8">
        <v>4000</v>
      </c>
      <c r="H11" s="8">
        <v>-12000</v>
      </c>
    </row>
    <row r="12" spans="1:10" ht="25.8" x14ac:dyDescent="0.5">
      <c r="B12" s="7"/>
      <c r="C12" s="8"/>
      <c r="D12" s="8"/>
      <c r="E12" s="8"/>
      <c r="F12" s="8"/>
      <c r="G12" s="8"/>
      <c r="H12" s="9">
        <v>120000</v>
      </c>
    </row>
    <row r="14" spans="1:10" ht="15" thickBot="1" x14ac:dyDescent="0.35"/>
    <row r="15" spans="1:10" ht="16.2" thickBot="1" x14ac:dyDescent="0.35">
      <c r="B15" s="158" t="s">
        <v>86</v>
      </c>
      <c r="C15" s="158"/>
      <c r="D15" s="158"/>
      <c r="E15" s="158"/>
      <c r="F15" s="158"/>
      <c r="G15" s="158"/>
      <c r="H15" s="158"/>
    </row>
    <row r="16" spans="1:10" x14ac:dyDescent="0.3">
      <c r="B16" s="1" t="s">
        <v>1</v>
      </c>
      <c r="C16" s="2" t="s">
        <v>2</v>
      </c>
      <c r="D16" s="2" t="s">
        <v>3</v>
      </c>
      <c r="E16" s="3" t="s">
        <v>4</v>
      </c>
      <c r="F16" s="3" t="s">
        <v>5</v>
      </c>
      <c r="G16" s="3" t="s">
        <v>44</v>
      </c>
      <c r="H16" s="3" t="s">
        <v>31</v>
      </c>
    </row>
    <row r="17" spans="2:8" ht="25.8" x14ac:dyDescent="0.5">
      <c r="B17" s="7">
        <v>41487</v>
      </c>
      <c r="C17" s="8" t="s">
        <v>13</v>
      </c>
      <c r="D17" s="8" t="s">
        <v>30</v>
      </c>
      <c r="E17" s="8">
        <v>5800</v>
      </c>
      <c r="F17" s="8">
        <v>5750</v>
      </c>
      <c r="G17" s="8">
        <v>50</v>
      </c>
      <c r="H17" s="8">
        <v>25000</v>
      </c>
    </row>
    <row r="18" spans="2:8" ht="25.8" x14ac:dyDescent="0.5">
      <c r="B18" s="7">
        <v>41491</v>
      </c>
      <c r="C18" s="8" t="s">
        <v>13</v>
      </c>
      <c r="D18" s="8" t="s">
        <v>30</v>
      </c>
      <c r="E18" s="8">
        <v>5700</v>
      </c>
      <c r="F18" s="8">
        <v>5620</v>
      </c>
      <c r="G18" s="8">
        <v>80</v>
      </c>
      <c r="H18" s="8">
        <v>40000</v>
      </c>
    </row>
    <row r="19" spans="2:8" ht="25.8" x14ac:dyDescent="0.5">
      <c r="B19" s="7">
        <v>41498</v>
      </c>
      <c r="C19" s="8" t="s">
        <v>20</v>
      </c>
      <c r="D19" s="8" t="s">
        <v>30</v>
      </c>
      <c r="E19" s="8">
        <v>5600</v>
      </c>
      <c r="F19" s="8">
        <v>5680</v>
      </c>
      <c r="G19" s="8">
        <v>80</v>
      </c>
      <c r="H19" s="8">
        <v>40000</v>
      </c>
    </row>
    <row r="20" spans="2:8" ht="25.8" x14ac:dyDescent="0.5">
      <c r="B20" s="7">
        <v>41502</v>
      </c>
      <c r="C20" s="8" t="s">
        <v>13</v>
      </c>
      <c r="D20" s="8" t="s">
        <v>30</v>
      </c>
      <c r="E20" s="8">
        <v>5650</v>
      </c>
      <c r="F20" s="8">
        <v>5600</v>
      </c>
      <c r="G20" s="8">
        <v>50</v>
      </c>
      <c r="H20" s="8">
        <v>25000</v>
      </c>
    </row>
    <row r="21" spans="2:8" ht="25.8" x14ac:dyDescent="0.5">
      <c r="B21" s="7">
        <v>41506</v>
      </c>
      <c r="C21" s="8" t="s">
        <v>13</v>
      </c>
      <c r="D21" s="8" t="s">
        <v>30</v>
      </c>
      <c r="E21" s="8">
        <v>5400</v>
      </c>
      <c r="F21" s="8">
        <v>5300</v>
      </c>
      <c r="G21" s="8">
        <v>100</v>
      </c>
      <c r="H21" s="8">
        <v>50000</v>
      </c>
    </row>
    <row r="22" spans="2:8" ht="25.8" x14ac:dyDescent="0.5">
      <c r="B22" s="7">
        <v>41506</v>
      </c>
      <c r="C22" s="8" t="s">
        <v>8</v>
      </c>
      <c r="D22" s="8" t="s">
        <v>30</v>
      </c>
      <c r="E22" s="8">
        <v>5300</v>
      </c>
      <c r="F22" s="8">
        <v>5400</v>
      </c>
      <c r="G22" s="8">
        <v>100</v>
      </c>
      <c r="H22" s="8">
        <v>50000</v>
      </c>
    </row>
    <row r="23" spans="2:8" ht="25.8" x14ac:dyDescent="0.5">
      <c r="B23" s="7">
        <v>41512</v>
      </c>
      <c r="C23" s="8" t="s">
        <v>8</v>
      </c>
      <c r="D23" s="8" t="s">
        <v>30</v>
      </c>
      <c r="E23" s="8">
        <v>5475</v>
      </c>
      <c r="F23" s="8">
        <v>5400</v>
      </c>
      <c r="G23" s="8">
        <v>75</v>
      </c>
      <c r="H23" s="8">
        <v>-37500</v>
      </c>
    </row>
    <row r="24" spans="2:8" ht="25.8" x14ac:dyDescent="0.5">
      <c r="B24" s="7"/>
      <c r="C24" s="8"/>
      <c r="D24" s="8"/>
      <c r="E24" s="8"/>
      <c r="F24" s="8"/>
      <c r="G24" s="8"/>
      <c r="H24" s="9">
        <v>192500</v>
      </c>
    </row>
    <row r="26" spans="2:8" ht="15" thickBot="1" x14ac:dyDescent="0.35"/>
    <row r="27" spans="2:8" ht="16.2" thickBot="1" x14ac:dyDescent="0.35">
      <c r="B27" s="158" t="s">
        <v>87</v>
      </c>
      <c r="C27" s="158"/>
      <c r="D27" s="158"/>
      <c r="E27" s="158"/>
      <c r="F27" s="158"/>
      <c r="G27" s="158"/>
      <c r="H27" s="158"/>
    </row>
    <row r="28" spans="2:8" x14ac:dyDescent="0.3">
      <c r="B28" s="1" t="s">
        <v>1</v>
      </c>
      <c r="C28" s="2" t="s">
        <v>2</v>
      </c>
      <c r="D28" s="2" t="s">
        <v>3</v>
      </c>
      <c r="E28" s="3" t="s">
        <v>4</v>
      </c>
      <c r="F28" s="3" t="s">
        <v>5</v>
      </c>
      <c r="G28" s="3" t="s">
        <v>6</v>
      </c>
      <c r="H28" s="3" t="s">
        <v>89</v>
      </c>
    </row>
    <row r="29" spans="2:8" ht="25.8" x14ac:dyDescent="0.5">
      <c r="B29" s="7">
        <v>41487</v>
      </c>
      <c r="C29" s="8" t="s">
        <v>8</v>
      </c>
      <c r="D29" s="8" t="s">
        <v>88</v>
      </c>
      <c r="E29" s="8">
        <v>6</v>
      </c>
      <c r="F29" s="8">
        <v>10</v>
      </c>
      <c r="G29" s="8">
        <v>4000</v>
      </c>
      <c r="H29" s="8">
        <v>16000</v>
      </c>
    </row>
    <row r="30" spans="2:8" ht="25.8" x14ac:dyDescent="0.5">
      <c r="B30" s="7">
        <v>41488</v>
      </c>
      <c r="C30" s="8" t="s">
        <v>8</v>
      </c>
      <c r="D30" s="8" t="s">
        <v>91</v>
      </c>
      <c r="E30" s="8">
        <v>20</v>
      </c>
      <c r="F30" s="8">
        <v>30</v>
      </c>
      <c r="G30" s="8">
        <v>1000</v>
      </c>
      <c r="H30" s="8">
        <v>10000</v>
      </c>
    </row>
    <row r="31" spans="2:8" ht="25.8" x14ac:dyDescent="0.5">
      <c r="B31" s="7">
        <v>41491</v>
      </c>
      <c r="C31" s="8" t="s">
        <v>8</v>
      </c>
      <c r="D31" s="8" t="s">
        <v>91</v>
      </c>
      <c r="E31" s="8">
        <v>26</v>
      </c>
      <c r="F31" s="8">
        <v>21</v>
      </c>
      <c r="G31" s="8">
        <v>1000</v>
      </c>
      <c r="H31" s="8">
        <v>-5000</v>
      </c>
    </row>
    <row r="32" spans="2:8" ht="25.8" x14ac:dyDescent="0.5">
      <c r="B32" s="7">
        <v>41498</v>
      </c>
      <c r="C32" s="8" t="s">
        <v>8</v>
      </c>
      <c r="D32" s="8" t="s">
        <v>49</v>
      </c>
      <c r="E32" s="8">
        <v>100</v>
      </c>
      <c r="F32" s="8">
        <v>150</v>
      </c>
      <c r="G32" s="8">
        <v>200</v>
      </c>
      <c r="H32" s="8">
        <v>10000</v>
      </c>
    </row>
    <row r="33" spans="2:8" ht="25.8" x14ac:dyDescent="0.5">
      <c r="B33" s="7">
        <v>41500</v>
      </c>
      <c r="C33" s="8" t="s">
        <v>8</v>
      </c>
      <c r="D33" s="8" t="s">
        <v>93</v>
      </c>
      <c r="E33" s="8">
        <v>6</v>
      </c>
      <c r="F33" s="8">
        <v>9</v>
      </c>
      <c r="G33" s="8">
        <v>4000</v>
      </c>
      <c r="H33" s="8">
        <v>12000</v>
      </c>
    </row>
    <row r="34" spans="2:8" ht="25.8" x14ac:dyDescent="0.5">
      <c r="B34" s="13">
        <v>41502</v>
      </c>
      <c r="C34" s="8" t="s">
        <v>8</v>
      </c>
      <c r="D34" s="8" t="s">
        <v>94</v>
      </c>
      <c r="E34" s="8">
        <v>30</v>
      </c>
      <c r="F34" s="8">
        <v>65</v>
      </c>
      <c r="G34" s="8">
        <v>200</v>
      </c>
      <c r="H34" s="8">
        <v>7000</v>
      </c>
    </row>
    <row r="35" spans="2:8" ht="25.8" x14ac:dyDescent="0.5">
      <c r="B35" s="13">
        <v>41506</v>
      </c>
      <c r="C35" s="8" t="s">
        <v>8</v>
      </c>
      <c r="D35" s="8" t="s">
        <v>96</v>
      </c>
      <c r="E35" s="8">
        <v>20</v>
      </c>
      <c r="F35" s="8">
        <v>30</v>
      </c>
      <c r="G35" s="8">
        <v>500</v>
      </c>
      <c r="H35" s="8">
        <v>5000</v>
      </c>
    </row>
    <row r="36" spans="2:8" ht="25.8" x14ac:dyDescent="0.5">
      <c r="B36" s="13">
        <v>41507</v>
      </c>
      <c r="C36" s="8" t="s">
        <v>8</v>
      </c>
      <c r="D36" s="8" t="s">
        <v>97</v>
      </c>
      <c r="E36" s="8">
        <v>32</v>
      </c>
      <c r="F36" s="8">
        <v>62</v>
      </c>
      <c r="G36" s="8">
        <v>250</v>
      </c>
      <c r="H36" s="8">
        <v>7500</v>
      </c>
    </row>
    <row r="37" spans="2:8" ht="25.8" x14ac:dyDescent="0.5">
      <c r="B37" s="13">
        <v>41509</v>
      </c>
      <c r="C37" s="8" t="s">
        <v>8</v>
      </c>
      <c r="D37" s="8" t="s">
        <v>98</v>
      </c>
      <c r="E37" s="8">
        <v>2</v>
      </c>
      <c r="F37" s="8">
        <v>4</v>
      </c>
      <c r="G37" s="8">
        <v>4000</v>
      </c>
      <c r="H37" s="8">
        <v>8000</v>
      </c>
    </row>
    <row r="38" spans="2:8" ht="25.8" x14ac:dyDescent="0.5">
      <c r="H38" s="9">
        <v>70500</v>
      </c>
    </row>
  </sheetData>
  <mergeCells count="5">
    <mergeCell ref="B1:H1"/>
    <mergeCell ref="B2:H2"/>
    <mergeCell ref="B3:H3"/>
    <mergeCell ref="B15:H15"/>
    <mergeCell ref="B27:H27"/>
  </mergeCells>
  <hyperlinks>
    <hyperlink ref="J2" location="'Home Page'!A1" display="Back" xr:uid="{00000000-0004-0000-0500-000000000000}"/>
  </hyperlinks>
  <pageMargins left="0.7" right="0.7" top="0.75" bottom="0.75" header="0.3" footer="0.3"/>
  <pageSetup orientation="portrait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Y54"/>
  <sheetViews>
    <sheetView topLeftCell="A40" workbookViewId="0">
      <selection activeCell="B20" sqref="B20:L20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11.554687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43132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5</v>
      </c>
      <c r="Q4" s="208">
        <v>5</v>
      </c>
      <c r="R4" s="208">
        <v>0</v>
      </c>
      <c r="S4" s="209"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x14ac:dyDescent="0.3">
      <c r="A6" s="31"/>
      <c r="B6" s="33">
        <v>1</v>
      </c>
      <c r="C6" s="34">
        <v>43136</v>
      </c>
      <c r="D6" s="35" t="s">
        <v>20</v>
      </c>
      <c r="E6" s="35" t="s">
        <v>625</v>
      </c>
      <c r="F6" s="106">
        <v>1017</v>
      </c>
      <c r="G6" s="105">
        <v>1028</v>
      </c>
      <c r="H6" s="34">
        <v>43136</v>
      </c>
      <c r="I6" s="36">
        <v>1000</v>
      </c>
      <c r="J6" s="107">
        <v>11</v>
      </c>
      <c r="K6" s="41">
        <f>I6*J6</f>
        <v>11000</v>
      </c>
      <c r="L6" s="37" t="s">
        <v>403</v>
      </c>
      <c r="M6" s="32"/>
      <c r="O6" s="198" t="s">
        <v>599</v>
      </c>
      <c r="P6" s="199">
        <f>COUNT(C24:C33)</f>
        <v>7</v>
      </c>
      <c r="Q6" s="200">
        <v>6</v>
      </c>
      <c r="R6" s="200">
        <v>0</v>
      </c>
      <c r="S6" s="201">
        <v>1</v>
      </c>
      <c r="T6" s="197">
        <f t="shared" ref="T6" si="0">Q6/P6</f>
        <v>0.8571428571428571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42771</v>
      </c>
      <c r="D7" s="40" t="s">
        <v>13</v>
      </c>
      <c r="E7" s="40" t="s">
        <v>170</v>
      </c>
      <c r="F7" s="106">
        <v>2125</v>
      </c>
      <c r="G7" s="106">
        <v>2040</v>
      </c>
      <c r="H7" s="39">
        <v>43137</v>
      </c>
      <c r="I7" s="41">
        <v>500</v>
      </c>
      <c r="J7" s="85">
        <v>85</v>
      </c>
      <c r="K7" s="41">
        <f t="shared" ref="K7:K10" si="1">I7*J7</f>
        <v>42500</v>
      </c>
      <c r="L7" s="42" t="s">
        <v>195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43146</v>
      </c>
      <c r="D8" s="40" t="s">
        <v>20</v>
      </c>
      <c r="E8" s="40" t="s">
        <v>11</v>
      </c>
      <c r="F8" s="117">
        <v>276.5</v>
      </c>
      <c r="G8" s="106">
        <v>281.2</v>
      </c>
      <c r="H8" s="39">
        <v>43147</v>
      </c>
      <c r="I8" s="41">
        <v>6000</v>
      </c>
      <c r="J8" s="108">
        <f>G8-F8</f>
        <v>4.6999999999999886</v>
      </c>
      <c r="K8" s="41">
        <f t="shared" si="1"/>
        <v>28199.999999999931</v>
      </c>
      <c r="L8" s="42" t="s">
        <v>403</v>
      </c>
      <c r="M8" s="32"/>
      <c r="O8" s="198" t="s">
        <v>600</v>
      </c>
      <c r="P8" s="199">
        <f>COUNT(C42:C52)</f>
        <v>4</v>
      </c>
      <c r="Q8" s="200">
        <v>4</v>
      </c>
      <c r="R8" s="200">
        <v>0</v>
      </c>
      <c r="S8" s="201">
        <v>0</v>
      </c>
      <c r="T8" s="197">
        <f t="shared" ref="T8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43150</v>
      </c>
      <c r="D9" s="40" t="s">
        <v>13</v>
      </c>
      <c r="E9" s="40" t="s">
        <v>11</v>
      </c>
      <c r="F9" s="106">
        <v>263</v>
      </c>
      <c r="G9" s="106">
        <v>258</v>
      </c>
      <c r="H9" s="39">
        <v>43151</v>
      </c>
      <c r="I9" s="41">
        <v>6000</v>
      </c>
      <c r="J9" s="85">
        <v>5</v>
      </c>
      <c r="K9" s="41">
        <f t="shared" si="1"/>
        <v>30000</v>
      </c>
      <c r="L9" s="42" t="s">
        <v>198</v>
      </c>
      <c r="M9" s="32"/>
      <c r="O9" s="203"/>
      <c r="P9" s="199"/>
      <c r="Q9" s="200"/>
      <c r="R9" s="200"/>
      <c r="S9" s="202"/>
      <c r="T9" s="19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43151</v>
      </c>
      <c r="D10" s="40" t="s">
        <v>13</v>
      </c>
      <c r="E10" s="40" t="s">
        <v>11</v>
      </c>
      <c r="F10" s="106">
        <v>271</v>
      </c>
      <c r="G10" s="106">
        <v>267.8</v>
      </c>
      <c r="H10" s="39">
        <v>43152</v>
      </c>
      <c r="I10" s="41">
        <v>6000</v>
      </c>
      <c r="J10" s="108">
        <f>F10-G10</f>
        <v>3.1999999999999886</v>
      </c>
      <c r="K10" s="41">
        <f t="shared" si="1"/>
        <v>19199.999999999931</v>
      </c>
      <c r="L10" s="42" t="s">
        <v>198</v>
      </c>
      <c r="M10" s="32"/>
      <c r="O10" s="171" t="s">
        <v>575</v>
      </c>
      <c r="P10" s="173">
        <f>SUM(P4:P9)</f>
        <v>16</v>
      </c>
      <c r="Q10" s="173">
        <v>15</v>
      </c>
      <c r="R10" s="173">
        <v>0</v>
      </c>
      <c r="S10" s="193">
        <v>1</v>
      </c>
      <c r="T10" s="195">
        <f t="shared" ref="T10" si="6">Q10/P10</f>
        <v>0.9375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0.9375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130899.99999999985</v>
      </c>
      <c r="L16" s="86"/>
      <c r="M16" s="32"/>
      <c r="X16" s="29">
        <f>SUM(X6:X15)</f>
        <v>5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43132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43136</v>
      </c>
      <c r="D24" s="35" t="s">
        <v>13</v>
      </c>
      <c r="E24" s="35" t="s">
        <v>619</v>
      </c>
      <c r="F24" s="36">
        <v>26230</v>
      </c>
      <c r="G24" s="36">
        <v>25300</v>
      </c>
      <c r="H24" s="34">
        <v>43136</v>
      </c>
      <c r="I24" s="36">
        <v>200</v>
      </c>
      <c r="J24" s="84">
        <f>F24-G24</f>
        <v>930</v>
      </c>
      <c r="K24" s="41">
        <f>J24*I24</f>
        <v>186000</v>
      </c>
      <c r="L24" s="37" t="s">
        <v>195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4">
        <v>43136</v>
      </c>
      <c r="D25" s="35" t="s">
        <v>13</v>
      </c>
      <c r="E25" s="40" t="s">
        <v>30</v>
      </c>
      <c r="F25" s="41">
        <v>10700</v>
      </c>
      <c r="G25" s="41">
        <v>10300</v>
      </c>
      <c r="H25" s="39">
        <v>43136</v>
      </c>
      <c r="I25" s="41">
        <v>375</v>
      </c>
      <c r="J25" s="85">
        <v>400</v>
      </c>
      <c r="K25" s="41">
        <f t="shared" ref="K25:K28" si="7">J25*I25</f>
        <v>150000</v>
      </c>
      <c r="L25" s="42" t="s">
        <v>195</v>
      </c>
      <c r="M25" s="32"/>
      <c r="X25" s="29">
        <f t="shared" ref="X25:X33" si="8">IF($L25&gt;0,1,0)</f>
        <v>1</v>
      </c>
      <c r="Y25" s="29">
        <f t="shared" ref="Y25:Y33" si="9">IF($L25&lt;0,1,0)</f>
        <v>0</v>
      </c>
    </row>
    <row r="26" spans="1:25" x14ac:dyDescent="0.3">
      <c r="A26" s="31"/>
      <c r="B26" s="38">
        <f t="shared" ref="B26:B33" si="10">B25+1</f>
        <v>3</v>
      </c>
      <c r="C26" s="39">
        <v>43137</v>
      </c>
      <c r="D26" s="40" t="s">
        <v>20</v>
      </c>
      <c r="E26" s="40" t="s">
        <v>619</v>
      </c>
      <c r="F26" s="41">
        <v>25900</v>
      </c>
      <c r="G26" s="41">
        <v>26080</v>
      </c>
      <c r="H26" s="39">
        <v>43138</v>
      </c>
      <c r="I26" s="41">
        <v>200</v>
      </c>
      <c r="J26" s="85">
        <f>G26-F26</f>
        <v>180</v>
      </c>
      <c r="K26" s="41">
        <f t="shared" si="7"/>
        <v>36000</v>
      </c>
      <c r="L26" s="42" t="s">
        <v>198</v>
      </c>
      <c r="M26" s="32"/>
      <c r="X26" s="29">
        <f t="shared" si="8"/>
        <v>1</v>
      </c>
      <c r="Y26" s="29">
        <f t="shared" si="9"/>
        <v>0</v>
      </c>
    </row>
    <row r="27" spans="1:25" x14ac:dyDescent="0.3">
      <c r="A27" s="31"/>
      <c r="B27" s="38">
        <f t="shared" si="10"/>
        <v>4</v>
      </c>
      <c r="C27" s="39">
        <v>43145</v>
      </c>
      <c r="D27" s="40" t="s">
        <v>13</v>
      </c>
      <c r="E27" s="40" t="s">
        <v>619</v>
      </c>
      <c r="F27" s="41">
        <v>25550</v>
      </c>
      <c r="G27" s="41">
        <v>25250</v>
      </c>
      <c r="H27" s="39">
        <v>43145</v>
      </c>
      <c r="I27" s="41">
        <v>200</v>
      </c>
      <c r="J27" s="85">
        <f>F27-G27</f>
        <v>300</v>
      </c>
      <c r="K27" s="41">
        <f t="shared" si="7"/>
        <v>60000</v>
      </c>
      <c r="L27" s="42" t="s">
        <v>198</v>
      </c>
      <c r="M27" s="32"/>
      <c r="X27" s="29">
        <f t="shared" si="8"/>
        <v>1</v>
      </c>
      <c r="Y27" s="29">
        <f t="shared" si="9"/>
        <v>0</v>
      </c>
    </row>
    <row r="28" spans="1:25" x14ac:dyDescent="0.3">
      <c r="A28" s="31"/>
      <c r="B28" s="38">
        <f t="shared" si="10"/>
        <v>5</v>
      </c>
      <c r="C28" s="39">
        <v>43147</v>
      </c>
      <c r="D28" s="40" t="s">
        <v>8</v>
      </c>
      <c r="E28" s="40" t="s">
        <v>619</v>
      </c>
      <c r="F28" s="41">
        <v>25150</v>
      </c>
      <c r="G28" s="41">
        <v>25250</v>
      </c>
      <c r="H28" s="39">
        <v>43150</v>
      </c>
      <c r="I28" s="41">
        <v>200</v>
      </c>
      <c r="J28" s="85">
        <v>100</v>
      </c>
      <c r="K28" s="41">
        <f t="shared" si="7"/>
        <v>20000</v>
      </c>
      <c r="L28" s="42" t="s">
        <v>403</v>
      </c>
      <c r="M28" s="32"/>
      <c r="X28" s="29">
        <f t="shared" si="8"/>
        <v>1</v>
      </c>
      <c r="Y28" s="29">
        <f t="shared" si="9"/>
        <v>0</v>
      </c>
    </row>
    <row r="29" spans="1:25" x14ac:dyDescent="0.3">
      <c r="A29" s="31"/>
      <c r="B29" s="38">
        <f t="shared" si="10"/>
        <v>6</v>
      </c>
      <c r="C29" s="39">
        <v>43150</v>
      </c>
      <c r="D29" s="40" t="s">
        <v>13</v>
      </c>
      <c r="E29" s="40" t="s">
        <v>30</v>
      </c>
      <c r="F29" s="41">
        <v>10360</v>
      </c>
      <c r="G29" s="41">
        <v>10300</v>
      </c>
      <c r="H29" s="39">
        <v>43150</v>
      </c>
      <c r="I29" s="41">
        <v>375</v>
      </c>
      <c r="J29" s="85">
        <f>F29-G29</f>
        <v>60</v>
      </c>
      <c r="K29" s="41">
        <f>J29*I29</f>
        <v>22500</v>
      </c>
      <c r="L29" s="42" t="s">
        <v>198</v>
      </c>
      <c r="M29" s="32"/>
      <c r="X29" s="29">
        <f t="shared" si="8"/>
        <v>1</v>
      </c>
      <c r="Y29" s="29">
        <f t="shared" si="9"/>
        <v>0</v>
      </c>
    </row>
    <row r="30" spans="1:25" x14ac:dyDescent="0.3">
      <c r="A30" s="31"/>
      <c r="B30" s="38">
        <f t="shared" si="10"/>
        <v>7</v>
      </c>
      <c r="C30" s="39">
        <v>43151</v>
      </c>
      <c r="D30" s="40" t="s">
        <v>13</v>
      </c>
      <c r="E30" s="40" t="s">
        <v>30</v>
      </c>
      <c r="F30" s="41">
        <v>10360</v>
      </c>
      <c r="G30" s="41">
        <v>10370</v>
      </c>
      <c r="H30" s="39">
        <v>43154</v>
      </c>
      <c r="I30" s="41">
        <v>375</v>
      </c>
      <c r="J30" s="85">
        <v>-10</v>
      </c>
      <c r="K30" s="41">
        <f>J30*I30</f>
        <v>-3750</v>
      </c>
      <c r="L30" s="42" t="s">
        <v>5</v>
      </c>
      <c r="M30" s="32"/>
      <c r="X30" s="29">
        <f t="shared" si="8"/>
        <v>1</v>
      </c>
      <c r="Y30" s="29">
        <f t="shared" si="9"/>
        <v>0</v>
      </c>
    </row>
    <row r="31" spans="1:25" x14ac:dyDescent="0.3">
      <c r="A31" s="31"/>
      <c r="B31" s="38">
        <f t="shared" si="10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8"/>
        <v>0</v>
      </c>
      <c r="Y31" s="29">
        <f t="shared" si="9"/>
        <v>0</v>
      </c>
    </row>
    <row r="32" spans="1:25" x14ac:dyDescent="0.3">
      <c r="A32" s="31"/>
      <c r="B32" s="38">
        <f t="shared" si="10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8"/>
        <v>0</v>
      </c>
      <c r="Y32" s="29">
        <f t="shared" si="9"/>
        <v>0</v>
      </c>
    </row>
    <row r="33" spans="1:25" ht="15" thickBot="1" x14ac:dyDescent="0.35">
      <c r="A33" s="31"/>
      <c r="B33" s="38">
        <f t="shared" si="10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8"/>
        <v>0</v>
      </c>
      <c r="Y33" s="29">
        <f t="shared" si="9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470750</v>
      </c>
      <c r="L34" s="86"/>
      <c r="M34" s="32"/>
      <c r="X34" s="29">
        <f>SUM(X24:X33)</f>
        <v>7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43132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43136</v>
      </c>
      <c r="D42" s="35" t="s">
        <v>20</v>
      </c>
      <c r="E42" s="35" t="s">
        <v>507</v>
      </c>
      <c r="F42" s="105">
        <v>9</v>
      </c>
      <c r="G42" s="105">
        <v>20</v>
      </c>
      <c r="H42" s="34">
        <v>43137</v>
      </c>
      <c r="I42" s="36">
        <v>3200</v>
      </c>
      <c r="J42" s="107">
        <v>11</v>
      </c>
      <c r="K42" s="41">
        <f>J42*I42</f>
        <v>35200</v>
      </c>
      <c r="L42" s="37" t="s">
        <v>195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119">
        <v>2</v>
      </c>
      <c r="C43" s="120">
        <v>43145</v>
      </c>
      <c r="D43" s="121" t="s">
        <v>20</v>
      </c>
      <c r="E43" s="121" t="s">
        <v>626</v>
      </c>
      <c r="F43" s="117">
        <v>42</v>
      </c>
      <c r="G43" s="117">
        <v>62</v>
      </c>
      <c r="H43" s="120">
        <v>43146</v>
      </c>
      <c r="I43" s="122">
        <v>750</v>
      </c>
      <c r="J43" s="123">
        <v>20</v>
      </c>
      <c r="K43" s="41">
        <f>J43*I43</f>
        <v>15000</v>
      </c>
      <c r="L43" s="124" t="s">
        <v>198</v>
      </c>
      <c r="M43" s="32"/>
    </row>
    <row r="44" spans="1:25" x14ac:dyDescent="0.3">
      <c r="A44" s="31"/>
      <c r="B44" s="38">
        <v>3</v>
      </c>
      <c r="C44" s="39">
        <v>43146</v>
      </c>
      <c r="D44" s="40" t="s">
        <v>8</v>
      </c>
      <c r="E44" s="40" t="s">
        <v>627</v>
      </c>
      <c r="F44" s="106">
        <v>8</v>
      </c>
      <c r="G44" s="106">
        <v>10</v>
      </c>
      <c r="H44" s="39">
        <v>43147</v>
      </c>
      <c r="I44" s="41">
        <v>3200</v>
      </c>
      <c r="J44" s="108">
        <v>2</v>
      </c>
      <c r="K44" s="41">
        <f>J44*I44</f>
        <v>6400</v>
      </c>
      <c r="L44" s="42" t="s">
        <v>403</v>
      </c>
      <c r="M44" s="32"/>
      <c r="X44" s="29">
        <f t="shared" ref="X44:X52" si="11">IF($L44&gt;0,1,0)</f>
        <v>1</v>
      </c>
      <c r="Y44" s="29">
        <f t="shared" ref="Y44:Y52" si="12">IF($L44&lt;0,1,0)</f>
        <v>0</v>
      </c>
    </row>
    <row r="45" spans="1:25" x14ac:dyDescent="0.3">
      <c r="A45" s="31"/>
      <c r="B45" s="38">
        <f t="shared" ref="B45:B52" si="13">B44+1</f>
        <v>4</v>
      </c>
      <c r="C45" s="39">
        <v>43150</v>
      </c>
      <c r="D45" s="40" t="s">
        <v>8</v>
      </c>
      <c r="E45" s="40" t="s">
        <v>628</v>
      </c>
      <c r="F45" s="106">
        <v>4</v>
      </c>
      <c r="G45" s="106">
        <v>6.5</v>
      </c>
      <c r="H45" s="39">
        <v>43150</v>
      </c>
      <c r="I45" s="41">
        <v>6000</v>
      </c>
      <c r="J45" s="85">
        <f>G45-F45</f>
        <v>2.5</v>
      </c>
      <c r="K45" s="41">
        <f>J45*I45</f>
        <v>15000</v>
      </c>
      <c r="L45" s="42" t="s">
        <v>198</v>
      </c>
      <c r="M45" s="32"/>
      <c r="X45" s="29">
        <f t="shared" si="11"/>
        <v>1</v>
      </c>
      <c r="Y45" s="29">
        <f t="shared" si="12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06"/>
      <c r="G46" s="106"/>
      <c r="H46" s="39"/>
      <c r="I46" s="41"/>
      <c r="J46" s="85"/>
      <c r="K46" s="41"/>
      <c r="L46" s="42"/>
      <c r="M46" s="32"/>
      <c r="X46" s="29">
        <f t="shared" si="11"/>
        <v>0</v>
      </c>
      <c r="Y46" s="29">
        <f t="shared" si="12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06"/>
      <c r="G47" s="106"/>
      <c r="H47" s="39"/>
      <c r="I47" s="41"/>
      <c r="J47" s="85"/>
      <c r="K47" s="115"/>
      <c r="L47" s="42"/>
      <c r="M47" s="32"/>
      <c r="X47" s="29">
        <f t="shared" si="11"/>
        <v>0</v>
      </c>
      <c r="Y47" s="29">
        <f t="shared" si="12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06"/>
      <c r="G48" s="106"/>
      <c r="H48" s="41"/>
      <c r="I48" s="41"/>
      <c r="J48" s="85"/>
      <c r="K48" s="85">
        <f t="shared" ref="K48:K52" si="14">I48*J48</f>
        <v>0</v>
      </c>
      <c r="L48" s="42"/>
      <c r="M48" s="32"/>
      <c r="X48" s="29">
        <f t="shared" si="11"/>
        <v>0</v>
      </c>
      <c r="Y48" s="29">
        <f t="shared" si="12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14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4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3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4"/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3"/>
        <v>11</v>
      </c>
      <c r="C52" s="39"/>
      <c r="D52" s="40"/>
      <c r="E52" s="40"/>
      <c r="F52" s="41"/>
      <c r="G52" s="41"/>
      <c r="H52" s="41"/>
      <c r="I52" s="41"/>
      <c r="J52" s="85"/>
      <c r="K52" s="85">
        <f t="shared" si="14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SUM(K42:K52)</f>
        <v>71600</v>
      </c>
      <c r="L53" s="86"/>
      <c r="M53" s="32"/>
      <c r="X53" s="29">
        <f>SUM(X42:X52)</f>
        <v>3</v>
      </c>
      <c r="Y53" s="29">
        <f>SUM(Y42:Y52)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4:I34"/>
    <mergeCell ref="B38:L38"/>
    <mergeCell ref="B39:L39"/>
    <mergeCell ref="B40:L40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3B00-000000000000}"/>
    <hyperlink ref="O1" location="'Home Page'!A1" display="Back" xr:uid="{00000000-0004-0000-3B00-000001000000}"/>
    <hyperlink ref="B34" r:id="rId2" xr:uid="{00000000-0004-0000-3B00-000002000000}"/>
    <hyperlink ref="B53" r:id="rId3" xr:uid="{00000000-0004-0000-3B00-000003000000}"/>
  </hyperlinks>
  <pageMargins left="0" right="0" top="0" bottom="0" header="0" footer="0"/>
  <pageSetup paperSize="9" orientation="portrait" r:id="rId4"/>
  <drawing r:id="rId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Y54"/>
  <sheetViews>
    <sheetView workbookViewId="0">
      <selection activeCell="O12" sqref="O12:Q14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11.441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43160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4</v>
      </c>
      <c r="Q4" s="208">
        <v>3</v>
      </c>
      <c r="R4" s="208">
        <v>0</v>
      </c>
      <c r="S4" s="209">
        <v>0</v>
      </c>
      <c r="T4" s="195">
        <f>Q4/P4</f>
        <v>0.75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x14ac:dyDescent="0.3">
      <c r="A6" s="31"/>
      <c r="B6" s="33">
        <v>1</v>
      </c>
      <c r="C6" s="34">
        <v>43164</v>
      </c>
      <c r="D6" s="35" t="s">
        <v>20</v>
      </c>
      <c r="E6" s="35" t="s">
        <v>418</v>
      </c>
      <c r="F6" s="126">
        <v>281</v>
      </c>
      <c r="G6" s="127">
        <v>286</v>
      </c>
      <c r="H6" s="34">
        <v>43165</v>
      </c>
      <c r="I6" s="36">
        <v>3200</v>
      </c>
      <c r="J6" s="129">
        <v>5</v>
      </c>
      <c r="K6" s="41">
        <f>I6*J6</f>
        <v>16000</v>
      </c>
      <c r="L6" s="37" t="s">
        <v>403</v>
      </c>
      <c r="M6" s="32"/>
      <c r="O6" s="198" t="s">
        <v>599</v>
      </c>
      <c r="P6" s="199">
        <f>COUNT(C24:C33)</f>
        <v>5</v>
      </c>
      <c r="Q6" s="200">
        <v>5</v>
      </c>
      <c r="R6" s="200">
        <v>0</v>
      </c>
      <c r="S6" s="201">
        <v>0</v>
      </c>
      <c r="T6" s="197">
        <f t="shared" ref="T6" si="0">Q6/P6</f>
        <v>1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43168</v>
      </c>
      <c r="D7" s="40" t="s">
        <v>13</v>
      </c>
      <c r="E7" s="40" t="s">
        <v>418</v>
      </c>
      <c r="F7" s="126">
        <v>248</v>
      </c>
      <c r="G7" s="126">
        <v>240</v>
      </c>
      <c r="H7" s="39">
        <v>43168</v>
      </c>
      <c r="I7" s="41">
        <v>3200</v>
      </c>
      <c r="J7" s="130">
        <v>8</v>
      </c>
      <c r="K7" s="41">
        <f t="shared" ref="K7:K10" si="1">I7*J7</f>
        <v>25600</v>
      </c>
      <c r="L7" s="42" t="s">
        <v>630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43172</v>
      </c>
      <c r="D8" s="40" t="s">
        <v>13</v>
      </c>
      <c r="E8" s="40" t="s">
        <v>418</v>
      </c>
      <c r="F8" s="128">
        <v>257</v>
      </c>
      <c r="G8" s="126">
        <v>245</v>
      </c>
      <c r="H8" s="39">
        <v>43172</v>
      </c>
      <c r="I8" s="41">
        <v>3200</v>
      </c>
      <c r="J8" s="130">
        <f>F8-G8</f>
        <v>12</v>
      </c>
      <c r="K8" s="41">
        <f t="shared" si="1"/>
        <v>38400</v>
      </c>
      <c r="L8" s="42" t="s">
        <v>195</v>
      </c>
      <c r="M8" s="32"/>
      <c r="O8" s="198" t="s">
        <v>600</v>
      </c>
      <c r="P8" s="199">
        <f>COUNT(C42:C52)</f>
        <v>3</v>
      </c>
      <c r="Q8" s="200">
        <v>2</v>
      </c>
      <c r="R8" s="200">
        <v>0</v>
      </c>
      <c r="S8" s="201">
        <v>0</v>
      </c>
      <c r="T8" s="197">
        <f t="shared" ref="T8" si="5">Q8/P8</f>
        <v>0.66666666666666663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43181</v>
      </c>
      <c r="D9" s="40" t="s">
        <v>20</v>
      </c>
      <c r="E9" s="40" t="s">
        <v>418</v>
      </c>
      <c r="F9" s="106">
        <v>254</v>
      </c>
      <c r="G9" s="106">
        <v>246</v>
      </c>
      <c r="H9" s="39">
        <v>43182</v>
      </c>
      <c r="I9" s="41">
        <v>3200</v>
      </c>
      <c r="J9" s="130">
        <v>-8</v>
      </c>
      <c r="K9" s="41">
        <f t="shared" si="1"/>
        <v>-25600</v>
      </c>
      <c r="L9" s="42" t="s">
        <v>197</v>
      </c>
      <c r="M9" s="32"/>
      <c r="O9" s="203"/>
      <c r="P9" s="199"/>
      <c r="Q9" s="200"/>
      <c r="R9" s="200"/>
      <c r="S9" s="202"/>
      <c r="T9" s="19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12</v>
      </c>
      <c r="Q10" s="173">
        <v>10</v>
      </c>
      <c r="R10" s="173">
        <v>0</v>
      </c>
      <c r="S10" s="193">
        <v>0</v>
      </c>
      <c r="T10" s="195">
        <f t="shared" ref="T10" si="6">Q10/P10</f>
        <v>0.83333333333333337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0.83333333333333337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54400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43160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43164</v>
      </c>
      <c r="D24" s="35" t="s">
        <v>20</v>
      </c>
      <c r="E24" s="35" t="s">
        <v>30</v>
      </c>
      <c r="F24" s="36">
        <v>10350</v>
      </c>
      <c r="G24" s="36">
        <v>10420</v>
      </c>
      <c r="H24" s="34">
        <v>43165</v>
      </c>
      <c r="I24" s="36">
        <v>375</v>
      </c>
      <c r="J24" s="84">
        <f>G24-F24</f>
        <v>70</v>
      </c>
      <c r="K24" s="41">
        <f>J24*I24</f>
        <v>26250</v>
      </c>
      <c r="L24" s="37" t="s">
        <v>198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4">
        <v>43168</v>
      </c>
      <c r="D25" s="35" t="s">
        <v>13</v>
      </c>
      <c r="E25" s="40" t="s">
        <v>30</v>
      </c>
      <c r="F25" s="41">
        <v>10290</v>
      </c>
      <c r="G25" s="41">
        <v>10210</v>
      </c>
      <c r="H25" s="39">
        <v>43168</v>
      </c>
      <c r="I25" s="41">
        <v>375</v>
      </c>
      <c r="J25" s="85">
        <v>80</v>
      </c>
      <c r="K25" s="41">
        <f t="shared" ref="K25:K28" si="7">J25*I25</f>
        <v>30000</v>
      </c>
      <c r="L25" s="42" t="s">
        <v>198</v>
      </c>
      <c r="M25" s="32"/>
      <c r="X25" s="29">
        <f t="shared" ref="X25:X33" si="8">IF($L25&gt;0,1,0)</f>
        <v>1</v>
      </c>
      <c r="Y25" s="29">
        <f t="shared" ref="Y25:Y33" si="9">IF($L25&lt;0,1,0)</f>
        <v>0</v>
      </c>
    </row>
    <row r="26" spans="1:25" x14ac:dyDescent="0.3">
      <c r="A26" s="31"/>
      <c r="B26" s="38">
        <f t="shared" ref="B26:B33" si="10">B25+1</f>
        <v>3</v>
      </c>
      <c r="C26" s="39">
        <v>43172</v>
      </c>
      <c r="D26" s="40" t="s">
        <v>13</v>
      </c>
      <c r="E26" s="40" t="s">
        <v>30</v>
      </c>
      <c r="F26" s="41">
        <v>10480</v>
      </c>
      <c r="G26" s="41">
        <v>10340</v>
      </c>
      <c r="H26" s="39">
        <v>43173</v>
      </c>
      <c r="I26" s="41">
        <v>375</v>
      </c>
      <c r="J26" s="85">
        <f>F26-G26</f>
        <v>140</v>
      </c>
      <c r="K26" s="41">
        <f t="shared" si="7"/>
        <v>52500</v>
      </c>
      <c r="L26" s="42" t="s">
        <v>195</v>
      </c>
      <c r="M26" s="32"/>
      <c r="X26" s="29">
        <f t="shared" si="8"/>
        <v>1</v>
      </c>
      <c r="Y26" s="29">
        <f t="shared" si="9"/>
        <v>0</v>
      </c>
    </row>
    <row r="27" spans="1:25" x14ac:dyDescent="0.3">
      <c r="A27" s="31"/>
      <c r="B27" s="38">
        <f t="shared" si="10"/>
        <v>4</v>
      </c>
      <c r="C27" s="39">
        <v>43172</v>
      </c>
      <c r="D27" s="40" t="s">
        <v>13</v>
      </c>
      <c r="E27" s="40" t="s">
        <v>619</v>
      </c>
      <c r="F27" s="41">
        <v>25000</v>
      </c>
      <c r="G27" s="41">
        <v>24600</v>
      </c>
      <c r="H27" s="39">
        <v>43173</v>
      </c>
      <c r="I27" s="41">
        <v>400</v>
      </c>
      <c r="J27" s="85">
        <v>300</v>
      </c>
      <c r="K27" s="41">
        <f t="shared" si="7"/>
        <v>120000</v>
      </c>
      <c r="L27" s="42" t="s">
        <v>195</v>
      </c>
      <c r="M27" s="32"/>
      <c r="X27" s="29">
        <f t="shared" si="8"/>
        <v>1</v>
      </c>
      <c r="Y27" s="29">
        <f t="shared" si="9"/>
        <v>0</v>
      </c>
    </row>
    <row r="28" spans="1:25" x14ac:dyDescent="0.3">
      <c r="A28" s="31"/>
      <c r="B28" s="38">
        <f t="shared" si="10"/>
        <v>5</v>
      </c>
      <c r="C28" s="39">
        <v>43181</v>
      </c>
      <c r="D28" s="40" t="s">
        <v>13</v>
      </c>
      <c r="E28" s="40" t="s">
        <v>30</v>
      </c>
      <c r="F28" s="41">
        <v>10170</v>
      </c>
      <c r="G28" s="41">
        <v>10000</v>
      </c>
      <c r="H28" s="39">
        <v>43181</v>
      </c>
      <c r="I28" s="41">
        <v>375</v>
      </c>
      <c r="J28" s="85">
        <f>F28-G28</f>
        <v>170</v>
      </c>
      <c r="K28" s="41">
        <f t="shared" si="7"/>
        <v>63750</v>
      </c>
      <c r="L28" s="42" t="s">
        <v>195</v>
      </c>
      <c r="M28" s="32"/>
      <c r="X28" s="29">
        <f t="shared" si="8"/>
        <v>1</v>
      </c>
      <c r="Y28" s="29">
        <f t="shared" si="9"/>
        <v>0</v>
      </c>
    </row>
    <row r="29" spans="1:25" x14ac:dyDescent="0.3">
      <c r="A29" s="31"/>
      <c r="B29" s="38">
        <f t="shared" si="10"/>
        <v>6</v>
      </c>
      <c r="C29" s="39"/>
      <c r="D29" s="40"/>
      <c r="E29" s="40"/>
      <c r="F29" s="41"/>
      <c r="G29" s="41"/>
      <c r="H29" s="39"/>
      <c r="I29" s="41"/>
      <c r="J29" s="85"/>
      <c r="K29" s="41">
        <f>J29*I29</f>
        <v>0</v>
      </c>
      <c r="L29" s="42"/>
      <c r="M29" s="32"/>
      <c r="X29" s="29">
        <f t="shared" si="8"/>
        <v>0</v>
      </c>
      <c r="Y29" s="29">
        <f t="shared" si="9"/>
        <v>0</v>
      </c>
    </row>
    <row r="30" spans="1:25" x14ac:dyDescent="0.3">
      <c r="A30" s="31"/>
      <c r="B30" s="38">
        <f t="shared" si="10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8"/>
        <v>0</v>
      </c>
      <c r="Y30" s="29">
        <f t="shared" si="9"/>
        <v>0</v>
      </c>
    </row>
    <row r="31" spans="1:25" x14ac:dyDescent="0.3">
      <c r="A31" s="31"/>
      <c r="B31" s="38">
        <f t="shared" si="10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8"/>
        <v>0</v>
      </c>
      <c r="Y31" s="29">
        <f t="shared" si="9"/>
        <v>0</v>
      </c>
    </row>
    <row r="32" spans="1:25" x14ac:dyDescent="0.3">
      <c r="A32" s="31"/>
      <c r="B32" s="38">
        <f t="shared" si="10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8"/>
        <v>0</v>
      </c>
      <c r="Y32" s="29">
        <f t="shared" si="9"/>
        <v>0</v>
      </c>
    </row>
    <row r="33" spans="1:25" ht="15" thickBot="1" x14ac:dyDescent="0.35">
      <c r="A33" s="31"/>
      <c r="B33" s="38">
        <f t="shared" si="10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8"/>
        <v>0</v>
      </c>
      <c r="Y33" s="29">
        <f t="shared" si="9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292500</v>
      </c>
      <c r="L34" s="86"/>
      <c r="M34" s="32"/>
      <c r="X34" s="29">
        <f>SUM(X24:X33)</f>
        <v>5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43160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43158</v>
      </c>
      <c r="D42" s="35" t="s">
        <v>20</v>
      </c>
      <c r="E42" s="35" t="s">
        <v>629</v>
      </c>
      <c r="F42" s="105">
        <v>12</v>
      </c>
      <c r="G42" s="105">
        <v>14.5</v>
      </c>
      <c r="H42" s="34">
        <v>43159</v>
      </c>
      <c r="I42" s="36">
        <v>3200</v>
      </c>
      <c r="J42" s="107">
        <v>2.5</v>
      </c>
      <c r="K42" s="41">
        <f>J42*I42</f>
        <v>8000</v>
      </c>
      <c r="L42" s="37" t="s">
        <v>403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119">
        <v>2</v>
      </c>
      <c r="C43" s="120">
        <v>43172</v>
      </c>
      <c r="D43" s="121" t="s">
        <v>8</v>
      </c>
      <c r="E43" s="121" t="s">
        <v>631</v>
      </c>
      <c r="F43" s="117">
        <v>13</v>
      </c>
      <c r="G43" s="117">
        <v>21</v>
      </c>
      <c r="H43" s="120">
        <v>43173</v>
      </c>
      <c r="I43" s="122">
        <v>3200</v>
      </c>
      <c r="J43" s="123">
        <v>8</v>
      </c>
      <c r="K43" s="41">
        <f>J43*I43</f>
        <v>25600</v>
      </c>
      <c r="L43" s="124" t="s">
        <v>195</v>
      </c>
      <c r="M43" s="32"/>
    </row>
    <row r="44" spans="1:25" x14ac:dyDescent="0.3">
      <c r="A44" s="31"/>
      <c r="B44" s="38">
        <v>3</v>
      </c>
      <c r="C44" s="39">
        <v>43181</v>
      </c>
      <c r="D44" s="40" t="s">
        <v>20</v>
      </c>
      <c r="E44" s="40" t="s">
        <v>632</v>
      </c>
      <c r="F44" s="106">
        <v>4</v>
      </c>
      <c r="G44" s="106">
        <v>1</v>
      </c>
      <c r="H44" s="39">
        <v>43185</v>
      </c>
      <c r="I44" s="41">
        <v>6400</v>
      </c>
      <c r="J44" s="108">
        <v>-3</v>
      </c>
      <c r="K44" s="41">
        <f>J44*I44</f>
        <v>-19200</v>
      </c>
      <c r="L44" s="42" t="s">
        <v>197</v>
      </c>
      <c r="M44" s="32"/>
      <c r="X44" s="29">
        <f t="shared" ref="X44:X52" si="11">IF($L44&gt;0,1,0)</f>
        <v>1</v>
      </c>
      <c r="Y44" s="29">
        <f t="shared" ref="Y44:Y52" si="12">IF($L44&lt;0,1,0)</f>
        <v>0</v>
      </c>
    </row>
    <row r="45" spans="1:25" x14ac:dyDescent="0.3">
      <c r="A45" s="31"/>
      <c r="B45" s="38">
        <f t="shared" ref="B45:B52" si="13">B44+1</f>
        <v>4</v>
      </c>
      <c r="C45" s="39"/>
      <c r="D45" s="40"/>
      <c r="E45" s="40"/>
      <c r="F45" s="106"/>
      <c r="G45" s="106"/>
      <c r="H45" s="39"/>
      <c r="I45" s="41"/>
      <c r="J45" s="85"/>
      <c r="K45" s="41">
        <f>J45*I45</f>
        <v>0</v>
      </c>
      <c r="L45" s="42"/>
      <c r="M45" s="32"/>
      <c r="X45" s="29">
        <f t="shared" si="11"/>
        <v>0</v>
      </c>
      <c r="Y45" s="29">
        <f t="shared" si="12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06"/>
      <c r="G46" s="106"/>
      <c r="H46" s="39"/>
      <c r="I46" s="41"/>
      <c r="J46" s="85"/>
      <c r="K46" s="41"/>
      <c r="L46" s="42"/>
      <c r="M46" s="32"/>
      <c r="X46" s="29">
        <f t="shared" si="11"/>
        <v>0</v>
      </c>
      <c r="Y46" s="29">
        <f t="shared" si="12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06"/>
      <c r="G47" s="106"/>
      <c r="H47" s="39"/>
      <c r="I47" s="41"/>
      <c r="J47" s="85"/>
      <c r="K47" s="115"/>
      <c r="L47" s="42"/>
      <c r="M47" s="32"/>
      <c r="X47" s="29">
        <f t="shared" si="11"/>
        <v>0</v>
      </c>
      <c r="Y47" s="29">
        <f t="shared" si="12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06"/>
      <c r="G48" s="106"/>
      <c r="H48" s="41"/>
      <c r="I48" s="41"/>
      <c r="J48" s="85"/>
      <c r="K48" s="85">
        <f t="shared" ref="K48:K52" si="14">I48*J48</f>
        <v>0</v>
      </c>
      <c r="L48" s="42"/>
      <c r="M48" s="32"/>
      <c r="X48" s="29">
        <f t="shared" si="11"/>
        <v>0</v>
      </c>
      <c r="Y48" s="29">
        <f t="shared" si="12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14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4"/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3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4"/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3"/>
        <v>11</v>
      </c>
      <c r="C52" s="39"/>
      <c r="D52" s="40"/>
      <c r="E52" s="40"/>
      <c r="F52" s="41"/>
      <c r="G52" s="41"/>
      <c r="H52" s="41"/>
      <c r="I52" s="41"/>
      <c r="J52" s="85"/>
      <c r="K52" s="85">
        <f t="shared" si="14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SUM(K42:K52)</f>
        <v>14400</v>
      </c>
      <c r="L53" s="86"/>
      <c r="M53" s="32"/>
      <c r="X53" s="29">
        <f>SUM(X42:X52)</f>
        <v>2</v>
      </c>
      <c r="Y53" s="29">
        <f>SUM(Y42:Y52)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4:I34"/>
    <mergeCell ref="B38:L38"/>
    <mergeCell ref="B39:L39"/>
    <mergeCell ref="B40:L40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3C00-000000000000}"/>
    <hyperlink ref="O1" location="'Home Page'!A1" display="Back" xr:uid="{00000000-0004-0000-3C00-000001000000}"/>
    <hyperlink ref="B34" r:id="rId2" xr:uid="{00000000-0004-0000-3C00-000002000000}"/>
    <hyperlink ref="B53" r:id="rId3" xr:uid="{00000000-0004-0000-3C00-000003000000}"/>
  </hyperlinks>
  <pageMargins left="0" right="0" top="0" bottom="0" header="0" footer="0"/>
  <pageSetup paperSize="9" orientation="portrait" r:id="rId4"/>
  <drawing r:id="rId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Y54"/>
  <sheetViews>
    <sheetView workbookViewId="0">
      <selection activeCell="O32" sqref="O32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6.33203125" style="29" customWidth="1"/>
    <col min="6" max="6" width="8.88671875" style="29" customWidth="1"/>
    <col min="7" max="7" width="8.33203125" style="29" customWidth="1"/>
    <col min="8" max="8" width="11.554687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43191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4</v>
      </c>
      <c r="Q4" s="208">
        <v>3</v>
      </c>
      <c r="R4" s="208">
        <v>1</v>
      </c>
      <c r="S4" s="209">
        <v>0</v>
      </c>
      <c r="T4" s="195">
        <f>Q4/P4</f>
        <v>0.75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x14ac:dyDescent="0.3">
      <c r="A6" s="31"/>
      <c r="B6" s="33">
        <v>1</v>
      </c>
      <c r="C6" s="34">
        <v>43194</v>
      </c>
      <c r="D6" s="35" t="s">
        <v>20</v>
      </c>
      <c r="E6" s="35" t="s">
        <v>11</v>
      </c>
      <c r="F6" s="126">
        <v>246</v>
      </c>
      <c r="G6" s="127">
        <v>259</v>
      </c>
      <c r="H6" s="34">
        <v>43195</v>
      </c>
      <c r="I6" s="36">
        <v>6000</v>
      </c>
      <c r="J6" s="129">
        <f>G6-F6</f>
        <v>13</v>
      </c>
      <c r="K6" s="41">
        <f>I6*J6</f>
        <v>78000</v>
      </c>
      <c r="L6" s="37" t="s">
        <v>195</v>
      </c>
      <c r="M6" s="32"/>
      <c r="O6" s="198" t="s">
        <v>599</v>
      </c>
      <c r="P6" s="199">
        <f>COUNT(C24:C33)</f>
        <v>4</v>
      </c>
      <c r="Q6" s="200">
        <v>3</v>
      </c>
      <c r="R6" s="200">
        <v>1</v>
      </c>
      <c r="S6" s="201">
        <v>0</v>
      </c>
      <c r="T6" s="197">
        <f t="shared" ref="T6" si="0">Q6/P6</f>
        <v>0.75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43202</v>
      </c>
      <c r="D7" s="40" t="s">
        <v>13</v>
      </c>
      <c r="E7" s="40" t="s">
        <v>28</v>
      </c>
      <c r="F7" s="126">
        <v>288</v>
      </c>
      <c r="G7" s="126">
        <v>294</v>
      </c>
      <c r="H7" s="39">
        <v>43206</v>
      </c>
      <c r="I7" s="41">
        <v>5500</v>
      </c>
      <c r="J7" s="130">
        <v>-6</v>
      </c>
      <c r="K7" s="41">
        <f t="shared" ref="K7:K10" si="1">I7*J7</f>
        <v>-33000</v>
      </c>
      <c r="L7" s="42" t="s">
        <v>197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43210</v>
      </c>
      <c r="D8" s="40" t="s">
        <v>8</v>
      </c>
      <c r="E8" s="40" t="s">
        <v>634</v>
      </c>
      <c r="F8" s="128">
        <v>1870</v>
      </c>
      <c r="G8" s="126">
        <v>1935</v>
      </c>
      <c r="H8" s="39">
        <v>43215</v>
      </c>
      <c r="I8" s="41">
        <v>1000</v>
      </c>
      <c r="J8" s="130">
        <f>G8-F8</f>
        <v>65</v>
      </c>
      <c r="K8" s="41">
        <f t="shared" si="1"/>
        <v>65000</v>
      </c>
      <c r="L8" s="42" t="s">
        <v>195</v>
      </c>
      <c r="M8" s="32"/>
      <c r="O8" s="198" t="s">
        <v>600</v>
      </c>
      <c r="P8" s="199">
        <f>COUNT(C42:C52)</f>
        <v>3</v>
      </c>
      <c r="Q8" s="200">
        <v>2</v>
      </c>
      <c r="R8" s="200">
        <v>1</v>
      </c>
      <c r="S8" s="201">
        <v>0</v>
      </c>
      <c r="T8" s="197">
        <f t="shared" ref="T8" si="5">Q8/P8</f>
        <v>0.66666666666666663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43214</v>
      </c>
      <c r="D9" s="40" t="s">
        <v>13</v>
      </c>
      <c r="E9" s="40" t="s">
        <v>170</v>
      </c>
      <c r="F9" s="126">
        <v>2160</v>
      </c>
      <c r="G9" s="126">
        <v>2090</v>
      </c>
      <c r="H9" s="39">
        <v>43215</v>
      </c>
      <c r="I9" s="41">
        <v>500</v>
      </c>
      <c r="J9" s="130">
        <f>F9-G9</f>
        <v>70</v>
      </c>
      <c r="K9" s="41">
        <f t="shared" si="1"/>
        <v>35000</v>
      </c>
      <c r="L9" s="42" t="s">
        <v>195</v>
      </c>
      <c r="M9" s="32"/>
      <c r="O9" s="203"/>
      <c r="P9" s="199"/>
      <c r="Q9" s="200"/>
      <c r="R9" s="200"/>
      <c r="S9" s="202"/>
      <c r="T9" s="19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v>8</v>
      </c>
      <c r="R10" s="173">
        <v>3</v>
      </c>
      <c r="S10" s="193">
        <v>0</v>
      </c>
      <c r="T10" s="195">
        <f t="shared" ref="T10" si="6">Q10/P10</f>
        <v>0.72727272727272729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0.72727272727272729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145000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43191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43195</v>
      </c>
      <c r="D24" s="35" t="s">
        <v>13</v>
      </c>
      <c r="E24" s="35" t="s">
        <v>30</v>
      </c>
      <c r="F24" s="36">
        <v>10310</v>
      </c>
      <c r="G24" s="36">
        <v>10370</v>
      </c>
      <c r="H24" s="34">
        <v>43196</v>
      </c>
      <c r="I24" s="36">
        <v>375</v>
      </c>
      <c r="J24" s="84">
        <v>-60</v>
      </c>
      <c r="K24" s="41">
        <f>J24*I24</f>
        <v>-22500</v>
      </c>
      <c r="L24" s="37" t="s">
        <v>197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4">
        <v>43199</v>
      </c>
      <c r="D25" s="35" t="s">
        <v>13</v>
      </c>
      <c r="E25" s="40" t="s">
        <v>30</v>
      </c>
      <c r="F25" s="41">
        <v>10420</v>
      </c>
      <c r="G25" s="41">
        <v>10370</v>
      </c>
      <c r="H25" s="39">
        <v>43201</v>
      </c>
      <c r="I25" s="41">
        <v>375</v>
      </c>
      <c r="J25" s="85">
        <v>50</v>
      </c>
      <c r="K25" s="41">
        <f t="shared" ref="K25:K28" si="7">J25*I25</f>
        <v>18750</v>
      </c>
      <c r="L25" s="42" t="s">
        <v>198</v>
      </c>
      <c r="M25" s="32"/>
      <c r="X25" s="29">
        <f t="shared" ref="X25:X33" si="8">IF($L25&gt;0,1,0)</f>
        <v>1</v>
      </c>
      <c r="Y25" s="29">
        <f t="shared" ref="Y25:Y33" si="9">IF($L25&lt;0,1,0)</f>
        <v>0</v>
      </c>
    </row>
    <row r="26" spans="1:25" x14ac:dyDescent="0.3">
      <c r="A26" s="31"/>
      <c r="B26" s="38">
        <f t="shared" ref="B26:B33" si="10">B25+1</f>
        <v>3</v>
      </c>
      <c r="C26" s="39">
        <v>43202</v>
      </c>
      <c r="D26" s="40" t="s">
        <v>13</v>
      </c>
      <c r="E26" s="40" t="s">
        <v>30</v>
      </c>
      <c r="F26" s="41">
        <v>10470</v>
      </c>
      <c r="G26" s="41">
        <v>1047</v>
      </c>
      <c r="H26" s="39">
        <v>43202</v>
      </c>
      <c r="I26" s="41">
        <v>375</v>
      </c>
      <c r="J26" s="85">
        <v>0</v>
      </c>
      <c r="K26" s="41">
        <f t="shared" si="7"/>
        <v>0</v>
      </c>
      <c r="L26" s="42" t="s">
        <v>5</v>
      </c>
      <c r="M26" s="32"/>
      <c r="X26" s="29">
        <f t="shared" si="8"/>
        <v>1</v>
      </c>
      <c r="Y26" s="29">
        <f t="shared" si="9"/>
        <v>0</v>
      </c>
    </row>
    <row r="27" spans="1:25" x14ac:dyDescent="0.3">
      <c r="A27" s="31"/>
      <c r="B27" s="38">
        <f t="shared" si="10"/>
        <v>4</v>
      </c>
      <c r="C27" s="39">
        <v>43213</v>
      </c>
      <c r="D27" s="40" t="s">
        <v>13</v>
      </c>
      <c r="E27" s="40" t="s">
        <v>30</v>
      </c>
      <c r="F27" s="41">
        <v>10610</v>
      </c>
      <c r="G27" s="41">
        <v>10540</v>
      </c>
      <c r="H27" s="39">
        <v>43215</v>
      </c>
      <c r="I27" s="41">
        <v>375</v>
      </c>
      <c r="J27" s="85">
        <f>F27-G27</f>
        <v>70</v>
      </c>
      <c r="K27" s="41">
        <f t="shared" si="7"/>
        <v>26250</v>
      </c>
      <c r="L27" s="42" t="s">
        <v>198</v>
      </c>
      <c r="M27" s="32"/>
      <c r="X27" s="29">
        <f t="shared" si="8"/>
        <v>1</v>
      </c>
      <c r="Y27" s="29">
        <f t="shared" si="9"/>
        <v>0</v>
      </c>
    </row>
    <row r="28" spans="1:25" x14ac:dyDescent="0.3">
      <c r="A28" s="31"/>
      <c r="B28" s="38">
        <f t="shared" si="10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7"/>
        <v>0</v>
      </c>
      <c r="L28" s="42"/>
      <c r="M28" s="32"/>
      <c r="X28" s="29">
        <f t="shared" si="8"/>
        <v>0</v>
      </c>
      <c r="Y28" s="29">
        <f t="shared" si="9"/>
        <v>0</v>
      </c>
    </row>
    <row r="29" spans="1:25" x14ac:dyDescent="0.3">
      <c r="A29" s="31"/>
      <c r="B29" s="38">
        <f t="shared" si="10"/>
        <v>6</v>
      </c>
      <c r="C29" s="39"/>
      <c r="D29" s="40"/>
      <c r="E29" s="40"/>
      <c r="F29" s="41"/>
      <c r="G29" s="41"/>
      <c r="H29" s="39"/>
      <c r="I29" s="41"/>
      <c r="J29" s="85"/>
      <c r="K29" s="41">
        <f>J29*I29</f>
        <v>0</v>
      </c>
      <c r="L29" s="42"/>
      <c r="M29" s="32"/>
      <c r="X29" s="29">
        <f t="shared" si="8"/>
        <v>0</v>
      </c>
      <c r="Y29" s="29">
        <f t="shared" si="9"/>
        <v>0</v>
      </c>
    </row>
    <row r="30" spans="1:25" x14ac:dyDescent="0.3">
      <c r="A30" s="31"/>
      <c r="B30" s="38">
        <f t="shared" si="10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8"/>
        <v>0</v>
      </c>
      <c r="Y30" s="29">
        <f t="shared" si="9"/>
        <v>0</v>
      </c>
    </row>
    <row r="31" spans="1:25" x14ac:dyDescent="0.3">
      <c r="A31" s="31"/>
      <c r="B31" s="38">
        <f t="shared" si="10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8"/>
        <v>0</v>
      </c>
      <c r="Y31" s="29">
        <f t="shared" si="9"/>
        <v>0</v>
      </c>
    </row>
    <row r="32" spans="1:25" x14ac:dyDescent="0.3">
      <c r="A32" s="31"/>
      <c r="B32" s="38">
        <f t="shared" si="10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8"/>
        <v>0</v>
      </c>
      <c r="Y32" s="29">
        <f t="shared" si="9"/>
        <v>0</v>
      </c>
    </row>
    <row r="33" spans="1:25" ht="15" thickBot="1" x14ac:dyDescent="0.35">
      <c r="A33" s="31"/>
      <c r="B33" s="38">
        <f t="shared" si="10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8"/>
        <v>0</v>
      </c>
      <c r="Y33" s="29">
        <f t="shared" si="9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22500</v>
      </c>
      <c r="L34" s="86"/>
      <c r="M34" s="32"/>
      <c r="X34" s="29">
        <f>SUM(X24:X33)</f>
        <v>4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43191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43199</v>
      </c>
      <c r="D42" s="35" t="s">
        <v>20</v>
      </c>
      <c r="E42" s="35" t="s">
        <v>628</v>
      </c>
      <c r="F42" s="105">
        <v>6.2</v>
      </c>
      <c r="G42" s="105">
        <v>12</v>
      </c>
      <c r="H42" s="34">
        <v>43201</v>
      </c>
      <c r="I42" s="36">
        <v>6000</v>
      </c>
      <c r="J42" s="107">
        <f>G42-F42</f>
        <v>5.8</v>
      </c>
      <c r="K42" s="41">
        <f>J42*I42</f>
        <v>34800</v>
      </c>
      <c r="L42" s="37" t="s">
        <v>633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119">
        <v>2</v>
      </c>
      <c r="C43" s="120">
        <v>43202</v>
      </c>
      <c r="D43" s="121" t="s">
        <v>20</v>
      </c>
      <c r="E43" s="121" t="s">
        <v>333</v>
      </c>
      <c r="F43" s="117">
        <v>11</v>
      </c>
      <c r="G43" s="117">
        <v>7</v>
      </c>
      <c r="H43" s="120">
        <v>43203</v>
      </c>
      <c r="I43" s="122">
        <v>3400</v>
      </c>
      <c r="J43" s="123">
        <v>-4</v>
      </c>
      <c r="K43" s="41">
        <f t="shared" ref="K43:K47" si="11">J43*I43</f>
        <v>-13600</v>
      </c>
      <c r="L43" s="124" t="s">
        <v>197</v>
      </c>
      <c r="M43" s="32"/>
    </row>
    <row r="44" spans="1:25" x14ac:dyDescent="0.3">
      <c r="A44" s="31"/>
      <c r="B44" s="38">
        <v>3</v>
      </c>
      <c r="C44" s="39">
        <v>43214</v>
      </c>
      <c r="D44" s="40" t="s">
        <v>8</v>
      </c>
      <c r="E44" s="40" t="s">
        <v>635</v>
      </c>
      <c r="F44" s="106">
        <v>7</v>
      </c>
      <c r="G44" s="106">
        <v>13</v>
      </c>
      <c r="H44" s="39">
        <v>43215</v>
      </c>
      <c r="I44" s="41">
        <v>5500</v>
      </c>
      <c r="J44" s="108">
        <f>G44-F44</f>
        <v>6</v>
      </c>
      <c r="K44" s="41">
        <f t="shared" si="11"/>
        <v>33000</v>
      </c>
      <c r="L44" s="42" t="s">
        <v>195</v>
      </c>
      <c r="M44" s="32"/>
      <c r="X44" s="29">
        <f t="shared" ref="X44:X52" si="12">IF($L44&gt;0,1,0)</f>
        <v>1</v>
      </c>
      <c r="Y44" s="29">
        <f t="shared" ref="Y44:Y52" si="13">IF($L44&lt;0,1,0)</f>
        <v>0</v>
      </c>
    </row>
    <row r="45" spans="1:25" x14ac:dyDescent="0.3">
      <c r="A45" s="31"/>
      <c r="B45" s="38">
        <f t="shared" ref="B45:B52" si="14">B44+1</f>
        <v>4</v>
      </c>
      <c r="C45" s="39"/>
      <c r="D45" s="40"/>
      <c r="E45" s="40"/>
      <c r="F45" s="106"/>
      <c r="G45" s="106"/>
      <c r="H45" s="39"/>
      <c r="I45" s="41"/>
      <c r="J45" s="85"/>
      <c r="K45" s="41">
        <f t="shared" si="11"/>
        <v>0</v>
      </c>
      <c r="L45" s="42"/>
      <c r="M45" s="32"/>
      <c r="X45" s="29">
        <f t="shared" si="12"/>
        <v>0</v>
      </c>
      <c r="Y45" s="29">
        <f t="shared" si="13"/>
        <v>0</v>
      </c>
    </row>
    <row r="46" spans="1:25" x14ac:dyDescent="0.3">
      <c r="A46" s="31"/>
      <c r="B46" s="38">
        <f t="shared" si="14"/>
        <v>5</v>
      </c>
      <c r="C46" s="39"/>
      <c r="D46" s="40"/>
      <c r="E46" s="40"/>
      <c r="F46" s="106"/>
      <c r="G46" s="106"/>
      <c r="H46" s="39"/>
      <c r="I46" s="41"/>
      <c r="J46" s="85"/>
      <c r="K46" s="41">
        <f t="shared" si="11"/>
        <v>0</v>
      </c>
      <c r="L46" s="42"/>
      <c r="M46" s="32"/>
      <c r="X46" s="29">
        <f t="shared" si="12"/>
        <v>0</v>
      </c>
      <c r="Y46" s="29">
        <f t="shared" si="13"/>
        <v>0</v>
      </c>
    </row>
    <row r="47" spans="1:25" x14ac:dyDescent="0.3">
      <c r="A47" s="31"/>
      <c r="B47" s="38">
        <f t="shared" si="14"/>
        <v>6</v>
      </c>
      <c r="C47" s="39"/>
      <c r="D47" s="40"/>
      <c r="E47" s="40"/>
      <c r="F47" s="106"/>
      <c r="G47" s="106"/>
      <c r="H47" s="39"/>
      <c r="I47" s="41"/>
      <c r="J47" s="85"/>
      <c r="K47" s="41">
        <f t="shared" si="11"/>
        <v>0</v>
      </c>
      <c r="L47" s="42"/>
      <c r="M47" s="32"/>
      <c r="X47" s="29">
        <f t="shared" si="12"/>
        <v>0</v>
      </c>
      <c r="Y47" s="29">
        <f t="shared" si="13"/>
        <v>0</v>
      </c>
    </row>
    <row r="48" spans="1:25" x14ac:dyDescent="0.3">
      <c r="A48" s="31"/>
      <c r="B48" s="38">
        <f t="shared" si="14"/>
        <v>7</v>
      </c>
      <c r="C48" s="39"/>
      <c r="D48" s="40"/>
      <c r="E48" s="40"/>
      <c r="F48" s="106"/>
      <c r="G48" s="106"/>
      <c r="H48" s="41"/>
      <c r="I48" s="41"/>
      <c r="J48" s="85"/>
      <c r="K48" s="85">
        <f t="shared" ref="K48:K52" si="15">I48*J48</f>
        <v>0</v>
      </c>
      <c r="L48" s="42"/>
      <c r="M48" s="32"/>
      <c r="X48" s="29">
        <f t="shared" si="12"/>
        <v>0</v>
      </c>
      <c r="Y48" s="29">
        <f t="shared" si="13"/>
        <v>0</v>
      </c>
    </row>
    <row r="49" spans="1:25" x14ac:dyDescent="0.3">
      <c r="A49" s="31"/>
      <c r="B49" s="38">
        <f t="shared" si="14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15"/>
        <v>0</v>
      </c>
      <c r="L49" s="42"/>
      <c r="M49" s="32"/>
      <c r="X49" s="29">
        <f t="shared" si="12"/>
        <v>0</v>
      </c>
      <c r="Y49" s="29">
        <f t="shared" si="13"/>
        <v>0</v>
      </c>
    </row>
    <row r="50" spans="1:25" x14ac:dyDescent="0.3">
      <c r="A50" s="31"/>
      <c r="B50" s="38">
        <f t="shared" si="14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5"/>
        <v>0</v>
      </c>
      <c r="L50" s="42"/>
      <c r="M50" s="32"/>
      <c r="X50" s="29">
        <f t="shared" si="12"/>
        <v>0</v>
      </c>
      <c r="Y50" s="29">
        <f t="shared" si="13"/>
        <v>0</v>
      </c>
    </row>
    <row r="51" spans="1:25" x14ac:dyDescent="0.3">
      <c r="A51" s="31"/>
      <c r="B51" s="38">
        <f t="shared" si="14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5"/>
        <v>0</v>
      </c>
      <c r="L51" s="42"/>
      <c r="M51" s="32"/>
      <c r="X51" s="29">
        <f t="shared" si="12"/>
        <v>0</v>
      </c>
      <c r="Y51" s="29">
        <f t="shared" si="13"/>
        <v>0</v>
      </c>
    </row>
    <row r="52" spans="1:25" ht="15" thickBot="1" x14ac:dyDescent="0.35">
      <c r="A52" s="31"/>
      <c r="B52" s="38">
        <f t="shared" si="14"/>
        <v>11</v>
      </c>
      <c r="C52" s="39"/>
      <c r="D52" s="40"/>
      <c r="E52" s="40"/>
      <c r="F52" s="41"/>
      <c r="G52" s="41"/>
      <c r="H52" s="41"/>
      <c r="I52" s="41"/>
      <c r="J52" s="85"/>
      <c r="K52" s="85">
        <f t="shared" si="15"/>
        <v>0</v>
      </c>
      <c r="L52" s="42"/>
      <c r="M52" s="32"/>
      <c r="X52" s="29">
        <f t="shared" si="12"/>
        <v>0</v>
      </c>
      <c r="Y52" s="29">
        <f t="shared" si="13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SUM(K42:K52)</f>
        <v>54200</v>
      </c>
      <c r="L53" s="86"/>
      <c r="M53" s="32"/>
      <c r="X53" s="29">
        <f>SUM(X42:X52)</f>
        <v>2</v>
      </c>
      <c r="Y53" s="29">
        <f>SUM(Y42:Y52)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3:I53"/>
  </mergeCells>
  <hyperlinks>
    <hyperlink ref="B16" r:id="rId1" xr:uid="{00000000-0004-0000-3D00-000000000000}"/>
    <hyperlink ref="O1" location="'Home Page'!A1" display="Back" xr:uid="{00000000-0004-0000-3D00-000001000000}"/>
    <hyperlink ref="B34" r:id="rId2" xr:uid="{00000000-0004-0000-3D00-000002000000}"/>
    <hyperlink ref="B53" r:id="rId3" xr:uid="{00000000-0004-0000-3D00-000003000000}"/>
  </hyperlinks>
  <pageMargins left="0" right="0" top="0" bottom="0" header="0" footer="0"/>
  <pageSetup paperSize="9" orientation="portrait" r:id="rId4"/>
  <drawing r:id="rId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Y54"/>
  <sheetViews>
    <sheetView workbookViewId="0">
      <selection activeCell="T10" sqref="T10:T1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43221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6</v>
      </c>
      <c r="Q4" s="208">
        <v>3</v>
      </c>
      <c r="R4" s="208">
        <v>3</v>
      </c>
      <c r="S4" s="209"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x14ac:dyDescent="0.3">
      <c r="A6" s="31"/>
      <c r="B6" s="33">
        <v>1</v>
      </c>
      <c r="C6" s="34">
        <v>43222</v>
      </c>
      <c r="D6" s="35" t="s">
        <v>13</v>
      </c>
      <c r="E6" s="35" t="s">
        <v>28</v>
      </c>
      <c r="F6" s="126">
        <v>279</v>
      </c>
      <c r="G6" s="127">
        <v>286</v>
      </c>
      <c r="H6" s="34">
        <v>43227</v>
      </c>
      <c r="I6" s="36">
        <v>5500</v>
      </c>
      <c r="J6" s="129">
        <f>F6-G6</f>
        <v>-7</v>
      </c>
      <c r="K6" s="41">
        <f>I6*J6</f>
        <v>-38500</v>
      </c>
      <c r="L6" s="37" t="s">
        <v>197</v>
      </c>
      <c r="M6" s="32"/>
      <c r="O6" s="198" t="s">
        <v>599</v>
      </c>
      <c r="P6" s="199">
        <f>COUNT(C24:C29)</f>
        <v>5</v>
      </c>
      <c r="Q6" s="200">
        <v>5</v>
      </c>
      <c r="R6" s="200">
        <v>0</v>
      </c>
      <c r="S6" s="201">
        <v>0</v>
      </c>
      <c r="T6" s="197">
        <f t="shared" ref="T6" si="0">Q6/P6</f>
        <v>1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43227</v>
      </c>
      <c r="D7" s="40" t="s">
        <v>20</v>
      </c>
      <c r="E7" s="40" t="s">
        <v>170</v>
      </c>
      <c r="F7" s="126">
        <v>2070</v>
      </c>
      <c r="G7" s="126">
        <v>2098</v>
      </c>
      <c r="H7" s="39">
        <v>43228</v>
      </c>
      <c r="I7" s="41">
        <v>500</v>
      </c>
      <c r="J7" s="130">
        <f>G7-F7</f>
        <v>28</v>
      </c>
      <c r="K7" s="41">
        <f t="shared" ref="K7:K11" si="1">I7*J7</f>
        <v>14000</v>
      </c>
      <c r="L7" s="42" t="s">
        <v>198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43236</v>
      </c>
      <c r="D8" s="40" t="s">
        <v>13</v>
      </c>
      <c r="E8" s="40" t="s">
        <v>170</v>
      </c>
      <c r="F8" s="128">
        <v>1995</v>
      </c>
      <c r="G8" s="126">
        <v>1960</v>
      </c>
      <c r="H8" s="39">
        <v>43237</v>
      </c>
      <c r="I8" s="41">
        <v>500</v>
      </c>
      <c r="J8" s="130">
        <v>-35</v>
      </c>
      <c r="K8" s="41">
        <f t="shared" si="1"/>
        <v>-17500</v>
      </c>
      <c r="L8" s="42" t="s">
        <v>197</v>
      </c>
      <c r="M8" s="32"/>
      <c r="O8" s="198" t="s">
        <v>600</v>
      </c>
      <c r="P8" s="199">
        <f>COUNT(C42:C49)</f>
        <v>4</v>
      </c>
      <c r="Q8" s="200">
        <v>3</v>
      </c>
      <c r="R8" s="200">
        <v>1</v>
      </c>
      <c r="S8" s="201">
        <v>0</v>
      </c>
      <c r="T8" s="197">
        <f t="shared" ref="T8" si="5">Q8/P8</f>
        <v>0.75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43236</v>
      </c>
      <c r="D9" s="40" t="s">
        <v>8</v>
      </c>
      <c r="E9" s="40" t="s">
        <v>634</v>
      </c>
      <c r="F9" s="126">
        <v>1922</v>
      </c>
      <c r="G9" s="126">
        <v>1942</v>
      </c>
      <c r="H9" s="39">
        <v>43237</v>
      </c>
      <c r="I9" s="41">
        <v>500</v>
      </c>
      <c r="J9" s="130">
        <v>-20</v>
      </c>
      <c r="K9" s="41">
        <f t="shared" si="1"/>
        <v>-10000</v>
      </c>
      <c r="L9" s="42" t="s">
        <v>197</v>
      </c>
      <c r="M9" s="32"/>
      <c r="O9" s="203"/>
      <c r="P9" s="199"/>
      <c r="Q9" s="200"/>
      <c r="R9" s="200"/>
      <c r="S9" s="202"/>
      <c r="T9" s="19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43244</v>
      </c>
      <c r="D10" s="40" t="s">
        <v>13</v>
      </c>
      <c r="E10" s="40" t="s">
        <v>11</v>
      </c>
      <c r="F10" s="106">
        <v>267</v>
      </c>
      <c r="G10" s="106">
        <v>264</v>
      </c>
      <c r="H10" s="39">
        <v>43245</v>
      </c>
      <c r="I10" s="41">
        <v>6000</v>
      </c>
      <c r="J10" s="108">
        <v>3</v>
      </c>
      <c r="K10" s="41">
        <f t="shared" si="1"/>
        <v>18000</v>
      </c>
      <c r="L10" s="42" t="s">
        <v>198</v>
      </c>
      <c r="M10" s="32"/>
      <c r="O10" s="171" t="s">
        <v>575</v>
      </c>
      <c r="P10" s="173">
        <f>SUM(P4:P9)</f>
        <v>15</v>
      </c>
      <c r="Q10" s="173">
        <f>SUM(Q4:Q9)</f>
        <v>11</v>
      </c>
      <c r="R10" s="173">
        <f t="shared" ref="R10:S10" si="6">SUM(R4:R9)</f>
        <v>4</v>
      </c>
      <c r="S10" s="173">
        <f t="shared" si="6"/>
        <v>0</v>
      </c>
      <c r="T10" s="195">
        <f t="shared" ref="T10" si="7">Q10/P10</f>
        <v>0.73333333333333328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>
        <v>43248</v>
      </c>
      <c r="D11" s="40" t="s">
        <v>13</v>
      </c>
      <c r="E11" s="40" t="s">
        <v>28</v>
      </c>
      <c r="F11" s="106">
        <v>301</v>
      </c>
      <c r="G11" s="106">
        <v>294</v>
      </c>
      <c r="H11" s="41">
        <v>43249</v>
      </c>
      <c r="I11" s="41">
        <v>5500</v>
      </c>
      <c r="J11" s="85">
        <v>7</v>
      </c>
      <c r="K11" s="85">
        <f t="shared" si="1"/>
        <v>38500</v>
      </c>
      <c r="L11" s="42" t="s">
        <v>198</v>
      </c>
      <c r="M11" s="32"/>
      <c r="O11" s="172"/>
      <c r="P11" s="174"/>
      <c r="Q11" s="174"/>
      <c r="R11" s="174"/>
      <c r="S11" s="174"/>
      <c r="T11" s="196"/>
      <c r="X11" s="29">
        <f>IF($L11&gt;0,1,0)</f>
        <v>1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0.73333333333333328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4500</v>
      </c>
      <c r="L16" s="86"/>
      <c r="M16" s="32"/>
      <c r="X16" s="29">
        <f>SUM(X6:X15)</f>
        <v>6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43221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43222</v>
      </c>
      <c r="D24" s="35" t="s">
        <v>13</v>
      </c>
      <c r="E24" s="35" t="s">
        <v>30</v>
      </c>
      <c r="F24" s="36">
        <v>10760</v>
      </c>
      <c r="G24" s="36">
        <v>10675</v>
      </c>
      <c r="H24" s="34">
        <v>43223</v>
      </c>
      <c r="I24" s="36">
        <v>375</v>
      </c>
      <c r="J24" s="84">
        <f>F24-G24</f>
        <v>85</v>
      </c>
      <c r="K24" s="41">
        <f>J24*I24</f>
        <v>31875</v>
      </c>
      <c r="L24" s="37" t="s">
        <v>195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4">
        <v>43235</v>
      </c>
      <c r="D25" s="35" t="s">
        <v>13</v>
      </c>
      <c r="E25" s="40" t="s">
        <v>30</v>
      </c>
      <c r="F25" s="41">
        <v>10850</v>
      </c>
      <c r="G25" s="41">
        <v>10700</v>
      </c>
      <c r="H25" s="39">
        <v>43237</v>
      </c>
      <c r="I25" s="41">
        <v>375</v>
      </c>
      <c r="J25" s="85">
        <v>150</v>
      </c>
      <c r="K25" s="41">
        <f t="shared" ref="K25:K28" si="8">J25*I25</f>
        <v>56250</v>
      </c>
      <c r="L25" s="42" t="s">
        <v>195</v>
      </c>
      <c r="M25" s="32"/>
      <c r="X25" s="29">
        <f t="shared" ref="X25:X33" si="9">IF($L25&gt;0,1,0)</f>
        <v>1</v>
      </c>
      <c r="Y25" s="29">
        <f t="shared" ref="Y25:Y33" si="10">IF($L25&lt;0,1,0)</f>
        <v>0</v>
      </c>
    </row>
    <row r="26" spans="1:25" x14ac:dyDescent="0.3">
      <c r="A26" s="31"/>
      <c r="B26" s="38">
        <f t="shared" ref="B26:B33" si="11">B25+1</f>
        <v>3</v>
      </c>
      <c r="C26" s="39">
        <v>43243</v>
      </c>
      <c r="D26" s="40" t="s">
        <v>13</v>
      </c>
      <c r="E26" s="40" t="s">
        <v>30</v>
      </c>
      <c r="F26" s="41">
        <v>10500</v>
      </c>
      <c r="G26" s="41">
        <v>10430</v>
      </c>
      <c r="H26" s="39">
        <v>43243</v>
      </c>
      <c r="I26" s="41">
        <v>375</v>
      </c>
      <c r="J26" s="85">
        <v>70</v>
      </c>
      <c r="K26" s="41">
        <f t="shared" si="8"/>
        <v>26250</v>
      </c>
      <c r="L26" s="42" t="s">
        <v>198</v>
      </c>
      <c r="M26" s="32"/>
      <c r="X26" s="29">
        <f t="shared" si="9"/>
        <v>1</v>
      </c>
      <c r="Y26" s="29">
        <f t="shared" si="10"/>
        <v>0</v>
      </c>
    </row>
    <row r="27" spans="1:25" x14ac:dyDescent="0.3">
      <c r="A27" s="31"/>
      <c r="B27" s="38">
        <f t="shared" si="11"/>
        <v>4</v>
      </c>
      <c r="C27" s="39">
        <v>43244</v>
      </c>
      <c r="D27" s="40" t="s">
        <v>13</v>
      </c>
      <c r="E27" s="40" t="s">
        <v>30</v>
      </c>
      <c r="F27" s="41">
        <v>10480</v>
      </c>
      <c r="G27" s="41">
        <v>10430</v>
      </c>
      <c r="H27" s="39">
        <v>43244</v>
      </c>
      <c r="I27" s="41">
        <v>375</v>
      </c>
      <c r="J27" s="85">
        <v>50</v>
      </c>
      <c r="K27" s="41">
        <f t="shared" si="8"/>
        <v>18750</v>
      </c>
      <c r="L27" s="42" t="s">
        <v>198</v>
      </c>
      <c r="M27" s="32"/>
      <c r="X27" s="29">
        <f t="shared" si="9"/>
        <v>1</v>
      </c>
      <c r="Y27" s="29">
        <f t="shared" si="10"/>
        <v>0</v>
      </c>
    </row>
    <row r="28" spans="1:25" x14ac:dyDescent="0.3">
      <c r="A28" s="31"/>
      <c r="B28" s="38">
        <f t="shared" si="11"/>
        <v>5</v>
      </c>
      <c r="C28" s="39">
        <v>43245</v>
      </c>
      <c r="D28" s="40" t="s">
        <v>13</v>
      </c>
      <c r="E28" s="40" t="s">
        <v>30</v>
      </c>
      <c r="F28" s="41">
        <v>10635</v>
      </c>
      <c r="G28" s="41">
        <v>10585</v>
      </c>
      <c r="H28" s="39">
        <v>43245</v>
      </c>
      <c r="I28" s="41">
        <v>375</v>
      </c>
      <c r="J28" s="85">
        <f>F28-G28</f>
        <v>50</v>
      </c>
      <c r="K28" s="41">
        <f t="shared" si="8"/>
        <v>18750</v>
      </c>
      <c r="L28" s="42" t="s">
        <v>198</v>
      </c>
      <c r="M28" s="32"/>
      <c r="X28" s="29">
        <f t="shared" si="9"/>
        <v>1</v>
      </c>
      <c r="Y28" s="29">
        <f t="shared" si="10"/>
        <v>0</v>
      </c>
    </row>
    <row r="29" spans="1:25" x14ac:dyDescent="0.3">
      <c r="A29" s="31"/>
      <c r="B29" s="38">
        <f t="shared" si="11"/>
        <v>6</v>
      </c>
      <c r="C29" s="39"/>
      <c r="D29" s="40"/>
      <c r="E29" s="40"/>
      <c r="F29" s="41"/>
      <c r="G29" s="41"/>
      <c r="H29" s="39"/>
      <c r="I29" s="41"/>
      <c r="J29" s="85"/>
      <c r="K29" s="41">
        <f>J29*I29</f>
        <v>0</v>
      </c>
      <c r="L29" s="42"/>
      <c r="M29" s="32"/>
      <c r="X29" s="29">
        <f t="shared" si="9"/>
        <v>0</v>
      </c>
      <c r="Y29" s="29">
        <f t="shared" si="10"/>
        <v>0</v>
      </c>
    </row>
    <row r="30" spans="1:25" x14ac:dyDescent="0.3">
      <c r="A30" s="31"/>
      <c r="B30" s="38">
        <f t="shared" si="11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9"/>
        <v>0</v>
      </c>
      <c r="Y30" s="29">
        <f t="shared" si="10"/>
        <v>0</v>
      </c>
    </row>
    <row r="31" spans="1:25" x14ac:dyDescent="0.3">
      <c r="A31" s="31"/>
      <c r="B31" s="38">
        <f t="shared" si="11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9"/>
        <v>0</v>
      </c>
      <c r="Y31" s="29">
        <f t="shared" si="10"/>
        <v>0</v>
      </c>
    </row>
    <row r="32" spans="1:25" x14ac:dyDescent="0.3">
      <c r="A32" s="31"/>
      <c r="B32" s="38">
        <f t="shared" si="11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9"/>
        <v>0</v>
      </c>
      <c r="Y32" s="29">
        <f t="shared" si="10"/>
        <v>0</v>
      </c>
    </row>
    <row r="33" spans="1:25" ht="15" thickBot="1" x14ac:dyDescent="0.35">
      <c r="A33" s="31"/>
      <c r="B33" s="38">
        <f t="shared" si="11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9"/>
        <v>0</v>
      </c>
      <c r="Y33" s="29">
        <f t="shared" si="10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151875</v>
      </c>
      <c r="L34" s="86"/>
      <c r="M34" s="32"/>
      <c r="X34" s="29">
        <f>SUM(X24:X33)</f>
        <v>5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43221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43222</v>
      </c>
      <c r="D42" s="35" t="s">
        <v>20</v>
      </c>
      <c r="E42" s="35" t="s">
        <v>361</v>
      </c>
      <c r="F42" s="105">
        <v>8</v>
      </c>
      <c r="G42" s="105">
        <v>9.6</v>
      </c>
      <c r="H42" s="34">
        <v>43223</v>
      </c>
      <c r="I42" s="36">
        <v>6000</v>
      </c>
      <c r="J42" s="107">
        <f>G42-F42</f>
        <v>1.5999999999999996</v>
      </c>
      <c r="K42" s="41">
        <f>J42*I42</f>
        <v>9599.9999999999982</v>
      </c>
      <c r="L42" s="37" t="s">
        <v>403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119">
        <v>2</v>
      </c>
      <c r="C43" s="120">
        <v>43227</v>
      </c>
      <c r="D43" s="121" t="s">
        <v>20</v>
      </c>
      <c r="E43" s="121" t="s">
        <v>361</v>
      </c>
      <c r="F43" s="117">
        <v>5.5</v>
      </c>
      <c r="G43" s="117">
        <v>9</v>
      </c>
      <c r="H43" s="120">
        <v>43236</v>
      </c>
      <c r="I43" s="122">
        <v>6000</v>
      </c>
      <c r="J43" s="123">
        <v>3.5</v>
      </c>
      <c r="K43" s="41">
        <f t="shared" ref="K43:K47" si="12">J43*I43</f>
        <v>21000</v>
      </c>
      <c r="L43" s="124" t="s">
        <v>198</v>
      </c>
      <c r="M43" s="32"/>
    </row>
    <row r="44" spans="1:25" x14ac:dyDescent="0.3">
      <c r="A44" s="31"/>
      <c r="B44" s="38">
        <v>3</v>
      </c>
      <c r="C44" s="39">
        <v>43237</v>
      </c>
      <c r="D44" s="40" t="s">
        <v>8</v>
      </c>
      <c r="E44" s="40" t="s">
        <v>636</v>
      </c>
      <c r="F44" s="106">
        <v>45</v>
      </c>
      <c r="G44" s="106">
        <v>30</v>
      </c>
      <c r="H44" s="39">
        <v>43241</v>
      </c>
      <c r="I44" s="41">
        <v>500</v>
      </c>
      <c r="J44" s="108">
        <v>-15</v>
      </c>
      <c r="K44" s="41">
        <f t="shared" si="12"/>
        <v>-7500</v>
      </c>
      <c r="L44" s="42" t="s">
        <v>197</v>
      </c>
      <c r="M44" s="32"/>
      <c r="X44" s="29">
        <f t="shared" ref="X44:X52" si="13">IF($L44&gt;0,1,0)</f>
        <v>1</v>
      </c>
      <c r="Y44" s="29">
        <f t="shared" ref="Y44:Y52" si="14">IF($L44&lt;0,1,0)</f>
        <v>0</v>
      </c>
    </row>
    <row r="45" spans="1:25" x14ac:dyDescent="0.3">
      <c r="A45" s="31"/>
      <c r="B45" s="38">
        <f t="shared" ref="B45:B52" si="15">B44+1</f>
        <v>4</v>
      </c>
      <c r="C45" s="39">
        <v>43244</v>
      </c>
      <c r="D45" s="40" t="s">
        <v>8</v>
      </c>
      <c r="E45" s="40" t="s">
        <v>296</v>
      </c>
      <c r="F45" s="106">
        <v>6.5</v>
      </c>
      <c r="G45" s="106">
        <v>9.5</v>
      </c>
      <c r="H45" s="39">
        <v>43245</v>
      </c>
      <c r="I45" s="41">
        <v>6000</v>
      </c>
      <c r="J45" s="85">
        <v>3</v>
      </c>
      <c r="K45" s="41">
        <f t="shared" si="12"/>
        <v>18000</v>
      </c>
      <c r="L45" s="42" t="s">
        <v>198</v>
      </c>
      <c r="M45" s="32"/>
      <c r="X45" s="29">
        <f t="shared" si="13"/>
        <v>1</v>
      </c>
      <c r="Y45" s="29">
        <f t="shared" si="14"/>
        <v>0</v>
      </c>
    </row>
    <row r="46" spans="1:25" x14ac:dyDescent="0.3">
      <c r="A46" s="31"/>
      <c r="B46" s="38">
        <f t="shared" si="15"/>
        <v>5</v>
      </c>
      <c r="C46" s="39"/>
      <c r="D46" s="40"/>
      <c r="E46" s="40"/>
      <c r="F46" s="106"/>
      <c r="G46" s="106"/>
      <c r="H46" s="39"/>
      <c r="I46" s="41"/>
      <c r="J46" s="85"/>
      <c r="K46" s="41">
        <f t="shared" si="12"/>
        <v>0</v>
      </c>
      <c r="L46" s="42"/>
      <c r="M46" s="32"/>
      <c r="X46" s="29">
        <f t="shared" si="13"/>
        <v>0</v>
      </c>
      <c r="Y46" s="29">
        <f t="shared" si="14"/>
        <v>0</v>
      </c>
    </row>
    <row r="47" spans="1:25" x14ac:dyDescent="0.3">
      <c r="A47" s="31"/>
      <c r="B47" s="38">
        <f t="shared" si="15"/>
        <v>6</v>
      </c>
      <c r="C47" s="39"/>
      <c r="D47" s="40"/>
      <c r="E47" s="40"/>
      <c r="F47" s="106"/>
      <c r="G47" s="106"/>
      <c r="H47" s="39"/>
      <c r="I47" s="41"/>
      <c r="J47" s="85"/>
      <c r="K47" s="41">
        <f t="shared" si="12"/>
        <v>0</v>
      </c>
      <c r="L47" s="42"/>
      <c r="M47" s="32"/>
      <c r="X47" s="29">
        <f t="shared" si="13"/>
        <v>0</v>
      </c>
      <c r="Y47" s="29">
        <f t="shared" si="14"/>
        <v>0</v>
      </c>
    </row>
    <row r="48" spans="1:25" x14ac:dyDescent="0.3">
      <c r="A48" s="31"/>
      <c r="B48" s="38">
        <f t="shared" si="15"/>
        <v>7</v>
      </c>
      <c r="C48" s="39"/>
      <c r="D48" s="40"/>
      <c r="E48" s="40"/>
      <c r="F48" s="106"/>
      <c r="G48" s="106"/>
      <c r="H48" s="41"/>
      <c r="I48" s="41"/>
      <c r="J48" s="85"/>
      <c r="K48" s="85">
        <f t="shared" ref="K48:K52" si="16">I48*J48</f>
        <v>0</v>
      </c>
      <c r="L48" s="42"/>
      <c r="M48" s="32"/>
      <c r="X48" s="29">
        <f t="shared" si="13"/>
        <v>0</v>
      </c>
      <c r="Y48" s="29">
        <f t="shared" si="14"/>
        <v>0</v>
      </c>
    </row>
    <row r="49" spans="1:25" x14ac:dyDescent="0.3">
      <c r="A49" s="31"/>
      <c r="B49" s="38">
        <f t="shared" si="15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si="16"/>
        <v>0</v>
      </c>
      <c r="L49" s="42"/>
      <c r="M49" s="32"/>
      <c r="X49" s="29">
        <f t="shared" si="13"/>
        <v>0</v>
      </c>
      <c r="Y49" s="29">
        <f t="shared" si="14"/>
        <v>0</v>
      </c>
    </row>
    <row r="50" spans="1:25" x14ac:dyDescent="0.3">
      <c r="A50" s="31"/>
      <c r="B50" s="38">
        <f t="shared" si="15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6"/>
        <v>0</v>
      </c>
      <c r="L50" s="42"/>
      <c r="M50" s="32"/>
      <c r="X50" s="29">
        <f t="shared" si="13"/>
        <v>0</v>
      </c>
      <c r="Y50" s="29">
        <f t="shared" si="14"/>
        <v>0</v>
      </c>
    </row>
    <row r="51" spans="1:25" x14ac:dyDescent="0.3">
      <c r="A51" s="31"/>
      <c r="B51" s="38">
        <f t="shared" si="15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6"/>
        <v>0</v>
      </c>
      <c r="L51" s="42"/>
      <c r="M51" s="32"/>
      <c r="X51" s="29">
        <f t="shared" si="13"/>
        <v>0</v>
      </c>
      <c r="Y51" s="29">
        <f t="shared" si="14"/>
        <v>0</v>
      </c>
    </row>
    <row r="52" spans="1:25" ht="15" thickBot="1" x14ac:dyDescent="0.35">
      <c r="A52" s="31"/>
      <c r="B52" s="38">
        <f t="shared" si="15"/>
        <v>11</v>
      </c>
      <c r="C52" s="39"/>
      <c r="D52" s="40"/>
      <c r="E52" s="40"/>
      <c r="F52" s="41"/>
      <c r="G52" s="41"/>
      <c r="H52" s="41"/>
      <c r="I52" s="41"/>
      <c r="J52" s="85"/>
      <c r="K52" s="85">
        <f t="shared" si="16"/>
        <v>0</v>
      </c>
      <c r="L52" s="42"/>
      <c r="M52" s="32"/>
      <c r="X52" s="29">
        <f t="shared" si="13"/>
        <v>0</v>
      </c>
      <c r="Y52" s="29">
        <f t="shared" si="14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SUM(K42:K52)</f>
        <v>41100</v>
      </c>
      <c r="L53" s="86"/>
      <c r="M53" s="32"/>
      <c r="X53" s="29">
        <f>SUM(X42:X52)</f>
        <v>3</v>
      </c>
      <c r="Y53" s="29">
        <f>SUM(Y42:Y52)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3:I53"/>
  </mergeCells>
  <hyperlinks>
    <hyperlink ref="B16" r:id="rId1" xr:uid="{00000000-0004-0000-3E00-000000000000}"/>
    <hyperlink ref="O1" location="'Home Page'!A1" display="Back" xr:uid="{00000000-0004-0000-3E00-000001000000}"/>
    <hyperlink ref="B34" r:id="rId2" xr:uid="{00000000-0004-0000-3E00-000002000000}"/>
    <hyperlink ref="B53" r:id="rId3" xr:uid="{00000000-0004-0000-3E00-000003000000}"/>
  </hyperlinks>
  <pageMargins left="0" right="0" top="0" bottom="0" header="0" footer="0"/>
  <pageSetup paperSize="9" orientation="portrait" r:id="rId4"/>
  <drawing r:id="rId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Y54"/>
  <sheetViews>
    <sheetView topLeftCell="A2" workbookViewId="0">
      <selection activeCell="T10" sqref="T10:T1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43252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v>3</v>
      </c>
      <c r="R4" s="208">
        <v>0</v>
      </c>
      <c r="S4" s="209"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x14ac:dyDescent="0.3">
      <c r="A6" s="31"/>
      <c r="B6" s="33">
        <v>1</v>
      </c>
      <c r="C6" s="34">
        <v>43256</v>
      </c>
      <c r="D6" s="35" t="s">
        <v>20</v>
      </c>
      <c r="E6" s="35" t="s">
        <v>28</v>
      </c>
      <c r="F6" s="126">
        <v>284</v>
      </c>
      <c r="G6" s="127">
        <v>294</v>
      </c>
      <c r="H6" s="34">
        <v>43257</v>
      </c>
      <c r="I6" s="36">
        <v>5500</v>
      </c>
      <c r="J6" s="129">
        <f>G6-F6</f>
        <v>10</v>
      </c>
      <c r="K6" s="41">
        <f>J6*I6</f>
        <v>55000</v>
      </c>
      <c r="L6" s="37" t="s">
        <v>638</v>
      </c>
      <c r="M6" s="32"/>
      <c r="O6" s="198" t="s">
        <v>599</v>
      </c>
      <c r="P6" s="199">
        <f>COUNT(C24:C29)</f>
        <v>6</v>
      </c>
      <c r="Q6" s="200">
        <v>6</v>
      </c>
      <c r="R6" s="200">
        <v>0</v>
      </c>
      <c r="S6" s="201">
        <v>0</v>
      </c>
      <c r="T6" s="197">
        <f t="shared" ref="T6" si="0">Q6/P6</f>
        <v>1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43270</v>
      </c>
      <c r="D7" s="40" t="s">
        <v>13</v>
      </c>
      <c r="E7" s="40" t="s">
        <v>634</v>
      </c>
      <c r="F7" s="126">
        <v>2280</v>
      </c>
      <c r="G7" s="126">
        <v>2255</v>
      </c>
      <c r="H7" s="39">
        <v>43273</v>
      </c>
      <c r="I7" s="41">
        <v>1000</v>
      </c>
      <c r="J7" s="130">
        <v>25</v>
      </c>
      <c r="K7" s="41">
        <f t="shared" ref="K7:K10" si="1">J7*I7</f>
        <v>25000</v>
      </c>
      <c r="L7" s="42" t="s">
        <v>403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43273</v>
      </c>
      <c r="D8" s="40" t="s">
        <v>13</v>
      </c>
      <c r="E8" s="40" t="s">
        <v>170</v>
      </c>
      <c r="F8" s="128">
        <v>2320</v>
      </c>
      <c r="G8" s="126">
        <v>2248</v>
      </c>
      <c r="H8" s="39">
        <v>43277</v>
      </c>
      <c r="I8" s="41">
        <v>500</v>
      </c>
      <c r="J8" s="130">
        <f>F8-G8</f>
        <v>72</v>
      </c>
      <c r="K8" s="41">
        <f t="shared" si="1"/>
        <v>36000</v>
      </c>
      <c r="L8" s="42" t="s">
        <v>638</v>
      </c>
      <c r="M8" s="32"/>
      <c r="O8" s="198" t="s">
        <v>600</v>
      </c>
      <c r="P8" s="199">
        <f>COUNT(C42:C49)</f>
        <v>3</v>
      </c>
      <c r="Q8" s="200">
        <v>3</v>
      </c>
      <c r="R8" s="200">
        <v>0</v>
      </c>
      <c r="S8" s="201">
        <v>0</v>
      </c>
      <c r="T8" s="197">
        <f t="shared" ref="T8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19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12</v>
      </c>
      <c r="Q10" s="173">
        <f>SUM(Q4:Q9)</f>
        <v>12</v>
      </c>
      <c r="R10" s="173">
        <f t="shared" ref="R10:S10" si="6">SUM(R4:R9)</f>
        <v>0</v>
      </c>
      <c r="S10" s="173">
        <f t="shared" si="6"/>
        <v>0</v>
      </c>
      <c r="T10" s="195">
        <f t="shared" ref="T10" si="7">Q10/P10</f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7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116000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43252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43256</v>
      </c>
      <c r="D24" s="35" t="s">
        <v>20</v>
      </c>
      <c r="E24" s="35" t="s">
        <v>30</v>
      </c>
      <c r="F24" s="36">
        <v>10560</v>
      </c>
      <c r="G24" s="36">
        <v>10700</v>
      </c>
      <c r="H24" s="39">
        <v>43257</v>
      </c>
      <c r="I24" s="36">
        <v>375</v>
      </c>
      <c r="J24" s="84">
        <f>G24-F24</f>
        <v>140</v>
      </c>
      <c r="K24" s="41">
        <f>J24*I24</f>
        <v>52500</v>
      </c>
      <c r="L24" s="37" t="s">
        <v>195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4">
        <v>43256</v>
      </c>
      <c r="D25" s="35" t="s">
        <v>8</v>
      </c>
      <c r="E25" s="40" t="s">
        <v>619</v>
      </c>
      <c r="F25" s="41">
        <v>26150</v>
      </c>
      <c r="G25" s="41">
        <v>26400</v>
      </c>
      <c r="H25" s="39">
        <v>43257</v>
      </c>
      <c r="I25" s="41">
        <v>160</v>
      </c>
      <c r="J25" s="84">
        <f>G25-F25</f>
        <v>250</v>
      </c>
      <c r="K25" s="41">
        <f t="shared" ref="K25:K29" si="8">J25*I25</f>
        <v>40000</v>
      </c>
      <c r="L25" s="42" t="s">
        <v>195</v>
      </c>
      <c r="M25" s="32"/>
      <c r="X25" s="29">
        <f t="shared" ref="X25:X33" si="9">IF($L25&gt;0,1,0)</f>
        <v>1</v>
      </c>
      <c r="Y25" s="29">
        <f t="shared" ref="Y25:Y33" si="10">IF($L25&lt;0,1,0)</f>
        <v>0</v>
      </c>
    </row>
    <row r="26" spans="1:25" x14ac:dyDescent="0.3">
      <c r="A26" s="31"/>
      <c r="B26" s="38">
        <f t="shared" ref="B26:B33" si="11">B25+1</f>
        <v>3</v>
      </c>
      <c r="C26" s="39">
        <v>43262</v>
      </c>
      <c r="D26" s="40" t="s">
        <v>13</v>
      </c>
      <c r="E26" s="40" t="s">
        <v>30</v>
      </c>
      <c r="F26" s="41">
        <v>10830</v>
      </c>
      <c r="G26" s="41">
        <v>10788</v>
      </c>
      <c r="H26" s="39">
        <v>43262</v>
      </c>
      <c r="I26" s="41">
        <v>375</v>
      </c>
      <c r="J26" s="85">
        <f>F26-G26</f>
        <v>42</v>
      </c>
      <c r="K26" s="41">
        <f t="shared" si="8"/>
        <v>15750</v>
      </c>
      <c r="L26" s="42" t="s">
        <v>198</v>
      </c>
      <c r="M26" s="32"/>
      <c r="X26" s="29">
        <f t="shared" si="9"/>
        <v>1</v>
      </c>
      <c r="Y26" s="29">
        <f t="shared" si="10"/>
        <v>0</v>
      </c>
    </row>
    <row r="27" spans="1:25" x14ac:dyDescent="0.3">
      <c r="A27" s="31"/>
      <c r="B27" s="38">
        <f t="shared" si="11"/>
        <v>4</v>
      </c>
      <c r="C27" s="39">
        <v>43265</v>
      </c>
      <c r="D27" s="40" t="s">
        <v>13</v>
      </c>
      <c r="E27" s="40" t="s">
        <v>30</v>
      </c>
      <c r="F27" s="41">
        <v>10830</v>
      </c>
      <c r="G27" s="41">
        <v>10788</v>
      </c>
      <c r="H27" s="39">
        <v>43266</v>
      </c>
      <c r="I27" s="41">
        <v>375</v>
      </c>
      <c r="J27" s="85">
        <f>F27-G27</f>
        <v>42</v>
      </c>
      <c r="K27" s="41">
        <f t="shared" si="8"/>
        <v>15750</v>
      </c>
      <c r="L27" s="42" t="s">
        <v>198</v>
      </c>
      <c r="M27" s="32"/>
      <c r="X27" s="29">
        <f t="shared" si="9"/>
        <v>1</v>
      </c>
      <c r="Y27" s="29">
        <f t="shared" si="10"/>
        <v>0</v>
      </c>
    </row>
    <row r="28" spans="1:25" x14ac:dyDescent="0.3">
      <c r="A28" s="31"/>
      <c r="B28" s="38">
        <f t="shared" si="11"/>
        <v>5</v>
      </c>
      <c r="C28" s="39">
        <v>43265</v>
      </c>
      <c r="D28" s="40" t="s">
        <v>13</v>
      </c>
      <c r="E28" s="40" t="s">
        <v>619</v>
      </c>
      <c r="F28" s="41">
        <v>26600</v>
      </c>
      <c r="G28" s="41">
        <v>26300</v>
      </c>
      <c r="H28" s="39">
        <v>43266</v>
      </c>
      <c r="I28" s="41">
        <v>160</v>
      </c>
      <c r="J28" s="85">
        <f>F28-G28</f>
        <v>300</v>
      </c>
      <c r="K28" s="41">
        <f t="shared" si="8"/>
        <v>48000</v>
      </c>
      <c r="L28" s="42" t="s">
        <v>195</v>
      </c>
      <c r="M28" s="32"/>
      <c r="X28" s="29">
        <f t="shared" si="9"/>
        <v>1</v>
      </c>
      <c r="Y28" s="29">
        <f t="shared" si="10"/>
        <v>0</v>
      </c>
    </row>
    <row r="29" spans="1:25" x14ac:dyDescent="0.3">
      <c r="A29" s="31"/>
      <c r="B29" s="38">
        <f t="shared" si="11"/>
        <v>6</v>
      </c>
      <c r="C29" s="39">
        <v>43273</v>
      </c>
      <c r="D29" s="40" t="s">
        <v>13</v>
      </c>
      <c r="E29" s="40" t="s">
        <v>30</v>
      </c>
      <c r="F29" s="41">
        <v>10775</v>
      </c>
      <c r="G29" s="41">
        <v>10620</v>
      </c>
      <c r="H29" s="39">
        <v>43277</v>
      </c>
      <c r="I29" s="41">
        <v>375</v>
      </c>
      <c r="J29" s="85">
        <f>F29-G29</f>
        <v>155</v>
      </c>
      <c r="K29" s="41">
        <f t="shared" si="8"/>
        <v>58125</v>
      </c>
      <c r="L29" s="42" t="s">
        <v>195</v>
      </c>
      <c r="M29" s="32"/>
      <c r="X29" s="29">
        <f t="shared" si="9"/>
        <v>1</v>
      </c>
      <c r="Y29" s="29">
        <f t="shared" si="10"/>
        <v>0</v>
      </c>
    </row>
    <row r="30" spans="1:25" x14ac:dyDescent="0.3">
      <c r="A30" s="31"/>
      <c r="B30" s="38">
        <f t="shared" si="11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9"/>
        <v>0</v>
      </c>
      <c r="Y30" s="29">
        <f t="shared" si="10"/>
        <v>0</v>
      </c>
    </row>
    <row r="31" spans="1:25" x14ac:dyDescent="0.3">
      <c r="A31" s="31"/>
      <c r="B31" s="38">
        <f t="shared" si="11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9"/>
        <v>0</v>
      </c>
      <c r="Y31" s="29">
        <f t="shared" si="10"/>
        <v>0</v>
      </c>
    </row>
    <row r="32" spans="1:25" x14ac:dyDescent="0.3">
      <c r="A32" s="31"/>
      <c r="B32" s="38">
        <f t="shared" si="11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9"/>
        <v>0</v>
      </c>
      <c r="Y32" s="29">
        <f t="shared" si="10"/>
        <v>0</v>
      </c>
    </row>
    <row r="33" spans="1:25" ht="15" thickBot="1" x14ac:dyDescent="0.35">
      <c r="A33" s="31"/>
      <c r="B33" s="38">
        <f t="shared" si="11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9"/>
        <v>0</v>
      </c>
      <c r="Y33" s="29">
        <f t="shared" si="10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230125</v>
      </c>
      <c r="L34" s="86"/>
      <c r="M34" s="32"/>
      <c r="X34" s="29">
        <f>SUM(X24:X33)</f>
        <v>6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43252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43256</v>
      </c>
      <c r="D42" s="35" t="s">
        <v>20</v>
      </c>
      <c r="E42" s="35" t="s">
        <v>637</v>
      </c>
      <c r="F42" s="105">
        <v>5.8</v>
      </c>
      <c r="G42" s="105">
        <v>12</v>
      </c>
      <c r="H42" s="34">
        <v>43257</v>
      </c>
      <c r="I42" s="36">
        <v>6000</v>
      </c>
      <c r="J42" s="107">
        <f>G42-F42</f>
        <v>6.2</v>
      </c>
      <c r="K42" s="41">
        <f>I42*J42</f>
        <v>37200</v>
      </c>
      <c r="L42" s="37" t="s">
        <v>638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119">
        <v>2</v>
      </c>
      <c r="C43" s="120">
        <v>43270</v>
      </c>
      <c r="D43" s="121" t="s">
        <v>8</v>
      </c>
      <c r="E43" s="121" t="s">
        <v>639</v>
      </c>
      <c r="F43" s="117">
        <v>5.5</v>
      </c>
      <c r="G43" s="117">
        <v>9.5</v>
      </c>
      <c r="H43" s="120">
        <v>43273</v>
      </c>
      <c r="I43" s="122">
        <v>6000</v>
      </c>
      <c r="J43" s="123">
        <v>4</v>
      </c>
      <c r="K43" s="41">
        <f t="shared" ref="K43:K48" si="12">I43*J43</f>
        <v>24000</v>
      </c>
      <c r="L43" s="124" t="s">
        <v>195</v>
      </c>
      <c r="M43" s="32"/>
    </row>
    <row r="44" spans="1:25" x14ac:dyDescent="0.3">
      <c r="A44" s="31"/>
      <c r="B44" s="38">
        <v>3</v>
      </c>
      <c r="C44" s="39">
        <v>43274</v>
      </c>
      <c r="D44" s="40" t="s">
        <v>8</v>
      </c>
      <c r="E44" s="40" t="s">
        <v>639</v>
      </c>
      <c r="F44" s="106">
        <v>4</v>
      </c>
      <c r="G44" s="106">
        <v>9.3000000000000007</v>
      </c>
      <c r="H44" s="39">
        <v>43277</v>
      </c>
      <c r="I44" s="41">
        <v>6000</v>
      </c>
      <c r="J44" s="108">
        <f>G44-F44</f>
        <v>5.3000000000000007</v>
      </c>
      <c r="K44" s="41">
        <f t="shared" si="12"/>
        <v>31800.000000000004</v>
      </c>
      <c r="L44" s="42" t="s">
        <v>638</v>
      </c>
      <c r="M44" s="32"/>
      <c r="X44" s="29">
        <f t="shared" ref="X44:X52" si="13">IF($L44&gt;0,1,0)</f>
        <v>1</v>
      </c>
      <c r="Y44" s="29">
        <f t="shared" ref="Y44:Y52" si="14">IF($L44&lt;0,1,0)</f>
        <v>0</v>
      </c>
    </row>
    <row r="45" spans="1:25" x14ac:dyDescent="0.3">
      <c r="A45" s="31"/>
      <c r="B45" s="38">
        <f t="shared" ref="B45:B52" si="15">B44+1</f>
        <v>4</v>
      </c>
      <c r="C45" s="39"/>
      <c r="D45" s="40"/>
      <c r="E45" s="40"/>
      <c r="F45" s="106"/>
      <c r="G45" s="106"/>
      <c r="H45" s="39"/>
      <c r="I45" s="41"/>
      <c r="J45" s="85"/>
      <c r="K45" s="41">
        <f t="shared" si="12"/>
        <v>0</v>
      </c>
      <c r="L45" s="42"/>
      <c r="M45" s="32"/>
      <c r="X45" s="29">
        <f t="shared" si="13"/>
        <v>0</v>
      </c>
      <c r="Y45" s="29">
        <f t="shared" si="14"/>
        <v>0</v>
      </c>
    </row>
    <row r="46" spans="1:25" x14ac:dyDescent="0.3">
      <c r="A46" s="31"/>
      <c r="B46" s="38">
        <f t="shared" si="15"/>
        <v>5</v>
      </c>
      <c r="C46" s="39"/>
      <c r="D46" s="40"/>
      <c r="E46" s="40"/>
      <c r="F46" s="106"/>
      <c r="G46" s="106"/>
      <c r="H46" s="39"/>
      <c r="I46" s="41"/>
      <c r="J46" s="85"/>
      <c r="K46" s="41">
        <f t="shared" si="12"/>
        <v>0</v>
      </c>
      <c r="L46" s="42"/>
      <c r="M46" s="32"/>
      <c r="X46" s="29">
        <f t="shared" si="13"/>
        <v>0</v>
      </c>
      <c r="Y46" s="29">
        <f t="shared" si="14"/>
        <v>0</v>
      </c>
    </row>
    <row r="47" spans="1:25" x14ac:dyDescent="0.3">
      <c r="A47" s="31"/>
      <c r="B47" s="38">
        <f t="shared" si="15"/>
        <v>6</v>
      </c>
      <c r="C47" s="39"/>
      <c r="D47" s="40"/>
      <c r="E47" s="40"/>
      <c r="F47" s="106"/>
      <c r="G47" s="106"/>
      <c r="H47" s="39"/>
      <c r="I47" s="41"/>
      <c r="J47" s="85"/>
      <c r="K47" s="41">
        <f t="shared" si="12"/>
        <v>0</v>
      </c>
      <c r="L47" s="42"/>
      <c r="M47" s="32"/>
      <c r="X47" s="29">
        <f t="shared" si="13"/>
        <v>0</v>
      </c>
      <c r="Y47" s="29">
        <f t="shared" si="14"/>
        <v>0</v>
      </c>
    </row>
    <row r="48" spans="1:25" x14ac:dyDescent="0.3">
      <c r="A48" s="31"/>
      <c r="B48" s="38">
        <f t="shared" si="15"/>
        <v>7</v>
      </c>
      <c r="C48" s="39"/>
      <c r="D48" s="40"/>
      <c r="E48" s="40"/>
      <c r="F48" s="106"/>
      <c r="G48" s="106"/>
      <c r="H48" s="41"/>
      <c r="I48" s="41"/>
      <c r="J48" s="85"/>
      <c r="K48" s="41">
        <f t="shared" si="12"/>
        <v>0</v>
      </c>
      <c r="L48" s="42"/>
      <c r="M48" s="32"/>
      <c r="X48" s="29">
        <f t="shared" si="13"/>
        <v>0</v>
      </c>
      <c r="Y48" s="29">
        <f t="shared" si="14"/>
        <v>0</v>
      </c>
    </row>
    <row r="49" spans="1:25" x14ac:dyDescent="0.3">
      <c r="A49" s="31"/>
      <c r="B49" s="38">
        <f t="shared" si="15"/>
        <v>8</v>
      </c>
      <c r="C49" s="39"/>
      <c r="D49" s="40"/>
      <c r="E49" s="40"/>
      <c r="F49" s="41"/>
      <c r="G49" s="41"/>
      <c r="H49" s="41"/>
      <c r="I49" s="41"/>
      <c r="J49" s="85"/>
      <c r="K49" s="85">
        <f t="shared" ref="K49:K52" si="16">I49*J49</f>
        <v>0</v>
      </c>
      <c r="L49" s="42"/>
      <c r="M49" s="32"/>
      <c r="X49" s="29">
        <f t="shared" si="13"/>
        <v>0</v>
      </c>
      <c r="Y49" s="29">
        <f t="shared" si="14"/>
        <v>0</v>
      </c>
    </row>
    <row r="50" spans="1:25" x14ac:dyDescent="0.3">
      <c r="A50" s="31"/>
      <c r="B50" s="38">
        <f t="shared" si="15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si="16"/>
        <v>0</v>
      </c>
      <c r="L50" s="42"/>
      <c r="M50" s="32"/>
      <c r="X50" s="29">
        <f t="shared" si="13"/>
        <v>0</v>
      </c>
      <c r="Y50" s="29">
        <f t="shared" si="14"/>
        <v>0</v>
      </c>
    </row>
    <row r="51" spans="1:25" x14ac:dyDescent="0.3">
      <c r="A51" s="31"/>
      <c r="B51" s="38">
        <f t="shared" si="15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6"/>
        <v>0</v>
      </c>
      <c r="L51" s="42"/>
      <c r="M51" s="32"/>
      <c r="X51" s="29">
        <f t="shared" si="13"/>
        <v>0</v>
      </c>
      <c r="Y51" s="29">
        <f t="shared" si="14"/>
        <v>0</v>
      </c>
    </row>
    <row r="52" spans="1:25" ht="15" thickBot="1" x14ac:dyDescent="0.35">
      <c r="A52" s="31"/>
      <c r="B52" s="38">
        <f t="shared" si="15"/>
        <v>11</v>
      </c>
      <c r="C52" s="39"/>
      <c r="D52" s="40"/>
      <c r="E52" s="40"/>
      <c r="F52" s="41"/>
      <c r="G52" s="41"/>
      <c r="H52" s="41"/>
      <c r="I52" s="41"/>
      <c r="J52" s="85"/>
      <c r="K52" s="85">
        <f t="shared" si="16"/>
        <v>0</v>
      </c>
      <c r="L52" s="42"/>
      <c r="M52" s="32"/>
      <c r="X52" s="29">
        <f t="shared" si="13"/>
        <v>0</v>
      </c>
      <c r="Y52" s="29">
        <f t="shared" si="14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SUM(K42:K52)</f>
        <v>93000</v>
      </c>
      <c r="L53" s="86"/>
      <c r="M53" s="32"/>
      <c r="X53" s="29">
        <f>SUM(X42:X52)</f>
        <v>2</v>
      </c>
      <c r="Y53" s="29">
        <f>SUM(Y42:Y52)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4:I34"/>
    <mergeCell ref="B38:L38"/>
    <mergeCell ref="B39:L39"/>
    <mergeCell ref="B40:L40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3F00-000000000000}"/>
    <hyperlink ref="O1" location="'Home Page'!A1" display="Back" xr:uid="{00000000-0004-0000-3F00-000001000000}"/>
    <hyperlink ref="B34" r:id="rId2" xr:uid="{00000000-0004-0000-3F00-000002000000}"/>
    <hyperlink ref="B53" r:id="rId3" xr:uid="{00000000-0004-0000-3F00-000003000000}"/>
  </hyperlinks>
  <pageMargins left="0" right="0" top="0" bottom="0" header="0" footer="0"/>
  <pageSetup paperSize="9" orientation="portrait" r:id="rId4"/>
  <drawing r:id="rId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Y54"/>
  <sheetViews>
    <sheetView topLeftCell="A3" workbookViewId="0">
      <selection activeCell="T10" sqref="T10:T1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6640625" style="29" customWidth="1"/>
    <col min="6" max="6" width="8.88671875" style="29" customWidth="1"/>
    <col min="7" max="7" width="7.44140625" style="29" customWidth="1"/>
    <col min="8" max="8" width="8.6640625" style="29" customWidth="1"/>
    <col min="9" max="9" width="8.109375" style="29" customWidth="1"/>
    <col min="10" max="10" width="8" style="29" customWidth="1"/>
    <col min="11" max="11" width="11.88671875" style="29" customWidth="1"/>
    <col min="12" max="12" width="9.10937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5.2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43282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2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v>3</v>
      </c>
      <c r="R4" s="208">
        <v>0</v>
      </c>
      <c r="S4" s="209"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x14ac:dyDescent="0.3">
      <c r="A6" s="31"/>
      <c r="B6" s="33">
        <v>1</v>
      </c>
      <c r="C6" s="34">
        <v>43287</v>
      </c>
      <c r="D6" s="35" t="s">
        <v>13</v>
      </c>
      <c r="E6" s="35" t="s">
        <v>11</v>
      </c>
      <c r="F6" s="126">
        <v>262</v>
      </c>
      <c r="G6" s="127">
        <v>258</v>
      </c>
      <c r="H6" s="34">
        <v>43287</v>
      </c>
      <c r="I6" s="36">
        <v>6000</v>
      </c>
      <c r="J6" s="129">
        <v>4</v>
      </c>
      <c r="K6" s="41">
        <f>J6*I6</f>
        <v>24000</v>
      </c>
      <c r="L6" s="37" t="s">
        <v>198</v>
      </c>
      <c r="M6" s="32"/>
      <c r="O6" s="198" t="s">
        <v>599</v>
      </c>
      <c r="P6" s="199">
        <f>COUNT(C24:C29)</f>
        <v>2</v>
      </c>
      <c r="Q6" s="200">
        <v>2</v>
      </c>
      <c r="R6" s="200">
        <v>0</v>
      </c>
      <c r="S6" s="201">
        <v>0</v>
      </c>
      <c r="T6" s="197">
        <f t="shared" ref="T6" si="0">Q6/P6</f>
        <v>1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43293</v>
      </c>
      <c r="D7" s="40" t="s">
        <v>13</v>
      </c>
      <c r="E7" s="40" t="s">
        <v>11</v>
      </c>
      <c r="F7" s="126">
        <v>266</v>
      </c>
      <c r="G7" s="126">
        <v>254</v>
      </c>
      <c r="H7" s="39">
        <v>43293</v>
      </c>
      <c r="I7" s="41">
        <v>6000</v>
      </c>
      <c r="J7" s="130">
        <v>12</v>
      </c>
      <c r="K7" s="41">
        <f t="shared" ref="K7:K10" si="1">J7*I7</f>
        <v>72000</v>
      </c>
      <c r="L7" s="42" t="s">
        <v>195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x14ac:dyDescent="0.3">
      <c r="A8" s="31"/>
      <c r="B8" s="38">
        <f t="shared" ref="B8:B15" si="4">B7+1</f>
        <v>3</v>
      </c>
      <c r="C8" s="39">
        <v>43298</v>
      </c>
      <c r="D8" s="40" t="s">
        <v>13</v>
      </c>
      <c r="E8" s="40" t="s">
        <v>11</v>
      </c>
      <c r="F8" s="128">
        <v>261</v>
      </c>
      <c r="G8" s="126">
        <v>256</v>
      </c>
      <c r="H8" s="39">
        <v>43299</v>
      </c>
      <c r="I8" s="41">
        <v>6000</v>
      </c>
      <c r="J8" s="130">
        <v>5</v>
      </c>
      <c r="K8" s="41">
        <f t="shared" si="1"/>
        <v>30000</v>
      </c>
      <c r="L8" s="42" t="s">
        <v>198</v>
      </c>
      <c r="M8" s="32"/>
      <c r="O8" s="198" t="s">
        <v>600</v>
      </c>
      <c r="P8" s="199">
        <f>COUNT(C42:C49)</f>
        <v>5</v>
      </c>
      <c r="Q8" s="200">
        <v>5</v>
      </c>
      <c r="R8" s="200">
        <v>0</v>
      </c>
      <c r="S8" s="201">
        <v>0</v>
      </c>
      <c r="T8" s="197">
        <f t="shared" ref="T8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19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10</v>
      </c>
      <c r="Q10" s="173">
        <f>SUM(Q4:Q9)</f>
        <v>10</v>
      </c>
      <c r="R10" s="173">
        <f t="shared" ref="R10:S10" si="6">SUM(R4:R9)</f>
        <v>0</v>
      </c>
      <c r="S10" s="173">
        <f t="shared" si="6"/>
        <v>0</v>
      </c>
      <c r="T10" s="195">
        <f t="shared" ref="T10" si="7">Q10/P10</f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74"/>
      <c r="T11" s="196"/>
      <c r="X11" s="29">
        <f>IF($L11&gt;0,1,0)</f>
        <v>0</v>
      </c>
      <c r="Y11" s="29">
        <f>IF($L11&lt;0,1,0)</f>
        <v>0</v>
      </c>
    </row>
    <row r="12" spans="1:25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126000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43282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92" t="s">
        <v>1</v>
      </c>
      <c r="D23" s="93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95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ht="15" thickBot="1" x14ac:dyDescent="0.35">
      <c r="A24" s="31"/>
      <c r="B24" s="33">
        <v>1</v>
      </c>
      <c r="C24" s="34">
        <v>43284</v>
      </c>
      <c r="D24" s="35" t="s">
        <v>13</v>
      </c>
      <c r="E24" s="35" t="s">
        <v>30</v>
      </c>
      <c r="F24" s="36">
        <v>10720</v>
      </c>
      <c r="G24" s="36">
        <v>10685</v>
      </c>
      <c r="H24" s="39">
        <v>43284</v>
      </c>
      <c r="I24" s="36">
        <v>375</v>
      </c>
      <c r="J24" s="84">
        <f>F24-G24</f>
        <v>35</v>
      </c>
      <c r="K24" s="41">
        <f>J24*I24</f>
        <v>13125</v>
      </c>
      <c r="L24" s="37" t="s">
        <v>403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4">
        <v>43293</v>
      </c>
      <c r="D25" s="35" t="s">
        <v>13</v>
      </c>
      <c r="E25" s="40" t="s">
        <v>30</v>
      </c>
      <c r="F25" s="41">
        <v>11040</v>
      </c>
      <c r="G25" s="41">
        <v>10940</v>
      </c>
      <c r="H25" s="39">
        <v>43294</v>
      </c>
      <c r="I25" s="41">
        <v>375</v>
      </c>
      <c r="J25" s="84">
        <f>F25-G25</f>
        <v>100</v>
      </c>
      <c r="K25" s="41">
        <f t="shared" ref="K25:K29" si="8">J25*I25</f>
        <v>37500</v>
      </c>
      <c r="L25" s="42" t="s">
        <v>195</v>
      </c>
      <c r="M25" s="32"/>
      <c r="X25" s="29">
        <f t="shared" ref="X25:X33" si="9">IF($L25&gt;0,1,0)</f>
        <v>1</v>
      </c>
      <c r="Y25" s="29">
        <f t="shared" ref="Y25:Y33" si="10">IF($L25&lt;0,1,0)</f>
        <v>0</v>
      </c>
    </row>
    <row r="26" spans="1:25" x14ac:dyDescent="0.3">
      <c r="A26" s="31"/>
      <c r="B26" s="38">
        <f t="shared" ref="B26:B33" si="11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9"/>
        <v>0</v>
      </c>
      <c r="Y26" s="29">
        <f t="shared" si="10"/>
        <v>0</v>
      </c>
    </row>
    <row r="27" spans="1:25" x14ac:dyDescent="0.3">
      <c r="A27" s="31"/>
      <c r="B27" s="38">
        <f t="shared" si="11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9"/>
        <v>0</v>
      </c>
      <c r="Y27" s="29">
        <f t="shared" si="10"/>
        <v>0</v>
      </c>
    </row>
    <row r="28" spans="1:25" x14ac:dyDescent="0.3">
      <c r="A28" s="31"/>
      <c r="B28" s="38">
        <f t="shared" si="11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9"/>
        <v>0</v>
      </c>
      <c r="Y28" s="29">
        <f t="shared" si="10"/>
        <v>0</v>
      </c>
    </row>
    <row r="29" spans="1:25" x14ac:dyDescent="0.3">
      <c r="A29" s="31"/>
      <c r="B29" s="38">
        <f t="shared" si="11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9"/>
        <v>0</v>
      </c>
      <c r="Y29" s="29">
        <f t="shared" si="10"/>
        <v>0</v>
      </c>
    </row>
    <row r="30" spans="1:25" x14ac:dyDescent="0.3">
      <c r="A30" s="31"/>
      <c r="B30" s="38">
        <f t="shared" si="11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9"/>
        <v>0</v>
      </c>
      <c r="Y30" s="29">
        <f t="shared" si="10"/>
        <v>0</v>
      </c>
    </row>
    <row r="31" spans="1:25" x14ac:dyDescent="0.3">
      <c r="A31" s="31"/>
      <c r="B31" s="38">
        <f t="shared" si="11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9"/>
        <v>0</v>
      </c>
      <c r="Y31" s="29">
        <f t="shared" si="10"/>
        <v>0</v>
      </c>
    </row>
    <row r="32" spans="1:25" x14ac:dyDescent="0.3">
      <c r="A32" s="31"/>
      <c r="B32" s="38">
        <f t="shared" si="11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9"/>
        <v>0</v>
      </c>
      <c r="Y32" s="29">
        <f t="shared" si="10"/>
        <v>0</v>
      </c>
    </row>
    <row r="33" spans="1:25" ht="15" thickBot="1" x14ac:dyDescent="0.35">
      <c r="A33" s="31"/>
      <c r="B33" s="38">
        <f t="shared" si="11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9"/>
        <v>0</v>
      </c>
      <c r="Y33" s="29">
        <f t="shared" si="10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50625</v>
      </c>
      <c r="L34" s="86"/>
      <c r="M34" s="32"/>
      <c r="X34" s="29">
        <f>SUM(X24:X33)</f>
        <v>2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43282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43284</v>
      </c>
      <c r="D42" s="35" t="s">
        <v>20</v>
      </c>
      <c r="E42" s="35" t="s">
        <v>628</v>
      </c>
      <c r="F42" s="105">
        <v>7</v>
      </c>
      <c r="G42" s="105">
        <v>8.8000000000000007</v>
      </c>
      <c r="H42" s="34">
        <v>43284</v>
      </c>
      <c r="I42" s="36">
        <v>6000</v>
      </c>
      <c r="J42" s="107">
        <v>2</v>
      </c>
      <c r="K42" s="41">
        <f>J42*I42</f>
        <v>12000</v>
      </c>
      <c r="L42" s="37" t="s">
        <v>403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119">
        <v>2</v>
      </c>
      <c r="C43" s="120">
        <v>43287</v>
      </c>
      <c r="D43" s="121" t="s">
        <v>8</v>
      </c>
      <c r="E43" s="121" t="s">
        <v>628</v>
      </c>
      <c r="F43" s="117">
        <v>6.5</v>
      </c>
      <c r="G43" s="117">
        <v>8</v>
      </c>
      <c r="H43" s="120">
        <v>43287</v>
      </c>
      <c r="I43" s="122">
        <v>6000</v>
      </c>
      <c r="J43" s="123">
        <v>2</v>
      </c>
      <c r="K43" s="41">
        <f t="shared" ref="K43:K49" si="12">J43*I43</f>
        <v>12000</v>
      </c>
      <c r="L43" s="124" t="s">
        <v>198</v>
      </c>
      <c r="M43" s="32"/>
    </row>
    <row r="44" spans="1:25" x14ac:dyDescent="0.3">
      <c r="A44" s="31"/>
      <c r="B44" s="38">
        <v>3</v>
      </c>
      <c r="C44" s="39">
        <v>43292</v>
      </c>
      <c r="D44" s="40" t="s">
        <v>8</v>
      </c>
      <c r="E44" s="40" t="s">
        <v>628</v>
      </c>
      <c r="F44" s="106">
        <v>6</v>
      </c>
      <c r="G44" s="106">
        <v>10</v>
      </c>
      <c r="H44" s="39">
        <v>43297</v>
      </c>
      <c r="I44" s="41">
        <v>6000</v>
      </c>
      <c r="J44" s="108">
        <v>4</v>
      </c>
      <c r="K44" s="41">
        <f t="shared" si="12"/>
        <v>24000</v>
      </c>
      <c r="L44" s="42" t="s">
        <v>195</v>
      </c>
      <c r="M44" s="32"/>
      <c r="X44" s="29">
        <f t="shared" ref="X44:X52" si="13">IF($L44&gt;0,1,0)</f>
        <v>1</v>
      </c>
      <c r="Y44" s="29">
        <f t="shared" ref="Y44:Y52" si="14">IF($L44&lt;0,1,0)</f>
        <v>0</v>
      </c>
    </row>
    <row r="45" spans="1:25" x14ac:dyDescent="0.3">
      <c r="A45" s="31"/>
      <c r="B45" s="38">
        <f t="shared" ref="B45:B52" si="15">B44+1</f>
        <v>4</v>
      </c>
      <c r="C45" s="39">
        <v>43293</v>
      </c>
      <c r="D45" s="40" t="s">
        <v>8</v>
      </c>
      <c r="E45" s="40" t="s">
        <v>628</v>
      </c>
      <c r="F45" s="106">
        <v>4</v>
      </c>
      <c r="G45" s="106">
        <v>7</v>
      </c>
      <c r="H45" s="39">
        <v>43294</v>
      </c>
      <c r="I45" s="41">
        <v>6000</v>
      </c>
      <c r="J45" s="85">
        <v>3</v>
      </c>
      <c r="K45" s="41">
        <f t="shared" si="12"/>
        <v>18000</v>
      </c>
      <c r="L45" s="42" t="s">
        <v>198</v>
      </c>
      <c r="M45" s="32"/>
      <c r="X45" s="29">
        <f t="shared" si="13"/>
        <v>1</v>
      </c>
      <c r="Y45" s="29">
        <f t="shared" si="14"/>
        <v>0</v>
      </c>
    </row>
    <row r="46" spans="1:25" x14ac:dyDescent="0.3">
      <c r="A46" s="31"/>
      <c r="B46" s="38">
        <f t="shared" si="15"/>
        <v>5</v>
      </c>
      <c r="C46" s="39">
        <v>43298</v>
      </c>
      <c r="D46" s="40" t="s">
        <v>8</v>
      </c>
      <c r="E46" s="40" t="s">
        <v>628</v>
      </c>
      <c r="F46" s="106">
        <v>5</v>
      </c>
      <c r="G46" s="106">
        <v>7</v>
      </c>
      <c r="H46" s="39">
        <v>43299</v>
      </c>
      <c r="I46" s="41">
        <v>6000</v>
      </c>
      <c r="J46" s="85">
        <v>2</v>
      </c>
      <c r="K46" s="41">
        <f t="shared" si="12"/>
        <v>12000</v>
      </c>
      <c r="L46" s="42" t="s">
        <v>262</v>
      </c>
      <c r="M46" s="32"/>
      <c r="X46" s="29">
        <f t="shared" si="13"/>
        <v>1</v>
      </c>
      <c r="Y46" s="29">
        <f t="shared" si="14"/>
        <v>0</v>
      </c>
    </row>
    <row r="47" spans="1:25" x14ac:dyDescent="0.3">
      <c r="A47" s="31"/>
      <c r="B47" s="38">
        <f t="shared" si="15"/>
        <v>6</v>
      </c>
      <c r="C47" s="39"/>
      <c r="D47" s="40"/>
      <c r="E47" s="40"/>
      <c r="F47" s="106"/>
      <c r="G47" s="106"/>
      <c r="H47" s="39"/>
      <c r="I47" s="41"/>
      <c r="J47" s="85"/>
      <c r="K47" s="41">
        <f t="shared" si="12"/>
        <v>0</v>
      </c>
      <c r="L47" s="42"/>
      <c r="M47" s="32"/>
      <c r="X47" s="29">
        <f t="shared" si="13"/>
        <v>0</v>
      </c>
      <c r="Y47" s="29">
        <f t="shared" si="14"/>
        <v>0</v>
      </c>
    </row>
    <row r="48" spans="1:25" x14ac:dyDescent="0.3">
      <c r="A48" s="31"/>
      <c r="B48" s="38">
        <f t="shared" si="15"/>
        <v>7</v>
      </c>
      <c r="C48" s="39"/>
      <c r="D48" s="40"/>
      <c r="E48" s="40"/>
      <c r="F48" s="106"/>
      <c r="G48" s="106"/>
      <c r="H48" s="41"/>
      <c r="I48" s="41"/>
      <c r="J48" s="85"/>
      <c r="K48" s="41">
        <f t="shared" si="12"/>
        <v>0</v>
      </c>
      <c r="L48" s="42"/>
      <c r="M48" s="32"/>
      <c r="X48" s="29">
        <f t="shared" si="13"/>
        <v>0</v>
      </c>
      <c r="Y48" s="29">
        <f t="shared" si="14"/>
        <v>0</v>
      </c>
    </row>
    <row r="49" spans="1:25" x14ac:dyDescent="0.3">
      <c r="A49" s="31"/>
      <c r="B49" s="38">
        <f t="shared" si="15"/>
        <v>8</v>
      </c>
      <c r="C49" s="39"/>
      <c r="D49" s="40"/>
      <c r="E49" s="40"/>
      <c r="F49" s="41"/>
      <c r="G49" s="41"/>
      <c r="H49" s="41"/>
      <c r="I49" s="41"/>
      <c r="J49" s="85"/>
      <c r="K49" s="41">
        <f t="shared" si="12"/>
        <v>0</v>
      </c>
      <c r="L49" s="42"/>
      <c r="M49" s="32"/>
      <c r="X49" s="29">
        <f t="shared" si="13"/>
        <v>0</v>
      </c>
      <c r="Y49" s="29">
        <f t="shared" si="14"/>
        <v>0</v>
      </c>
    </row>
    <row r="50" spans="1:25" x14ac:dyDescent="0.3">
      <c r="A50" s="31"/>
      <c r="B50" s="38">
        <f t="shared" si="15"/>
        <v>9</v>
      </c>
      <c r="C50" s="39"/>
      <c r="D50" s="40"/>
      <c r="E50" s="40"/>
      <c r="F50" s="41"/>
      <c r="G50" s="41"/>
      <c r="H50" s="41"/>
      <c r="I50" s="41"/>
      <c r="J50" s="85"/>
      <c r="K50" s="85">
        <f t="shared" ref="K50:K52" si="16">I50*J50</f>
        <v>0</v>
      </c>
      <c r="L50" s="42"/>
      <c r="M50" s="32"/>
      <c r="X50" s="29">
        <f t="shared" si="13"/>
        <v>0</v>
      </c>
      <c r="Y50" s="29">
        <f t="shared" si="14"/>
        <v>0</v>
      </c>
    </row>
    <row r="51" spans="1:25" x14ac:dyDescent="0.3">
      <c r="A51" s="31"/>
      <c r="B51" s="38">
        <f t="shared" si="15"/>
        <v>10</v>
      </c>
      <c r="C51" s="39"/>
      <c r="D51" s="40"/>
      <c r="E51" s="40"/>
      <c r="F51" s="41"/>
      <c r="G51" s="41"/>
      <c r="H51" s="41"/>
      <c r="I51" s="41"/>
      <c r="J51" s="85"/>
      <c r="K51" s="85">
        <f t="shared" si="16"/>
        <v>0</v>
      </c>
      <c r="L51" s="42"/>
      <c r="M51" s="32"/>
      <c r="X51" s="29">
        <f t="shared" si="13"/>
        <v>0</v>
      </c>
      <c r="Y51" s="29">
        <f t="shared" si="14"/>
        <v>0</v>
      </c>
    </row>
    <row r="52" spans="1:25" ht="15" thickBot="1" x14ac:dyDescent="0.35">
      <c r="A52" s="31"/>
      <c r="B52" s="38">
        <f t="shared" si="15"/>
        <v>11</v>
      </c>
      <c r="C52" s="39"/>
      <c r="D52" s="40"/>
      <c r="E52" s="40"/>
      <c r="F52" s="41"/>
      <c r="G52" s="41"/>
      <c r="H52" s="41"/>
      <c r="I52" s="41"/>
      <c r="J52" s="85"/>
      <c r="K52" s="85">
        <f t="shared" si="16"/>
        <v>0</v>
      </c>
      <c r="L52" s="42"/>
      <c r="M52" s="32"/>
      <c r="X52" s="29">
        <f t="shared" si="13"/>
        <v>0</v>
      </c>
      <c r="Y52" s="29">
        <f t="shared" si="14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SUM(K42:K52)</f>
        <v>78000</v>
      </c>
      <c r="L53" s="86"/>
      <c r="M53" s="32"/>
      <c r="X53" s="29">
        <f>SUM(X42:X52)</f>
        <v>4</v>
      </c>
      <c r="Y53" s="29">
        <f>SUM(Y42:Y52)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3:I53"/>
  </mergeCells>
  <hyperlinks>
    <hyperlink ref="B16" r:id="rId1" xr:uid="{00000000-0004-0000-4000-000000000000}"/>
    <hyperlink ref="O1" location="'Home Page'!A1" display="Back" xr:uid="{00000000-0004-0000-4000-000001000000}"/>
    <hyperlink ref="B34" r:id="rId2" xr:uid="{00000000-0004-0000-4000-000002000000}"/>
    <hyperlink ref="B53" r:id="rId3" xr:uid="{00000000-0004-0000-4000-000003000000}"/>
  </hyperlinks>
  <pageMargins left="0" right="0" top="0" bottom="0" header="0" footer="0"/>
  <pageSetup paperSize="9" orientation="portrait" r:id="rId4"/>
  <drawing r:id="rId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Y54"/>
  <sheetViews>
    <sheetView zoomScale="90" zoomScaleNormal="90" workbookViewId="0">
      <selection activeCell="B2" sqref="B2:L2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5.33203125" style="29" customWidth="1"/>
    <col min="6" max="6" width="8.88671875" style="29" customWidth="1"/>
    <col min="7" max="7" width="9.5546875" style="29" customWidth="1"/>
    <col min="8" max="8" width="11" style="29" customWidth="1"/>
    <col min="9" max="9" width="10.6640625" style="29" customWidth="1"/>
    <col min="10" max="10" width="8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43313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43325</v>
      </c>
      <c r="D6" s="35" t="s">
        <v>13</v>
      </c>
      <c r="E6" s="35" t="s">
        <v>11</v>
      </c>
      <c r="F6" s="126">
        <v>298</v>
      </c>
      <c r="G6" s="127">
        <v>292.8</v>
      </c>
      <c r="H6" s="34">
        <v>43325</v>
      </c>
      <c r="I6" s="36">
        <v>6000</v>
      </c>
      <c r="J6" s="129">
        <v>5.2</v>
      </c>
      <c r="K6" s="41">
        <f>J6*I6</f>
        <v>31200</v>
      </c>
      <c r="L6" s="37" t="s">
        <v>262</v>
      </c>
      <c r="M6" s="32"/>
      <c r="O6" s="198" t="s">
        <v>599</v>
      </c>
      <c r="P6" s="199">
        <f>COUNT(C24:C33)</f>
        <v>2</v>
      </c>
      <c r="Q6" s="200">
        <v>1</v>
      </c>
      <c r="R6" s="200">
        <f>Y34</f>
        <v>0</v>
      </c>
      <c r="S6" s="201">
        <v>1</v>
      </c>
      <c r="T6" s="197">
        <f t="shared" ref="T6" si="0">Q6/P6</f>
        <v>0.5</v>
      </c>
      <c r="X6" s="29">
        <f>IF($L6&gt;0,1,0)</f>
        <v>1</v>
      </c>
      <c r="Y6" s="29">
        <f>IF($L6&lt;0,1,0)</f>
        <v>0</v>
      </c>
    </row>
    <row r="7" spans="1:25" x14ac:dyDescent="0.3">
      <c r="A7" s="31"/>
      <c r="B7" s="38">
        <f>B6+1</f>
        <v>2</v>
      </c>
      <c r="C7" s="39">
        <v>43333</v>
      </c>
      <c r="D7" s="40" t="s">
        <v>13</v>
      </c>
      <c r="E7" s="40" t="s">
        <v>67</v>
      </c>
      <c r="F7" s="126">
        <v>1248</v>
      </c>
      <c r="G7" s="126">
        <v>1241.5</v>
      </c>
      <c r="H7" s="39">
        <v>43335</v>
      </c>
      <c r="I7" s="41">
        <v>2000</v>
      </c>
      <c r="J7" s="130">
        <v>6.5</v>
      </c>
      <c r="K7" s="41">
        <f t="shared" ref="K7:K10" si="1">J7*I7</f>
        <v>13000</v>
      </c>
      <c r="L7" s="42" t="s">
        <v>641</v>
      </c>
      <c r="M7" s="32"/>
      <c r="O7" s="198"/>
      <c r="P7" s="199"/>
      <c r="Q7" s="200"/>
      <c r="R7" s="200"/>
      <c r="S7" s="202"/>
      <c r="T7" s="197"/>
      <c r="X7" s="29">
        <f t="shared" ref="X7:X10" si="2">IF($L7&gt;0,1,0)</f>
        <v>1</v>
      </c>
      <c r="Y7" s="29">
        <f t="shared" ref="Y7:Y10" si="3">IF($L7&lt;0,1,0)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43339</v>
      </c>
      <c r="D8" s="40" t="s">
        <v>13</v>
      </c>
      <c r="E8" s="40" t="s">
        <v>11</v>
      </c>
      <c r="F8" s="128">
        <v>309</v>
      </c>
      <c r="G8" s="126">
        <v>303</v>
      </c>
      <c r="H8" s="39">
        <v>43340</v>
      </c>
      <c r="I8" s="41">
        <v>6000</v>
      </c>
      <c r="J8" s="130">
        <v>6</v>
      </c>
      <c r="K8" s="41">
        <f t="shared" si="1"/>
        <v>36000</v>
      </c>
      <c r="L8" s="42" t="s">
        <v>642</v>
      </c>
      <c r="M8" s="32"/>
      <c r="O8" s="198" t="s">
        <v>600</v>
      </c>
      <c r="P8" s="199">
        <f>COUNT(C42:C51)</f>
        <v>2</v>
      </c>
      <c r="Q8" s="200">
        <v>1</v>
      </c>
      <c r="R8" s="200">
        <v>0</v>
      </c>
      <c r="S8" s="201">
        <v>1</v>
      </c>
      <c r="T8" s="197">
        <f t="shared" ref="T8:T10" si="5">Q8/P8</f>
        <v>0.5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7</v>
      </c>
      <c r="Q10" s="173">
        <f>SUM(Q4:Q9)</f>
        <v>5</v>
      </c>
      <c r="R10" s="173">
        <f>SUM(R4:R9)</f>
        <v>0</v>
      </c>
      <c r="S10" s="193">
        <f>SUM(S4:S9)</f>
        <v>2</v>
      </c>
      <c r="T10" s="195">
        <f t="shared" si="5"/>
        <v>0.7142857142857143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>IF($L11&gt;0,1,0)</f>
        <v>0</v>
      </c>
      <c r="Y11" s="29">
        <f>IF($L11&lt;0,1,0)</f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0.7142857142857143</v>
      </c>
      <c r="S12" s="185"/>
      <c r="T12" s="186"/>
      <c r="X12" s="29">
        <f>IF($L12&gt;0,1,0)</f>
        <v>0</v>
      </c>
      <c r="Y12" s="29">
        <f>IF($L12&lt;0,1,0)</f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>IF($L13&gt;0,1,0)</f>
        <v>0</v>
      </c>
      <c r="Y13" s="29">
        <f>IF($L13&lt;0,1,0)</f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>IF($L14&gt;0,1,0)</f>
        <v>0</v>
      </c>
      <c r="Y14" s="29">
        <f>IF($L14&lt;0,1,0)</f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>IF($L15&gt;0,1,0)</f>
        <v>0</v>
      </c>
      <c r="Y15" s="29">
        <f>IF($L15&lt;0,1,0)</f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80200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43313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43325</v>
      </c>
      <c r="D24" s="40" t="s">
        <v>13</v>
      </c>
      <c r="E24" s="35" t="s">
        <v>30</v>
      </c>
      <c r="F24" s="36">
        <v>11400</v>
      </c>
      <c r="G24" s="36">
        <v>11470</v>
      </c>
      <c r="H24" s="39"/>
      <c r="I24" s="36">
        <v>375</v>
      </c>
      <c r="J24" s="41">
        <v>-70</v>
      </c>
      <c r="K24" s="41">
        <f>J24*I24</f>
        <v>-26250</v>
      </c>
      <c r="L24" s="37" t="s">
        <v>197</v>
      </c>
      <c r="M24" s="32"/>
      <c r="X24" s="29">
        <f>IF($L24&gt;0,1,0)</f>
        <v>1</v>
      </c>
      <c r="Y24" s="29">
        <f>IF($L24&lt;0,1,0)</f>
        <v>0</v>
      </c>
    </row>
    <row r="25" spans="1:25" x14ac:dyDescent="0.3">
      <c r="A25" s="31"/>
      <c r="B25" s="38">
        <f>B24+1</f>
        <v>2</v>
      </c>
      <c r="C25" s="39">
        <v>43333</v>
      </c>
      <c r="D25" s="40" t="s">
        <v>13</v>
      </c>
      <c r="E25" s="40" t="s">
        <v>30</v>
      </c>
      <c r="F25" s="41">
        <v>11590</v>
      </c>
      <c r="G25" s="41">
        <v>11545</v>
      </c>
      <c r="H25" s="39">
        <v>43335</v>
      </c>
      <c r="I25" s="41">
        <v>375</v>
      </c>
      <c r="J25" s="115">
        <v>45</v>
      </c>
      <c r="K25" s="41">
        <f t="shared" ref="K25:K29" si="6">J25*I25</f>
        <v>16875</v>
      </c>
      <c r="L25" s="42" t="s">
        <v>262</v>
      </c>
      <c r="M25" s="32"/>
      <c r="X25" s="29">
        <f t="shared" ref="X25:X33" si="7">IF($L25&gt;0,1,0)</f>
        <v>1</v>
      </c>
      <c r="Y25" s="29">
        <f t="shared" ref="Y25:Y33" si="8">IF($L25&lt;0,1,0)</f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6"/>
        <v>0</v>
      </c>
      <c r="L26" s="42"/>
      <c r="M26" s="32"/>
      <c r="X26" s="29">
        <f t="shared" si="7"/>
        <v>0</v>
      </c>
      <c r="Y26" s="29">
        <f t="shared" si="8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6"/>
        <v>0</v>
      </c>
      <c r="L27" s="42"/>
      <c r="M27" s="32"/>
      <c r="X27" s="29">
        <f t="shared" si="7"/>
        <v>0</v>
      </c>
      <c r="Y27" s="29">
        <f t="shared" si="8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6"/>
        <v>0</v>
      </c>
      <c r="L28" s="42"/>
      <c r="M28" s="32"/>
      <c r="X28" s="29">
        <f t="shared" si="7"/>
        <v>0</v>
      </c>
      <c r="Y28" s="29">
        <f t="shared" si="8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6"/>
        <v>0</v>
      </c>
      <c r="L29" s="42"/>
      <c r="M29" s="32"/>
      <c r="X29" s="29">
        <f t="shared" si="7"/>
        <v>0</v>
      </c>
      <c r="Y29" s="29">
        <f t="shared" si="8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7"/>
        <v>0</v>
      </c>
      <c r="Y30" s="29">
        <f t="shared" si="8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7"/>
        <v>0</v>
      </c>
      <c r="Y31" s="29">
        <f t="shared" si="8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7"/>
        <v>0</v>
      </c>
      <c r="Y32" s="29">
        <f t="shared" si="8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7"/>
        <v>0</v>
      </c>
      <c r="Y33" s="29">
        <f t="shared" si="8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-9375</v>
      </c>
      <c r="L34" s="86"/>
      <c r="M34" s="32"/>
      <c r="X34" s="29">
        <f>SUM(X24:X33)</f>
        <v>2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43313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43315</v>
      </c>
      <c r="D42" s="35" t="s">
        <v>8</v>
      </c>
      <c r="E42" s="35" t="s">
        <v>640</v>
      </c>
      <c r="F42" s="127">
        <v>10</v>
      </c>
      <c r="G42" s="127">
        <v>6.2</v>
      </c>
      <c r="H42" s="34"/>
      <c r="I42" s="36">
        <v>6000</v>
      </c>
      <c r="J42" s="107">
        <v>-3.8</v>
      </c>
      <c r="K42" s="41">
        <f>J42*I42</f>
        <v>-22800</v>
      </c>
      <c r="L42" s="37" t="s">
        <v>197</v>
      </c>
      <c r="M42" s="32"/>
      <c r="X42" s="29">
        <f>IF($L42&gt;0,1,0)</f>
        <v>1</v>
      </c>
      <c r="Y42" s="29">
        <f>IF($L42&lt;0,1,0)</f>
        <v>0</v>
      </c>
    </row>
    <row r="43" spans="1:25" x14ac:dyDescent="0.3">
      <c r="A43" s="31"/>
      <c r="B43" s="119">
        <v>2</v>
      </c>
      <c r="C43" s="120">
        <v>43325</v>
      </c>
      <c r="D43" s="121" t="s">
        <v>8</v>
      </c>
      <c r="E43" s="121" t="s">
        <v>640</v>
      </c>
      <c r="F43" s="128">
        <v>8</v>
      </c>
      <c r="G43" s="128">
        <v>9.5</v>
      </c>
      <c r="H43" s="120">
        <v>43328</v>
      </c>
      <c r="I43" s="122">
        <v>6000</v>
      </c>
      <c r="J43" s="123">
        <v>1.5</v>
      </c>
      <c r="K43" s="41">
        <f t="shared" ref="K43:K49" si="10">J43*I43</f>
        <v>9000</v>
      </c>
      <c r="L43" s="124" t="s">
        <v>641</v>
      </c>
      <c r="M43" s="32"/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08"/>
      <c r="K44" s="41">
        <f t="shared" si="10"/>
        <v>0</v>
      </c>
      <c r="L44" s="42"/>
      <c r="M44" s="32"/>
      <c r="X44" s="29">
        <f t="shared" ref="X44:X52" si="11">IF($L44&gt;0,1,0)</f>
        <v>0</v>
      </c>
      <c r="Y44" s="29">
        <f t="shared" ref="Y44:Y52" si="12">IF($L44&lt;0,1,0)</f>
        <v>0</v>
      </c>
    </row>
    <row r="45" spans="1:25" x14ac:dyDescent="0.3">
      <c r="A45" s="31"/>
      <c r="B45" s="38">
        <f t="shared" ref="B45:B52" si="13">B44+1</f>
        <v>4</v>
      </c>
      <c r="C45" s="39"/>
      <c r="D45" s="40"/>
      <c r="E45" s="40"/>
      <c r="F45" s="126"/>
      <c r="G45" s="126"/>
      <c r="H45" s="39"/>
      <c r="I45" s="41"/>
      <c r="J45" s="85"/>
      <c r="K45" s="41">
        <f t="shared" si="10"/>
        <v>0</v>
      </c>
      <c r="L45" s="42"/>
      <c r="M45" s="32"/>
      <c r="X45" s="29">
        <f t="shared" si="11"/>
        <v>0</v>
      </c>
      <c r="Y45" s="29">
        <f t="shared" si="12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85"/>
      <c r="K46" s="41">
        <f t="shared" si="10"/>
        <v>0</v>
      </c>
      <c r="L46" s="42"/>
      <c r="M46" s="32"/>
      <c r="X46" s="29">
        <f t="shared" si="11"/>
        <v>0</v>
      </c>
      <c r="Y46" s="29">
        <f t="shared" si="12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85"/>
      <c r="K47" s="41">
        <f t="shared" si="10"/>
        <v>0</v>
      </c>
      <c r="L47" s="42"/>
      <c r="M47" s="32"/>
      <c r="X47" s="29">
        <f t="shared" si="11"/>
        <v>0</v>
      </c>
      <c r="Y47" s="29">
        <f t="shared" si="12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85"/>
      <c r="K48" s="41">
        <f t="shared" si="10"/>
        <v>0</v>
      </c>
      <c r="L48" s="42"/>
      <c r="M48" s="32"/>
      <c r="X48" s="29">
        <f t="shared" si="11"/>
        <v>0</v>
      </c>
      <c r="Y48" s="29">
        <f t="shared" si="12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85"/>
      <c r="K49" s="41">
        <f t="shared" si="10"/>
        <v>0</v>
      </c>
      <c r="L49" s="42"/>
      <c r="M49" s="32"/>
      <c r="X49" s="29">
        <f t="shared" si="11"/>
        <v>0</v>
      </c>
      <c r="Y49" s="29">
        <f t="shared" si="12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85"/>
      <c r="K50" s="85">
        <f t="shared" ref="K50:K52" si="14">I50*J50</f>
        <v>0</v>
      </c>
      <c r="L50" s="42"/>
      <c r="M50" s="32"/>
      <c r="X50" s="29">
        <f t="shared" si="11"/>
        <v>0</v>
      </c>
      <c r="Y50" s="29">
        <f t="shared" si="12"/>
        <v>0</v>
      </c>
    </row>
    <row r="51" spans="1:25" x14ac:dyDescent="0.3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85"/>
      <c r="K51" s="85">
        <f t="shared" si="14"/>
        <v>0</v>
      </c>
      <c r="L51" s="42"/>
      <c r="M51" s="32"/>
      <c r="X51" s="29">
        <f t="shared" si="11"/>
        <v>0</v>
      </c>
      <c r="Y51" s="29">
        <f t="shared" si="12"/>
        <v>0</v>
      </c>
    </row>
    <row r="52" spans="1:25" ht="15" thickBot="1" x14ac:dyDescent="0.35">
      <c r="A52" s="31"/>
      <c r="B52" s="38">
        <f t="shared" si="13"/>
        <v>11</v>
      </c>
      <c r="C52" s="39"/>
      <c r="D52" s="40"/>
      <c r="E52" s="40"/>
      <c r="F52" s="126"/>
      <c r="G52" s="126"/>
      <c r="H52" s="41"/>
      <c r="I52" s="41"/>
      <c r="J52" s="85"/>
      <c r="K52" s="85">
        <f t="shared" si="14"/>
        <v>0</v>
      </c>
      <c r="L52" s="42"/>
      <c r="M52" s="32"/>
      <c r="X52" s="29">
        <f t="shared" si="11"/>
        <v>0</v>
      </c>
      <c r="Y52" s="29">
        <f t="shared" si="12"/>
        <v>0</v>
      </c>
    </row>
    <row r="53" spans="1:25" ht="24" thickBot="1" x14ac:dyDescent="0.5">
      <c r="A53" s="31"/>
      <c r="B53" s="159" t="s">
        <v>577</v>
      </c>
      <c r="C53" s="160"/>
      <c r="D53" s="160"/>
      <c r="E53" s="160"/>
      <c r="F53" s="160"/>
      <c r="G53" s="160"/>
      <c r="H53" s="160"/>
      <c r="I53" s="161"/>
      <c r="J53" s="44" t="s">
        <v>578</v>
      </c>
      <c r="K53" s="87">
        <f>SUM(K42:K52)</f>
        <v>-13800</v>
      </c>
      <c r="L53" s="86"/>
      <c r="M53" s="32"/>
      <c r="X53" s="29">
        <f>SUM(X42:X52)</f>
        <v>1</v>
      </c>
      <c r="Y53" s="29">
        <f>SUM(Y42:Y52)</f>
        <v>0</v>
      </c>
    </row>
    <row r="54" spans="1:25" ht="30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</sheetData>
  <mergeCells count="44">
    <mergeCell ref="B34:I34"/>
    <mergeCell ref="B38:L38"/>
    <mergeCell ref="B39:L39"/>
    <mergeCell ref="B40:L40"/>
    <mergeCell ref="B53:I53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4100-000000000000}"/>
    <hyperlink ref="O1" location="'Home Page'!A1" display="Back" xr:uid="{00000000-0004-0000-4100-000001000000}"/>
    <hyperlink ref="B34" r:id="rId2" xr:uid="{00000000-0004-0000-4100-000002000000}"/>
    <hyperlink ref="B53" r:id="rId3" xr:uid="{00000000-0004-0000-4100-000003000000}"/>
  </hyperlinks>
  <pageMargins left="0" right="0" top="0" bottom="0" header="0" footer="0"/>
  <pageSetup paperSize="9" orientation="portrait" r:id="rId4"/>
  <drawing r:id="rId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Y53"/>
  <sheetViews>
    <sheetView zoomScale="90" zoomScaleNormal="90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7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43344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18">
        <f>COUNT(C6:C15)</f>
        <v>2</v>
      </c>
      <c r="Q4" s="220">
        <f>X16</f>
        <v>2</v>
      </c>
      <c r="R4" s="220">
        <f>Y16</f>
        <v>0</v>
      </c>
      <c r="S4" s="222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219"/>
      <c r="Q5" s="221"/>
      <c r="R5" s="221"/>
      <c r="S5" s="223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43353</v>
      </c>
      <c r="D6" s="35" t="s">
        <v>8</v>
      </c>
      <c r="E6" s="35" t="s">
        <v>67</v>
      </c>
      <c r="F6" s="126">
        <v>1262</v>
      </c>
      <c r="G6" s="127">
        <v>1270</v>
      </c>
      <c r="H6" s="34">
        <v>43354</v>
      </c>
      <c r="I6" s="36">
        <v>8</v>
      </c>
      <c r="J6" s="129">
        <v>2000</v>
      </c>
      <c r="K6" s="41">
        <f>J6*I6</f>
        <v>16000</v>
      </c>
      <c r="L6" s="37" t="s">
        <v>641</v>
      </c>
      <c r="M6" s="32"/>
      <c r="O6" s="198" t="s">
        <v>599</v>
      </c>
      <c r="P6" s="224">
        <f>COUNT(C24:C33)</f>
        <v>4</v>
      </c>
      <c r="Q6" s="225">
        <f>X34</f>
        <v>3</v>
      </c>
      <c r="R6" s="225">
        <f>Y34</f>
        <v>1</v>
      </c>
      <c r="S6" s="226">
        <v>0</v>
      </c>
      <c r="T6" s="197">
        <f t="shared" ref="T6" si="0">Q6/P6</f>
        <v>0.75</v>
      </c>
      <c r="X6" s="29">
        <f t="shared" ref="X6:X15" si="1">IF($K6&gt;0,1,0)</f>
        <v>1</v>
      </c>
      <c r="Y6" s="29">
        <f t="shared" ref="Y6:Y15" si="2">IF($K6&lt;0,1,0)</f>
        <v>0</v>
      </c>
    </row>
    <row r="7" spans="1:25" x14ac:dyDescent="0.3">
      <c r="A7" s="31"/>
      <c r="B7" s="38">
        <f>B6+1</f>
        <v>2</v>
      </c>
      <c r="C7" s="39">
        <v>43355</v>
      </c>
      <c r="D7" s="40" t="s">
        <v>8</v>
      </c>
      <c r="E7" s="40" t="s">
        <v>67</v>
      </c>
      <c r="F7" s="126">
        <v>1250</v>
      </c>
      <c r="G7" s="126">
        <v>1278</v>
      </c>
      <c r="H7" s="39">
        <v>43357</v>
      </c>
      <c r="I7" s="41">
        <v>28</v>
      </c>
      <c r="J7" s="130">
        <v>2000</v>
      </c>
      <c r="K7" s="41">
        <f t="shared" ref="K7:K10" si="3">J7*I7</f>
        <v>56000</v>
      </c>
      <c r="L7" s="42" t="s">
        <v>642</v>
      </c>
      <c r="M7" s="32"/>
      <c r="O7" s="198"/>
      <c r="P7" s="219"/>
      <c r="Q7" s="221"/>
      <c r="R7" s="221"/>
      <c r="S7" s="223"/>
      <c r="T7" s="197"/>
      <c r="X7" s="29">
        <f t="shared" si="1"/>
        <v>1</v>
      </c>
      <c r="Y7" s="29">
        <f t="shared" si="2"/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3"/>
        <v>0</v>
      </c>
      <c r="L8" s="42"/>
      <c r="M8" s="32"/>
      <c r="O8" s="198" t="s">
        <v>600</v>
      </c>
      <c r="P8" s="224">
        <f>COUNT(C42:C51)</f>
        <v>2</v>
      </c>
      <c r="Q8" s="225">
        <f>X52</f>
        <v>1</v>
      </c>
      <c r="R8" s="225">
        <f>Y52</f>
        <v>1</v>
      </c>
      <c r="S8" s="226">
        <v>0</v>
      </c>
      <c r="T8" s="197">
        <f t="shared" ref="T8:T10" si="5">Q8/P8</f>
        <v>0.5</v>
      </c>
      <c r="X8" s="29">
        <f t="shared" si="1"/>
        <v>0</v>
      </c>
      <c r="Y8" s="29">
        <f t="shared" si="2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3"/>
        <v>0</v>
      </c>
      <c r="L9" s="42"/>
      <c r="M9" s="32"/>
      <c r="O9" s="203"/>
      <c r="P9" s="227"/>
      <c r="Q9" s="228"/>
      <c r="R9" s="228"/>
      <c r="S9" s="229"/>
      <c r="T9" s="217"/>
      <c r="X9" s="29">
        <f t="shared" si="1"/>
        <v>0</v>
      </c>
      <c r="Y9" s="29">
        <f t="shared" si="2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3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6</v>
      </c>
      <c r="R10" s="173">
        <f>SUM(R4:R9)</f>
        <v>2</v>
      </c>
      <c r="S10" s="193">
        <f>SUM(S4:S9)</f>
        <v>0</v>
      </c>
      <c r="T10" s="195">
        <f t="shared" si="5"/>
        <v>0.75</v>
      </c>
      <c r="X10" s="29">
        <f t="shared" si="1"/>
        <v>0</v>
      </c>
      <c r="Y10" s="29">
        <f t="shared" si="2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1"/>
        <v>0</v>
      </c>
      <c r="Y11" s="29">
        <f t="shared" si="2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0.75</v>
      </c>
      <c r="S12" s="185"/>
      <c r="T12" s="186"/>
      <c r="X12" s="29">
        <f t="shared" si="1"/>
        <v>0</v>
      </c>
      <c r="Y12" s="29">
        <f t="shared" si="2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1"/>
        <v>0</v>
      </c>
      <c r="Y13" s="29">
        <f t="shared" si="2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1"/>
        <v>0</v>
      </c>
      <c r="Y14" s="29">
        <f t="shared" si="2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1"/>
        <v>0</v>
      </c>
      <c r="Y15" s="29">
        <f t="shared" si="2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72000</v>
      </c>
      <c r="L16" s="86"/>
      <c r="M16" s="32"/>
      <c r="X16" s="29">
        <f>SUM(X6:X15)</f>
        <v>2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43344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43349</v>
      </c>
      <c r="D24" s="40" t="s">
        <v>8</v>
      </c>
      <c r="E24" s="35" t="s">
        <v>619</v>
      </c>
      <c r="F24" s="36">
        <v>27400</v>
      </c>
      <c r="G24" s="36">
        <v>27620</v>
      </c>
      <c r="H24" s="39">
        <v>43350</v>
      </c>
      <c r="I24" s="36">
        <v>160</v>
      </c>
      <c r="J24" s="41">
        <v>220</v>
      </c>
      <c r="K24" s="41">
        <f>J24*I24</f>
        <v>35200</v>
      </c>
      <c r="L24" s="37" t="s">
        <v>262</v>
      </c>
      <c r="M24" s="32"/>
      <c r="X24" s="29">
        <f>IF($K24&gt;0,1,0)</f>
        <v>1</v>
      </c>
      <c r="Y24" s="29">
        <f>IF($K24&lt;0,1,0)</f>
        <v>0</v>
      </c>
    </row>
    <row r="25" spans="1:25" x14ac:dyDescent="0.3">
      <c r="A25" s="31"/>
      <c r="B25" s="38">
        <f>B24+1</f>
        <v>2</v>
      </c>
      <c r="C25" s="39">
        <v>43353</v>
      </c>
      <c r="D25" s="40" t="s">
        <v>8</v>
      </c>
      <c r="E25" s="40" t="s">
        <v>30</v>
      </c>
      <c r="F25" s="41">
        <v>11490</v>
      </c>
      <c r="G25" s="41">
        <v>11430</v>
      </c>
      <c r="H25" s="39">
        <v>43353</v>
      </c>
      <c r="I25" s="41">
        <v>375</v>
      </c>
      <c r="J25" s="115">
        <v>-60</v>
      </c>
      <c r="K25" s="41">
        <f t="shared" ref="K25:K29" si="6">J25*I25</f>
        <v>-22500</v>
      </c>
      <c r="L25" s="42" t="s">
        <v>197</v>
      </c>
      <c r="M25" s="32"/>
      <c r="X25" s="29">
        <f t="shared" ref="X25:X33" si="7">IF($K25&gt;0,1,0)</f>
        <v>0</v>
      </c>
      <c r="Y25" s="29">
        <f t="shared" ref="Y25:Y33" si="8">IF($K25&lt;0,1,0)</f>
        <v>1</v>
      </c>
    </row>
    <row r="26" spans="1:25" x14ac:dyDescent="0.3">
      <c r="A26" s="31"/>
      <c r="B26" s="38">
        <f t="shared" ref="B26:B33" si="9">B25+1</f>
        <v>3</v>
      </c>
      <c r="C26" s="39">
        <v>43364</v>
      </c>
      <c r="D26" s="40" t="s">
        <v>8</v>
      </c>
      <c r="E26" s="40" t="s">
        <v>30</v>
      </c>
      <c r="F26" s="41">
        <v>11100</v>
      </c>
      <c r="G26" s="41">
        <v>11200</v>
      </c>
      <c r="H26" s="39">
        <v>43364</v>
      </c>
      <c r="I26" s="41">
        <v>375</v>
      </c>
      <c r="J26" s="85">
        <v>100</v>
      </c>
      <c r="K26" s="41">
        <f t="shared" si="6"/>
        <v>37500</v>
      </c>
      <c r="L26" s="42" t="s">
        <v>276</v>
      </c>
      <c r="M26" s="32"/>
      <c r="X26" s="29">
        <f t="shared" si="7"/>
        <v>1</v>
      </c>
      <c r="Y26" s="29">
        <f t="shared" si="8"/>
        <v>0</v>
      </c>
    </row>
    <row r="27" spans="1:25" x14ac:dyDescent="0.3">
      <c r="A27" s="31"/>
      <c r="B27" s="38">
        <f t="shared" si="9"/>
        <v>4</v>
      </c>
      <c r="C27" s="39">
        <v>43367</v>
      </c>
      <c r="D27" s="40" t="s">
        <v>8</v>
      </c>
      <c r="E27" s="40" t="s">
        <v>30</v>
      </c>
      <c r="F27" s="41">
        <v>11000</v>
      </c>
      <c r="G27" s="41">
        <v>11100</v>
      </c>
      <c r="H27" s="39">
        <v>43368</v>
      </c>
      <c r="I27" s="41">
        <v>375</v>
      </c>
      <c r="J27" s="85">
        <v>100</v>
      </c>
      <c r="K27" s="41">
        <f t="shared" si="6"/>
        <v>37500</v>
      </c>
      <c r="L27" s="42" t="s">
        <v>276</v>
      </c>
      <c r="M27" s="32"/>
      <c r="X27" s="29">
        <f t="shared" si="7"/>
        <v>1</v>
      </c>
      <c r="Y27" s="29">
        <f t="shared" si="8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6"/>
        <v>0</v>
      </c>
      <c r="L28" s="42"/>
      <c r="M28" s="32"/>
      <c r="X28" s="29">
        <f t="shared" si="7"/>
        <v>0</v>
      </c>
      <c r="Y28" s="29">
        <f t="shared" si="8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6"/>
        <v>0</v>
      </c>
      <c r="L29" s="42"/>
      <c r="M29" s="32"/>
      <c r="X29" s="29">
        <f t="shared" si="7"/>
        <v>0</v>
      </c>
      <c r="Y29" s="29">
        <f t="shared" si="8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7"/>
        <v>0</v>
      </c>
      <c r="Y30" s="29">
        <f t="shared" si="8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7"/>
        <v>0</v>
      </c>
      <c r="Y31" s="29">
        <f t="shared" si="8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7"/>
        <v>0</v>
      </c>
      <c r="Y32" s="29">
        <f t="shared" si="8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7"/>
        <v>0</v>
      </c>
      <c r="Y33" s="29">
        <f t="shared" si="8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87700</v>
      </c>
      <c r="L34" s="86"/>
      <c r="M34" s="32"/>
      <c r="X34" s="29">
        <f>SUM(X24:X33)</f>
        <v>3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43344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43353</v>
      </c>
      <c r="D42" s="35" t="s">
        <v>8</v>
      </c>
      <c r="E42" s="35" t="s">
        <v>645</v>
      </c>
      <c r="F42" s="127">
        <v>14</v>
      </c>
      <c r="G42" s="127">
        <v>7</v>
      </c>
      <c r="H42" s="34">
        <v>43354</v>
      </c>
      <c r="I42" s="36">
        <v>3500</v>
      </c>
      <c r="J42" s="129">
        <v>-7</v>
      </c>
      <c r="K42" s="41">
        <f>J42*I42</f>
        <v>-24500</v>
      </c>
      <c r="L42" s="37" t="s">
        <v>197</v>
      </c>
      <c r="M42" s="32"/>
      <c r="X42" s="29">
        <f t="shared" ref="X42:X51" si="10">IF($K42&gt;0,1,0)</f>
        <v>0</v>
      </c>
      <c r="Y42" s="29">
        <f t="shared" ref="Y42:Y51" si="11">IF($K42&lt;0,1,0)</f>
        <v>1</v>
      </c>
    </row>
    <row r="43" spans="1:25" x14ac:dyDescent="0.3">
      <c r="A43" s="31"/>
      <c r="B43" s="119">
        <v>2</v>
      </c>
      <c r="C43" s="120">
        <v>43367</v>
      </c>
      <c r="D43" s="121" t="s">
        <v>8</v>
      </c>
      <c r="E43" s="121" t="s">
        <v>643</v>
      </c>
      <c r="F43" s="128">
        <v>16</v>
      </c>
      <c r="G43" s="128">
        <v>33</v>
      </c>
      <c r="H43" s="120">
        <v>43368</v>
      </c>
      <c r="I43" s="122">
        <v>2000</v>
      </c>
      <c r="J43" s="133">
        <v>17</v>
      </c>
      <c r="K43" s="41">
        <f t="shared" ref="K43:K49" si="12">J43*I43</f>
        <v>34000</v>
      </c>
      <c r="L43" s="124" t="s">
        <v>644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9500</v>
      </c>
      <c r="L52" s="86"/>
      <c r="M52" s="32"/>
      <c r="X52" s="29">
        <f>SUM(X42:X51)</f>
        <v>1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4200-000000000000}"/>
    <hyperlink ref="O1" location="'Home Page'!A1" display="Back" xr:uid="{00000000-0004-0000-4200-000001000000}"/>
    <hyperlink ref="B34" r:id="rId2" xr:uid="{00000000-0004-0000-4200-000002000000}"/>
    <hyperlink ref="B52" r:id="rId3" xr:uid="{00000000-0004-0000-4200-000003000000}"/>
  </hyperlinks>
  <pageMargins left="0" right="0" top="0" bottom="0" header="0" footer="0"/>
  <pageSetup paperSize="9" orientation="portrait" r:id="rId4"/>
  <drawing r:id="rId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A1:Y53"/>
  <sheetViews>
    <sheetView zoomScale="90" zoomScaleNormal="90" workbookViewId="0">
      <selection activeCell="O1" sqref="O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7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43374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1</v>
      </c>
      <c r="R4" s="208">
        <f>Y16</f>
        <v>1</v>
      </c>
      <c r="S4" s="209">
        <f>P4-Q4-R4</f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43377</v>
      </c>
      <c r="D6" s="35" t="s">
        <v>8</v>
      </c>
      <c r="E6" s="35" t="s">
        <v>67</v>
      </c>
      <c r="F6" s="126">
        <v>1138</v>
      </c>
      <c r="G6" s="127">
        <v>1118</v>
      </c>
      <c r="H6" s="34">
        <v>43377</v>
      </c>
      <c r="I6" s="36">
        <v>2000</v>
      </c>
      <c r="J6" s="129">
        <v>-20</v>
      </c>
      <c r="K6" s="41">
        <f>J6*I6</f>
        <v>-40000</v>
      </c>
      <c r="L6" s="37" t="s">
        <v>641</v>
      </c>
      <c r="M6" s="32"/>
      <c r="O6" s="198" t="s">
        <v>599</v>
      </c>
      <c r="P6" s="199">
        <f>COUNT(C24:C33)</f>
        <v>5</v>
      </c>
      <c r="Q6" s="200">
        <f>X34</f>
        <v>4</v>
      </c>
      <c r="R6" s="200">
        <f>Y34</f>
        <v>1</v>
      </c>
      <c r="S6" s="201">
        <v>0</v>
      </c>
      <c r="T6" s="197">
        <f t="shared" ref="T6" si="0">Q6/P6</f>
        <v>0.8</v>
      </c>
      <c r="X6" s="29">
        <f>IF($K6&gt;0,1,0)</f>
        <v>0</v>
      </c>
      <c r="Y6" s="29">
        <f>IF($K6&lt;0,1,0)</f>
        <v>1</v>
      </c>
    </row>
    <row r="7" spans="1:25" x14ac:dyDescent="0.3">
      <c r="A7" s="31"/>
      <c r="B7" s="38">
        <f>B6+1</f>
        <v>2</v>
      </c>
      <c r="C7" s="39">
        <v>43396</v>
      </c>
      <c r="D7" s="40" t="s">
        <v>8</v>
      </c>
      <c r="E7" s="40" t="s">
        <v>650</v>
      </c>
      <c r="F7" s="126">
        <v>1470</v>
      </c>
      <c r="G7" s="126">
        <v>1521</v>
      </c>
      <c r="H7" s="39">
        <v>43397</v>
      </c>
      <c r="I7" s="41">
        <v>600</v>
      </c>
      <c r="J7" s="130">
        <v>51</v>
      </c>
      <c r="K7" s="41">
        <f t="shared" ref="K7:K10" si="1">J7*I7</f>
        <v>30600</v>
      </c>
      <c r="L7" s="42" t="s">
        <v>651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4</v>
      </c>
      <c r="Q8" s="200">
        <f>X52</f>
        <v>3</v>
      </c>
      <c r="R8" s="200">
        <f>Y52</f>
        <v>1</v>
      </c>
      <c r="S8" s="201">
        <v>0</v>
      </c>
      <c r="T8" s="197">
        <f t="shared" ref="T8:T10" si="5">Q8/P8</f>
        <v>0.75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f>SUM(Q4:Q9)</f>
        <v>8</v>
      </c>
      <c r="R10" s="173">
        <f>SUM(R4:R9)</f>
        <v>3</v>
      </c>
      <c r="S10" s="193">
        <f>SUM(S4:S9)</f>
        <v>0</v>
      </c>
      <c r="T10" s="195">
        <f t="shared" si="5"/>
        <v>0.72727272727272729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0.72727272727272729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-9400</v>
      </c>
      <c r="L16" s="86"/>
      <c r="M16" s="32"/>
      <c r="X16" s="29">
        <f>SUM(X6:X15)</f>
        <v>1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43374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43377</v>
      </c>
      <c r="D24" s="40" t="s">
        <v>8</v>
      </c>
      <c r="E24" s="35" t="s">
        <v>30</v>
      </c>
      <c r="F24" s="36">
        <v>10660</v>
      </c>
      <c r="G24" s="36">
        <v>10580</v>
      </c>
      <c r="H24" s="39">
        <v>43378</v>
      </c>
      <c r="I24" s="36">
        <v>375</v>
      </c>
      <c r="J24" s="41">
        <v>-80</v>
      </c>
      <c r="K24" s="41">
        <f>J24*I24</f>
        <v>-30000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43381</v>
      </c>
      <c r="D25" s="40" t="s">
        <v>13</v>
      </c>
      <c r="E25" s="40" t="s">
        <v>30</v>
      </c>
      <c r="F25" s="41">
        <v>10400</v>
      </c>
      <c r="G25" s="41">
        <v>10300</v>
      </c>
      <c r="H25" s="39">
        <v>43382</v>
      </c>
      <c r="I25" s="41">
        <v>375</v>
      </c>
      <c r="J25" s="115">
        <v>100</v>
      </c>
      <c r="K25" s="41">
        <f t="shared" ref="K25:K29" si="8">J25*I25</f>
        <v>37500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43383</v>
      </c>
      <c r="D26" s="40" t="s">
        <v>13</v>
      </c>
      <c r="E26" s="40" t="s">
        <v>30</v>
      </c>
      <c r="F26" s="41">
        <v>10450</v>
      </c>
      <c r="G26" s="41">
        <v>10200</v>
      </c>
      <c r="H26" s="39">
        <v>43384</v>
      </c>
      <c r="I26" s="41">
        <v>375</v>
      </c>
      <c r="J26" s="85">
        <v>250</v>
      </c>
      <c r="K26" s="41">
        <f t="shared" si="8"/>
        <v>93750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43385</v>
      </c>
      <c r="D27" s="40" t="s">
        <v>13</v>
      </c>
      <c r="E27" s="40" t="s">
        <v>30</v>
      </c>
      <c r="F27" s="41">
        <v>10500</v>
      </c>
      <c r="G27" s="41">
        <v>10430</v>
      </c>
      <c r="H27" s="39">
        <v>43388</v>
      </c>
      <c r="I27" s="41">
        <v>375</v>
      </c>
      <c r="J27" s="85">
        <v>70</v>
      </c>
      <c r="K27" s="41">
        <f t="shared" si="8"/>
        <v>26250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43389</v>
      </c>
      <c r="D28" s="40" t="s">
        <v>13</v>
      </c>
      <c r="E28" s="40" t="s">
        <v>30</v>
      </c>
      <c r="F28" s="41">
        <v>10600</v>
      </c>
      <c r="G28" s="41">
        <v>10330</v>
      </c>
      <c r="H28" s="39">
        <v>43390</v>
      </c>
      <c r="I28" s="41">
        <v>375</v>
      </c>
      <c r="J28" s="85">
        <v>270</v>
      </c>
      <c r="K28" s="41">
        <f t="shared" si="8"/>
        <v>101250</v>
      </c>
      <c r="L28" s="42" t="s">
        <v>647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228750</v>
      </c>
      <c r="L34" s="86"/>
      <c r="M34" s="32"/>
      <c r="X34" s="29">
        <f>SUM(X24:X33)</f>
        <v>4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43374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43377</v>
      </c>
      <c r="D42" s="35" t="s">
        <v>8</v>
      </c>
      <c r="E42" s="35" t="s">
        <v>652</v>
      </c>
      <c r="F42" s="127">
        <v>8</v>
      </c>
      <c r="G42" s="127">
        <v>11.6</v>
      </c>
      <c r="H42" s="34">
        <v>43383</v>
      </c>
      <c r="I42" s="36">
        <v>6000</v>
      </c>
      <c r="J42" s="129">
        <v>3.6</v>
      </c>
      <c r="K42" s="41">
        <f>J42*I42</f>
        <v>21600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43389</v>
      </c>
      <c r="D43" s="121" t="s">
        <v>8</v>
      </c>
      <c r="E43" s="121" t="s">
        <v>648</v>
      </c>
      <c r="F43" s="128">
        <v>110</v>
      </c>
      <c r="G43" s="128">
        <v>250</v>
      </c>
      <c r="H43" s="120">
        <v>43392</v>
      </c>
      <c r="I43" s="122">
        <v>375</v>
      </c>
      <c r="J43" s="133">
        <v>140</v>
      </c>
      <c r="K43" s="41">
        <f t="shared" ref="K43:K49" si="12">J43*I43</f>
        <v>52500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43392</v>
      </c>
      <c r="D44" s="40" t="s">
        <v>8</v>
      </c>
      <c r="E44" s="40" t="s">
        <v>649</v>
      </c>
      <c r="F44" s="126">
        <v>7</v>
      </c>
      <c r="G44" s="126">
        <v>2</v>
      </c>
      <c r="H44" s="39">
        <v>43395</v>
      </c>
      <c r="I44" s="41">
        <v>2000</v>
      </c>
      <c r="J44" s="130">
        <v>-5</v>
      </c>
      <c r="K44" s="41">
        <f t="shared" si="12"/>
        <v>-10000</v>
      </c>
      <c r="L44" s="42" t="s">
        <v>197</v>
      </c>
      <c r="M44" s="32"/>
      <c r="X44" s="29">
        <f t="shared" si="10"/>
        <v>0</v>
      </c>
      <c r="Y44" s="29">
        <f t="shared" si="11"/>
        <v>1</v>
      </c>
    </row>
    <row r="45" spans="1:25" x14ac:dyDescent="0.3">
      <c r="A45" s="31"/>
      <c r="B45" s="38">
        <f t="shared" ref="B45:B51" si="13">B44+1</f>
        <v>4</v>
      </c>
      <c r="C45" s="39">
        <v>43393</v>
      </c>
      <c r="D45" s="40" t="s">
        <v>8</v>
      </c>
      <c r="E45" s="40" t="s">
        <v>652</v>
      </c>
      <c r="F45" s="126">
        <v>8</v>
      </c>
      <c r="G45" s="126">
        <v>11.6</v>
      </c>
      <c r="H45" s="39">
        <v>43395</v>
      </c>
      <c r="I45" s="41">
        <v>6000</v>
      </c>
      <c r="J45" s="130">
        <v>3.6</v>
      </c>
      <c r="K45" s="41">
        <f t="shared" si="12"/>
        <v>21600</v>
      </c>
      <c r="L45" s="42" t="s">
        <v>646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85700</v>
      </c>
      <c r="L52" s="86"/>
      <c r="M52" s="32"/>
      <c r="X52" s="29">
        <f>SUM(X42:X51)</f>
        <v>3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4300-000000000000}"/>
    <hyperlink ref="O1" location="'Home Page'!A1" display="Back" xr:uid="{00000000-0004-0000-4300-000001000000}"/>
    <hyperlink ref="B34" r:id="rId2" xr:uid="{00000000-0004-0000-4300-000002000000}"/>
    <hyperlink ref="B52" r:id="rId3" xr:uid="{00000000-0004-0000-4300-000003000000}"/>
  </hyperlinks>
  <pageMargins left="0" right="0" top="0" bottom="0" header="0" footer="0"/>
  <pageSetup paperSize="9" orientation="portrait" r:id="rId4"/>
  <drawing r:id="rId5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A1:Y53"/>
  <sheetViews>
    <sheetView workbookViewId="0">
      <selection activeCell="O1" sqref="O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43405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2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43420</v>
      </c>
      <c r="D6" s="35" t="s">
        <v>8</v>
      </c>
      <c r="E6" s="35" t="s">
        <v>656</v>
      </c>
      <c r="F6" s="126">
        <v>355</v>
      </c>
      <c r="G6" s="127">
        <v>365</v>
      </c>
      <c r="H6" s="34">
        <v>43423</v>
      </c>
      <c r="I6" s="36">
        <v>3200</v>
      </c>
      <c r="J6" s="129">
        <v>10</v>
      </c>
      <c r="K6" s="41">
        <f>J6*I6</f>
        <v>32000</v>
      </c>
      <c r="L6" s="37" t="s">
        <v>642</v>
      </c>
      <c r="M6" s="32"/>
      <c r="O6" s="198" t="s">
        <v>599</v>
      </c>
      <c r="P6" s="199">
        <f>COUNT(C24:C33)</f>
        <v>2</v>
      </c>
      <c r="Q6" s="200">
        <f>X34</f>
        <v>2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43425</v>
      </c>
      <c r="D7" s="40" t="s">
        <v>13</v>
      </c>
      <c r="E7" s="40" t="s">
        <v>67</v>
      </c>
      <c r="F7" s="126">
        <v>1130</v>
      </c>
      <c r="G7" s="126">
        <v>1100</v>
      </c>
      <c r="H7" s="39">
        <v>43426</v>
      </c>
      <c r="I7" s="41">
        <v>1000</v>
      </c>
      <c r="J7" s="130">
        <v>30</v>
      </c>
      <c r="K7" s="41">
        <f t="shared" ref="K7:K10" si="1">J7*I7</f>
        <v>30000</v>
      </c>
      <c r="L7" s="42" t="s">
        <v>651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3</v>
      </c>
      <c r="Q8" s="200">
        <f>X52</f>
        <v>1</v>
      </c>
      <c r="R8" s="200">
        <f>Y52</f>
        <v>2</v>
      </c>
      <c r="S8" s="201">
        <v>0</v>
      </c>
      <c r="T8" s="197">
        <f t="shared" ref="T8:T10" si="5">Q8/P8</f>
        <v>0.33333333333333331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7</v>
      </c>
      <c r="Q10" s="173">
        <f>SUM(Q4:Q9)</f>
        <v>5</v>
      </c>
      <c r="R10" s="173">
        <f>SUM(R4:R9)</f>
        <v>2</v>
      </c>
      <c r="S10" s="193">
        <f>SUM(S4:S9)</f>
        <v>0</v>
      </c>
      <c r="T10" s="195">
        <f t="shared" si="5"/>
        <v>0.7142857142857143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0.7142857142857143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62000</v>
      </c>
      <c r="L16" s="86"/>
      <c r="M16" s="32"/>
      <c r="X16" s="29">
        <f>SUM(X6:X15)</f>
        <v>2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43405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43418</v>
      </c>
      <c r="D24" s="40" t="s">
        <v>13</v>
      </c>
      <c r="E24" s="35" t="s">
        <v>30</v>
      </c>
      <c r="F24" s="36">
        <v>10650</v>
      </c>
      <c r="G24" s="36">
        <v>10560</v>
      </c>
      <c r="H24" s="39">
        <v>43418</v>
      </c>
      <c r="I24" s="36">
        <v>375</v>
      </c>
      <c r="J24" s="41">
        <v>90</v>
      </c>
      <c r="K24" s="41">
        <f>J24*I24</f>
        <v>33750</v>
      </c>
      <c r="L24" s="37" t="s">
        <v>642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43420</v>
      </c>
      <c r="D25" s="40" t="s">
        <v>13</v>
      </c>
      <c r="E25" s="40" t="s">
        <v>30</v>
      </c>
      <c r="F25" s="41">
        <v>10680</v>
      </c>
      <c r="G25" s="41">
        <v>10520</v>
      </c>
      <c r="H25" s="39">
        <v>43426</v>
      </c>
      <c r="I25" s="41">
        <v>375</v>
      </c>
      <c r="J25" s="115">
        <v>160</v>
      </c>
      <c r="K25" s="41">
        <f t="shared" ref="K25:K29" si="8">J25*I25</f>
        <v>60000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93750</v>
      </c>
      <c r="L34" s="86"/>
      <c r="M34" s="32"/>
      <c r="X34" s="29">
        <f>SUM(X24:X33)</f>
        <v>2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43405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43417</v>
      </c>
      <c r="D42" s="35" t="s">
        <v>8</v>
      </c>
      <c r="E42" s="35" t="s">
        <v>653</v>
      </c>
      <c r="F42" s="127">
        <v>24</v>
      </c>
      <c r="G42" s="127">
        <v>14</v>
      </c>
      <c r="H42" s="34">
        <v>43418</v>
      </c>
      <c r="I42" s="36">
        <v>1000</v>
      </c>
      <c r="J42" s="129">
        <v>-10</v>
      </c>
      <c r="K42" s="41">
        <f>J42*I42</f>
        <v>-10000</v>
      </c>
      <c r="L42" s="37" t="s">
        <v>197</v>
      </c>
      <c r="M42" s="32"/>
      <c r="X42" s="29">
        <f t="shared" ref="X42:X51" si="10">IF($K42&gt;0,1,0)</f>
        <v>0</v>
      </c>
      <c r="Y42" s="29">
        <f t="shared" ref="Y42:Y51" si="11">IF($K42&lt;0,1,0)</f>
        <v>1</v>
      </c>
    </row>
    <row r="43" spans="1:25" x14ac:dyDescent="0.3">
      <c r="A43" s="31"/>
      <c r="B43" s="119">
        <v>2</v>
      </c>
      <c r="C43" s="120">
        <v>43419</v>
      </c>
      <c r="D43" s="121" t="s">
        <v>8</v>
      </c>
      <c r="E43" s="121" t="s">
        <v>654</v>
      </c>
      <c r="F43" s="128">
        <v>3</v>
      </c>
      <c r="G43" s="128">
        <v>7</v>
      </c>
      <c r="H43" s="120">
        <v>43424</v>
      </c>
      <c r="I43" s="122">
        <v>8000</v>
      </c>
      <c r="J43" s="133">
        <v>4</v>
      </c>
      <c r="K43" s="41">
        <f t="shared" ref="K43:K49" si="12">J43*I43</f>
        <v>32000</v>
      </c>
      <c r="L43" s="124" t="s">
        <v>655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43430</v>
      </c>
      <c r="D44" s="40" t="s">
        <v>8</v>
      </c>
      <c r="E44" s="40" t="s">
        <v>657</v>
      </c>
      <c r="F44" s="126">
        <v>4.3</v>
      </c>
      <c r="G44" s="126">
        <v>2.2999999999999998</v>
      </c>
      <c r="H44" s="39">
        <v>43430</v>
      </c>
      <c r="I44" s="41">
        <v>5000</v>
      </c>
      <c r="J44" s="130">
        <v>-2</v>
      </c>
      <c r="K44" s="41">
        <f t="shared" si="12"/>
        <v>-10000</v>
      </c>
      <c r="L44" s="42" t="s">
        <v>197</v>
      </c>
      <c r="M44" s="32"/>
      <c r="X44" s="29">
        <f t="shared" si="10"/>
        <v>0</v>
      </c>
      <c r="Y44" s="29">
        <f t="shared" si="11"/>
        <v>1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12000</v>
      </c>
      <c r="L52" s="86"/>
      <c r="M52" s="32"/>
      <c r="X52" s="29">
        <f>SUM(X42:X51)</f>
        <v>1</v>
      </c>
      <c r="Y52" s="29">
        <f>SUM(Y42:Y51)</f>
        <v>2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4400-000000000000}"/>
    <hyperlink ref="O1" location="'Home Page'!A1" display="Back" xr:uid="{00000000-0004-0000-4400-000001000000}"/>
    <hyperlink ref="B34" r:id="rId2" xr:uid="{00000000-0004-0000-4400-000002000000}"/>
    <hyperlink ref="B52" r:id="rId3" xr:uid="{00000000-0004-0000-4400-000003000000}"/>
  </hyperlinks>
  <pageMargins left="0" right="0" top="0" bottom="0" header="0" footer="0"/>
  <pageSetup paperSize="9"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35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6.6640625" bestFit="1" customWidth="1"/>
    <col min="5" max="7" width="9.5546875" bestFit="1" customWidth="1"/>
    <col min="8" max="8" width="18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99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41519</v>
      </c>
      <c r="C5" s="8" t="s">
        <v>13</v>
      </c>
      <c r="D5" s="8" t="s">
        <v>90</v>
      </c>
      <c r="E5" s="8">
        <v>157</v>
      </c>
      <c r="F5" s="8">
        <v>153</v>
      </c>
      <c r="G5" s="8">
        <v>4000</v>
      </c>
      <c r="H5" s="8">
        <v>16000</v>
      </c>
    </row>
    <row r="6" spans="1:10" ht="25.8" x14ac:dyDescent="0.5">
      <c r="B6" s="7">
        <v>41523</v>
      </c>
      <c r="C6" s="8" t="s">
        <v>20</v>
      </c>
      <c r="D6" s="8" t="s">
        <v>90</v>
      </c>
      <c r="E6" s="8">
        <v>158</v>
      </c>
      <c r="F6" s="8">
        <v>162</v>
      </c>
      <c r="G6" s="8">
        <v>4000</v>
      </c>
      <c r="H6" s="8">
        <v>16000</v>
      </c>
    </row>
    <row r="7" spans="1:10" ht="25.8" x14ac:dyDescent="0.5">
      <c r="B7" s="7">
        <v>41528</v>
      </c>
      <c r="C7" s="8" t="s">
        <v>8</v>
      </c>
      <c r="D7" s="8" t="s">
        <v>11</v>
      </c>
      <c r="E7" s="8">
        <v>1645</v>
      </c>
      <c r="F7" s="8">
        <v>1700</v>
      </c>
      <c r="G7" s="8">
        <v>250</v>
      </c>
      <c r="H7" s="8">
        <v>13750</v>
      </c>
    </row>
    <row r="8" spans="1:10" ht="25.8" x14ac:dyDescent="0.5">
      <c r="B8" s="7">
        <v>41535</v>
      </c>
      <c r="C8" s="8" t="s">
        <v>8</v>
      </c>
      <c r="D8" s="8" t="s">
        <v>106</v>
      </c>
      <c r="E8" s="8">
        <v>336</v>
      </c>
      <c r="F8" s="8">
        <v>446</v>
      </c>
      <c r="G8" s="8">
        <v>2000</v>
      </c>
      <c r="H8" s="8">
        <v>20000</v>
      </c>
    </row>
    <row r="9" spans="1:10" ht="25.8" x14ac:dyDescent="0.5">
      <c r="B9" s="7">
        <v>41537</v>
      </c>
      <c r="C9" s="8" t="s">
        <v>8</v>
      </c>
      <c r="D9" s="8" t="s">
        <v>76</v>
      </c>
      <c r="E9" s="8">
        <v>228</v>
      </c>
      <c r="F9" s="8">
        <v>238</v>
      </c>
      <c r="G9" s="8">
        <v>2000</v>
      </c>
      <c r="H9" s="8">
        <v>20000</v>
      </c>
    </row>
    <row r="10" spans="1:10" ht="25.8" x14ac:dyDescent="0.5">
      <c r="B10" s="7">
        <v>41541</v>
      </c>
      <c r="C10" s="8" t="s">
        <v>8</v>
      </c>
      <c r="D10" s="8" t="s">
        <v>90</v>
      </c>
      <c r="E10" s="8">
        <v>165</v>
      </c>
      <c r="F10" s="8">
        <v>169</v>
      </c>
      <c r="G10" s="8">
        <v>4000</v>
      </c>
      <c r="H10" s="8">
        <v>16000</v>
      </c>
    </row>
    <row r="11" spans="1:10" ht="25.8" x14ac:dyDescent="0.5">
      <c r="B11" s="7"/>
      <c r="C11" s="8"/>
      <c r="D11" s="8"/>
      <c r="E11" s="8"/>
      <c r="F11" s="8"/>
      <c r="G11" s="8"/>
      <c r="H11" s="15">
        <v>101750</v>
      </c>
    </row>
    <row r="13" spans="1:10" ht="15" thickBot="1" x14ac:dyDescent="0.35"/>
    <row r="14" spans="1:10" ht="16.2" thickBot="1" x14ac:dyDescent="0.35">
      <c r="B14" s="158" t="s">
        <v>100</v>
      </c>
      <c r="C14" s="158"/>
      <c r="D14" s="158"/>
      <c r="E14" s="158"/>
      <c r="F14" s="158"/>
      <c r="G14" s="158"/>
      <c r="H14" s="158"/>
    </row>
    <row r="15" spans="1:10" x14ac:dyDescent="0.3">
      <c r="B15" s="1" t="s">
        <v>1</v>
      </c>
      <c r="C15" s="2" t="s">
        <v>2</v>
      </c>
      <c r="D15" s="2" t="s">
        <v>3</v>
      </c>
      <c r="E15" s="3" t="s">
        <v>4</v>
      </c>
      <c r="F15" s="3" t="s">
        <v>5</v>
      </c>
      <c r="G15" s="3" t="s">
        <v>44</v>
      </c>
      <c r="H15" s="3" t="s">
        <v>31</v>
      </c>
    </row>
    <row r="16" spans="1:10" ht="25.8" x14ac:dyDescent="0.5">
      <c r="B16" s="7">
        <v>41519</v>
      </c>
      <c r="C16" s="8" t="s">
        <v>13</v>
      </c>
      <c r="D16" s="8" t="s">
        <v>30</v>
      </c>
      <c r="E16" s="8">
        <v>5555</v>
      </c>
      <c r="F16" s="8">
        <v>5455</v>
      </c>
      <c r="G16" s="8">
        <v>100</v>
      </c>
      <c r="H16" s="8">
        <v>50000</v>
      </c>
    </row>
    <row r="17" spans="2:8" ht="25.8" x14ac:dyDescent="0.5">
      <c r="B17" s="7">
        <v>41523</v>
      </c>
      <c r="C17" s="8" t="s">
        <v>20</v>
      </c>
      <c r="D17" s="8" t="s">
        <v>30</v>
      </c>
      <c r="E17" s="8">
        <v>5650</v>
      </c>
      <c r="F17" s="8">
        <v>5750</v>
      </c>
      <c r="G17" s="8">
        <v>100</v>
      </c>
      <c r="H17" s="8">
        <v>50000</v>
      </c>
    </row>
    <row r="18" spans="2:8" ht="25.8" x14ac:dyDescent="0.5">
      <c r="B18" s="7">
        <v>41529</v>
      </c>
      <c r="C18" s="8" t="s">
        <v>8</v>
      </c>
      <c r="D18" s="8" t="s">
        <v>30</v>
      </c>
      <c r="E18" s="8">
        <v>5840</v>
      </c>
      <c r="F18" s="8">
        <v>5920</v>
      </c>
      <c r="G18" s="8">
        <v>80</v>
      </c>
      <c r="H18" s="8">
        <v>40000</v>
      </c>
    </row>
    <row r="19" spans="2:8" ht="25.8" x14ac:dyDescent="0.5">
      <c r="B19" s="7">
        <v>41537</v>
      </c>
      <c r="C19" s="8" t="s">
        <v>13</v>
      </c>
      <c r="D19" s="8" t="s">
        <v>30</v>
      </c>
      <c r="E19" s="8">
        <v>6610</v>
      </c>
      <c r="F19" s="8">
        <v>5910</v>
      </c>
      <c r="G19" s="8">
        <v>100</v>
      </c>
      <c r="H19" s="8">
        <v>50000</v>
      </c>
    </row>
    <row r="20" spans="2:8" ht="25.8" x14ac:dyDescent="0.5">
      <c r="B20" s="7">
        <v>41541</v>
      </c>
      <c r="C20" s="8" t="s">
        <v>13</v>
      </c>
      <c r="D20" s="8" t="s">
        <v>30</v>
      </c>
      <c r="E20" s="8">
        <v>5930</v>
      </c>
      <c r="F20" s="8">
        <v>5850</v>
      </c>
      <c r="G20" s="8">
        <v>80</v>
      </c>
      <c r="H20" s="8">
        <v>40000</v>
      </c>
    </row>
    <row r="21" spans="2:8" ht="25.8" x14ac:dyDescent="0.5">
      <c r="B21" s="7"/>
      <c r="C21" s="8"/>
      <c r="D21" s="8"/>
      <c r="E21" s="8"/>
      <c r="F21" s="8"/>
      <c r="G21" s="8"/>
      <c r="H21" s="15">
        <v>230000</v>
      </c>
    </row>
    <row r="23" spans="2:8" ht="15" thickBot="1" x14ac:dyDescent="0.35"/>
    <row r="24" spans="2:8" ht="16.2" thickBot="1" x14ac:dyDescent="0.35">
      <c r="B24" s="158" t="s">
        <v>101</v>
      </c>
      <c r="C24" s="158"/>
      <c r="D24" s="158"/>
      <c r="E24" s="158"/>
      <c r="F24" s="158"/>
      <c r="G24" s="158"/>
      <c r="H24" s="158"/>
    </row>
    <row r="25" spans="2:8" x14ac:dyDescent="0.3">
      <c r="B25" s="1" t="s">
        <v>1</v>
      </c>
      <c r="C25" s="2" t="s">
        <v>2</v>
      </c>
      <c r="D25" s="2" t="s">
        <v>3</v>
      </c>
      <c r="E25" s="3" t="s">
        <v>4</v>
      </c>
      <c r="F25" s="3" t="s">
        <v>5</v>
      </c>
      <c r="G25" s="3" t="s">
        <v>6</v>
      </c>
      <c r="H25" s="3" t="s">
        <v>89</v>
      </c>
    </row>
    <row r="26" spans="2:8" ht="25.8" x14ac:dyDescent="0.5">
      <c r="B26" s="7">
        <v>41519</v>
      </c>
      <c r="C26" s="8" t="s">
        <v>20</v>
      </c>
      <c r="D26" s="8" t="s">
        <v>102</v>
      </c>
      <c r="E26" s="8">
        <v>100</v>
      </c>
      <c r="F26" s="8">
        <v>160</v>
      </c>
      <c r="G26" s="8">
        <v>200</v>
      </c>
      <c r="H26" s="8">
        <v>12000</v>
      </c>
    </row>
    <row r="27" spans="2:8" ht="25.8" x14ac:dyDescent="0.5">
      <c r="B27" s="7">
        <v>41527</v>
      </c>
      <c r="C27" s="8" t="s">
        <v>8</v>
      </c>
      <c r="D27" s="8" t="s">
        <v>103</v>
      </c>
      <c r="E27" s="8">
        <v>15</v>
      </c>
      <c r="F27" s="8">
        <v>6</v>
      </c>
      <c r="G27" s="8">
        <v>500</v>
      </c>
      <c r="H27" s="8">
        <v>-4000</v>
      </c>
    </row>
    <row r="28" spans="2:8" ht="25.8" x14ac:dyDescent="0.5">
      <c r="B28" s="7">
        <v>41533</v>
      </c>
      <c r="C28" s="8" t="s">
        <v>8</v>
      </c>
      <c r="D28" s="8" t="s">
        <v>104</v>
      </c>
      <c r="E28" s="8">
        <v>65</v>
      </c>
      <c r="F28" s="8">
        <v>190</v>
      </c>
      <c r="G28" s="8">
        <v>200</v>
      </c>
      <c r="H28" s="8">
        <v>25000</v>
      </c>
    </row>
    <row r="29" spans="2:8" ht="25.8" x14ac:dyDescent="0.5">
      <c r="B29" s="7">
        <v>41541</v>
      </c>
      <c r="C29" s="8" t="s">
        <v>8</v>
      </c>
      <c r="D29" s="8" t="s">
        <v>105</v>
      </c>
      <c r="E29" s="8">
        <v>14</v>
      </c>
      <c r="F29" s="8">
        <v>7</v>
      </c>
      <c r="G29" s="8">
        <v>250</v>
      </c>
      <c r="H29" s="8">
        <v>-1750</v>
      </c>
    </row>
    <row r="30" spans="2:8" ht="25.8" x14ac:dyDescent="0.5">
      <c r="B30" s="7"/>
      <c r="C30" s="8"/>
      <c r="D30" s="8"/>
      <c r="E30" s="8"/>
      <c r="F30" s="8"/>
      <c r="G30" s="8"/>
      <c r="H30" s="15">
        <v>31250</v>
      </c>
    </row>
    <row r="31" spans="2:8" ht="25.8" x14ac:dyDescent="0.5">
      <c r="B31" s="13"/>
      <c r="C31" s="8"/>
      <c r="D31" s="8"/>
      <c r="E31" s="8"/>
      <c r="F31" s="8"/>
      <c r="G31" s="8"/>
      <c r="H31" s="8"/>
    </row>
    <row r="32" spans="2:8" ht="25.8" x14ac:dyDescent="0.5">
      <c r="B32" s="13"/>
      <c r="C32" s="8"/>
      <c r="D32" s="8"/>
      <c r="E32" s="8"/>
      <c r="F32" s="8"/>
      <c r="G32" s="8"/>
      <c r="H32" s="8"/>
    </row>
    <row r="33" spans="2:8" ht="25.8" x14ac:dyDescent="0.5">
      <c r="B33" s="13"/>
      <c r="C33" s="8"/>
      <c r="D33" s="8"/>
      <c r="E33" s="8"/>
      <c r="F33" s="8"/>
      <c r="G33" s="8"/>
      <c r="H33" s="8"/>
    </row>
    <row r="34" spans="2:8" ht="25.8" x14ac:dyDescent="0.5">
      <c r="B34" s="13"/>
      <c r="C34" s="8"/>
      <c r="D34" s="8"/>
      <c r="E34" s="8"/>
      <c r="F34" s="8"/>
      <c r="G34" s="8"/>
      <c r="H34" s="8"/>
    </row>
    <row r="35" spans="2:8" ht="25.8" x14ac:dyDescent="0.5">
      <c r="H35" s="9"/>
    </row>
  </sheetData>
  <mergeCells count="5">
    <mergeCell ref="B1:H1"/>
    <mergeCell ref="B2:H2"/>
    <mergeCell ref="B3:H3"/>
    <mergeCell ref="B14:H14"/>
    <mergeCell ref="B24:H24"/>
  </mergeCells>
  <hyperlinks>
    <hyperlink ref="J2" location="'Home Page'!A1" display="Back" xr:uid="{00000000-0004-0000-0600-000000000000}"/>
  </hyperlinks>
  <pageMargins left="0.7" right="0.7" top="0.75" bottom="0.75" header="0.3" footer="0.3"/>
  <pageSetup orientation="portrait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A1:Y53"/>
  <sheetViews>
    <sheetView topLeftCell="A22" workbookViewId="0">
      <selection activeCell="B40" sqref="B40:L40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43435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2</v>
      </c>
      <c r="R4" s="208">
        <f>Y16</f>
        <v>1</v>
      </c>
      <c r="S4" s="209">
        <f>P4-Q4-R4</f>
        <v>0</v>
      </c>
      <c r="T4" s="195">
        <f>Q4/P4</f>
        <v>0.66666666666666663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43437</v>
      </c>
      <c r="D6" s="35" t="s">
        <v>13</v>
      </c>
      <c r="E6" s="35" t="s">
        <v>77</v>
      </c>
      <c r="F6" s="126">
        <v>2750</v>
      </c>
      <c r="G6" s="127">
        <v>2800</v>
      </c>
      <c r="H6" s="34">
        <v>43438</v>
      </c>
      <c r="I6" s="36">
        <v>500</v>
      </c>
      <c r="J6" s="129">
        <v>-50</v>
      </c>
      <c r="K6" s="41">
        <f>J6*I6</f>
        <v>-25000</v>
      </c>
      <c r="L6" s="37" t="s">
        <v>197</v>
      </c>
      <c r="M6" s="32"/>
      <c r="O6" s="198" t="s">
        <v>599</v>
      </c>
      <c r="P6" s="199">
        <f>COUNT(C24:C33)</f>
        <v>2</v>
      </c>
      <c r="Q6" s="200">
        <f>X34</f>
        <v>2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0</v>
      </c>
      <c r="Y6" s="29">
        <f>IF($K6&lt;0,1,0)</f>
        <v>1</v>
      </c>
    </row>
    <row r="7" spans="1:25" x14ac:dyDescent="0.3">
      <c r="A7" s="31"/>
      <c r="B7" s="38">
        <f>B6+1</f>
        <v>2</v>
      </c>
      <c r="C7" s="39">
        <v>43441</v>
      </c>
      <c r="D7" s="40" t="s">
        <v>13</v>
      </c>
      <c r="E7" s="40" t="s">
        <v>67</v>
      </c>
      <c r="F7" s="126">
        <v>1125</v>
      </c>
      <c r="G7" s="126">
        <v>1099</v>
      </c>
      <c r="H7" s="39">
        <v>43444</v>
      </c>
      <c r="I7" s="41">
        <v>1000</v>
      </c>
      <c r="J7" s="130">
        <v>26</v>
      </c>
      <c r="K7" s="41">
        <f t="shared" ref="K7:K10" si="1">J7*I7</f>
        <v>26000</v>
      </c>
      <c r="L7" s="42" t="s">
        <v>195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43453</v>
      </c>
      <c r="D8" s="40" t="s">
        <v>13</v>
      </c>
      <c r="E8" s="40" t="s">
        <v>11</v>
      </c>
      <c r="F8" s="128">
        <v>300</v>
      </c>
      <c r="G8" s="126">
        <v>294</v>
      </c>
      <c r="H8" s="39">
        <v>43454</v>
      </c>
      <c r="I8" s="41">
        <v>6000</v>
      </c>
      <c r="J8" s="130">
        <v>6</v>
      </c>
      <c r="K8" s="41">
        <f t="shared" si="1"/>
        <v>36000</v>
      </c>
      <c r="L8" s="42" t="s">
        <v>276</v>
      </c>
      <c r="M8" s="32"/>
      <c r="O8" s="198" t="s">
        <v>600</v>
      </c>
      <c r="P8" s="199">
        <f>COUNT(C42:C51)</f>
        <v>6</v>
      </c>
      <c r="Q8" s="200">
        <f>X52</f>
        <v>5</v>
      </c>
      <c r="R8" s="200">
        <f>Y52</f>
        <v>1</v>
      </c>
      <c r="S8" s="201">
        <v>0</v>
      </c>
      <c r="T8" s="197">
        <f t="shared" ref="T8:T10" si="5">Q8/P8</f>
        <v>0.83333333333333337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f>SUM(Q4:Q9)</f>
        <v>9</v>
      </c>
      <c r="R10" s="173">
        <f>SUM(R4:R9)</f>
        <v>2</v>
      </c>
      <c r="S10" s="193">
        <f>SUM(S4:S9)</f>
        <v>0</v>
      </c>
      <c r="T10" s="195">
        <f t="shared" si="5"/>
        <v>0.81818181818181823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0.81818181818181823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37000</v>
      </c>
      <c r="L16" s="86"/>
      <c r="M16" s="32"/>
      <c r="X16" s="29">
        <f>SUM(X6:X15)</f>
        <v>2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43435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43447</v>
      </c>
      <c r="D24" s="40" t="s">
        <v>13</v>
      </c>
      <c r="E24" s="35" t="s">
        <v>30</v>
      </c>
      <c r="F24" s="36">
        <v>10880</v>
      </c>
      <c r="G24" s="36">
        <v>10780</v>
      </c>
      <c r="H24" s="39">
        <v>43447</v>
      </c>
      <c r="I24" s="36">
        <v>375</v>
      </c>
      <c r="J24" s="41">
        <v>100</v>
      </c>
      <c r="K24" s="41">
        <f>J24*I24</f>
        <v>37500</v>
      </c>
      <c r="L24" s="37" t="s">
        <v>276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43453</v>
      </c>
      <c r="D25" s="40" t="s">
        <v>13</v>
      </c>
      <c r="E25" s="40" t="s">
        <v>30</v>
      </c>
      <c r="F25" s="41">
        <v>10990</v>
      </c>
      <c r="G25" s="41">
        <v>10800</v>
      </c>
      <c r="H25" s="39">
        <v>43455</v>
      </c>
      <c r="I25" s="41">
        <v>375</v>
      </c>
      <c r="J25" s="115">
        <v>190</v>
      </c>
      <c r="K25" s="41">
        <f t="shared" ref="K25:K29" si="8">J25*I25</f>
        <v>71250</v>
      </c>
      <c r="L25" s="42" t="s">
        <v>655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108750</v>
      </c>
      <c r="L34" s="86"/>
      <c r="M34" s="32"/>
      <c r="X34" s="29">
        <f>SUM(X24:X33)</f>
        <v>2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43435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43437</v>
      </c>
      <c r="D42" s="35" t="s">
        <v>8</v>
      </c>
      <c r="E42" s="35" t="s">
        <v>658</v>
      </c>
      <c r="F42" s="127">
        <v>62</v>
      </c>
      <c r="G42" s="127">
        <v>42</v>
      </c>
      <c r="H42" s="34">
        <v>43438</v>
      </c>
      <c r="I42" s="36">
        <v>500</v>
      </c>
      <c r="J42" s="129">
        <v>-20</v>
      </c>
      <c r="K42" s="41">
        <f>J42*I42</f>
        <v>-10000</v>
      </c>
      <c r="L42" s="37" t="s">
        <v>197</v>
      </c>
      <c r="M42" s="32"/>
      <c r="X42" s="29">
        <f t="shared" ref="X42:X51" si="10">IF($K42&gt;0,1,0)</f>
        <v>0</v>
      </c>
      <c r="Y42" s="29">
        <f t="shared" ref="Y42:Y51" si="11">IF($K42&lt;0,1,0)</f>
        <v>1</v>
      </c>
    </row>
    <row r="43" spans="1:25" x14ac:dyDescent="0.3">
      <c r="A43" s="31"/>
      <c r="B43" s="119">
        <v>2</v>
      </c>
      <c r="C43" s="120">
        <v>43439</v>
      </c>
      <c r="D43" s="121" t="s">
        <v>8</v>
      </c>
      <c r="E43" s="121" t="s">
        <v>659</v>
      </c>
      <c r="F43" s="128">
        <v>15</v>
      </c>
      <c r="G43" s="128">
        <v>29</v>
      </c>
      <c r="H43" s="120">
        <v>43440</v>
      </c>
      <c r="I43" s="122">
        <v>2400</v>
      </c>
      <c r="J43" s="133">
        <v>14</v>
      </c>
      <c r="K43" s="41">
        <f t="shared" ref="K43:K49" si="12">J43*I43</f>
        <v>33600</v>
      </c>
      <c r="L43" s="124" t="s">
        <v>655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43445</v>
      </c>
      <c r="D44" s="40" t="s">
        <v>8</v>
      </c>
      <c r="E44" s="40" t="s">
        <v>660</v>
      </c>
      <c r="F44" s="126">
        <v>2.8</v>
      </c>
      <c r="G44" s="126">
        <v>7</v>
      </c>
      <c r="H44" s="39">
        <v>43447</v>
      </c>
      <c r="I44" s="41">
        <v>11000</v>
      </c>
      <c r="J44" s="130">
        <v>4.2</v>
      </c>
      <c r="K44" s="41">
        <f t="shared" si="12"/>
        <v>46200</v>
      </c>
      <c r="L44" s="42" t="s">
        <v>655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43447</v>
      </c>
      <c r="D45" s="40" t="s">
        <v>8</v>
      </c>
      <c r="E45" s="40" t="s">
        <v>653</v>
      </c>
      <c r="F45" s="126">
        <v>10</v>
      </c>
      <c r="G45" s="126">
        <v>16</v>
      </c>
      <c r="H45" s="39">
        <v>43447</v>
      </c>
      <c r="I45" s="41">
        <v>1000</v>
      </c>
      <c r="J45" s="130">
        <v>6</v>
      </c>
      <c r="K45" s="41">
        <f t="shared" si="12"/>
        <v>6000</v>
      </c>
      <c r="L45" s="42" t="s">
        <v>276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>
        <v>43453</v>
      </c>
      <c r="D46" s="40" t="s">
        <v>8</v>
      </c>
      <c r="E46" s="40" t="s">
        <v>661</v>
      </c>
      <c r="F46" s="126">
        <v>4</v>
      </c>
      <c r="G46" s="126">
        <v>9.6999999999999993</v>
      </c>
      <c r="H46" s="39">
        <v>43455</v>
      </c>
      <c r="I46" s="41">
        <v>6000</v>
      </c>
      <c r="J46" s="130">
        <v>5.7</v>
      </c>
      <c r="K46" s="41">
        <f t="shared" si="12"/>
        <v>34200</v>
      </c>
      <c r="L46" s="42" t="s">
        <v>195</v>
      </c>
      <c r="M46" s="32"/>
      <c r="X46" s="29">
        <f t="shared" si="10"/>
        <v>1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>
        <v>43455</v>
      </c>
      <c r="D47" s="40" t="s">
        <v>8</v>
      </c>
      <c r="E47" s="40" t="s">
        <v>662</v>
      </c>
      <c r="F47" s="126">
        <v>23</v>
      </c>
      <c r="G47" s="126">
        <v>41.5</v>
      </c>
      <c r="H47" s="39">
        <v>43455</v>
      </c>
      <c r="I47" s="41">
        <v>500</v>
      </c>
      <c r="J47" s="130">
        <v>18.5</v>
      </c>
      <c r="K47" s="41">
        <f t="shared" si="12"/>
        <v>9250</v>
      </c>
      <c r="L47" s="42" t="s">
        <v>655</v>
      </c>
      <c r="M47" s="32"/>
      <c r="X47" s="29">
        <f t="shared" si="10"/>
        <v>1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119250</v>
      </c>
      <c r="L52" s="86"/>
      <c r="M52" s="32"/>
      <c r="X52" s="29">
        <f>SUM(X42:X51)</f>
        <v>5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4500-000000000000}"/>
    <hyperlink ref="O1" location="'Home Page'!A1" display="Back" xr:uid="{00000000-0004-0000-4500-000001000000}"/>
    <hyperlink ref="B34" r:id="rId2" xr:uid="{00000000-0004-0000-4500-000002000000}"/>
    <hyperlink ref="B52" r:id="rId3" xr:uid="{00000000-0004-0000-4500-000003000000}"/>
  </hyperlinks>
  <pageMargins left="0" right="0" top="0" bottom="0" header="0" footer="0"/>
  <pageSetup paperSize="9" orientation="portrait" r:id="rId4"/>
  <drawing r:id="rId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1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43466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4</v>
      </c>
      <c r="Q4" s="208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43467</v>
      </c>
      <c r="D6" s="35" t="s">
        <v>13</v>
      </c>
      <c r="E6" s="35" t="s">
        <v>665</v>
      </c>
      <c r="F6" s="126">
        <v>1128</v>
      </c>
      <c r="G6" s="127">
        <v>1088</v>
      </c>
      <c r="H6" s="34">
        <v>43469</v>
      </c>
      <c r="I6" s="36">
        <v>1000</v>
      </c>
      <c r="J6" s="129">
        <v>40</v>
      </c>
      <c r="K6" s="41">
        <f>J6*I6</f>
        <v>40000</v>
      </c>
      <c r="L6" s="37" t="s">
        <v>647</v>
      </c>
      <c r="M6" s="32"/>
      <c r="O6" s="198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43472</v>
      </c>
      <c r="D7" s="40" t="s">
        <v>13</v>
      </c>
      <c r="E7" s="40" t="s">
        <v>665</v>
      </c>
      <c r="F7" s="126">
        <v>1122</v>
      </c>
      <c r="G7" s="126">
        <v>1096</v>
      </c>
      <c r="H7" s="39">
        <v>43476</v>
      </c>
      <c r="I7" s="41">
        <v>1000</v>
      </c>
      <c r="J7" s="130">
        <v>26</v>
      </c>
      <c r="K7" s="41">
        <f t="shared" ref="K7:K10" si="1">J7*I7</f>
        <v>26000</v>
      </c>
      <c r="L7" s="42" t="s">
        <v>651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43482</v>
      </c>
      <c r="D8" s="40" t="s">
        <v>13</v>
      </c>
      <c r="E8" s="40" t="s">
        <v>247</v>
      </c>
      <c r="F8" s="128">
        <v>1775</v>
      </c>
      <c r="G8" s="126">
        <v>1735</v>
      </c>
      <c r="H8" s="39">
        <v>43483</v>
      </c>
      <c r="I8" s="41">
        <v>1200</v>
      </c>
      <c r="J8" s="130">
        <v>40</v>
      </c>
      <c r="K8" s="41">
        <f t="shared" si="1"/>
        <v>48000</v>
      </c>
      <c r="L8" s="42" t="s">
        <v>651</v>
      </c>
      <c r="M8" s="32"/>
      <c r="O8" s="198" t="s">
        <v>600</v>
      </c>
      <c r="P8" s="199">
        <f>COUNT(C42:C51)</f>
        <v>4</v>
      </c>
      <c r="Q8" s="200">
        <f>X52</f>
        <v>4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43487</v>
      </c>
      <c r="D9" s="40" t="s">
        <v>13</v>
      </c>
      <c r="E9" s="40" t="s">
        <v>665</v>
      </c>
      <c r="F9" s="126">
        <v>1247</v>
      </c>
      <c r="G9" s="126">
        <v>1227</v>
      </c>
      <c r="H9" s="39">
        <v>43488</v>
      </c>
      <c r="I9" s="41">
        <v>1000</v>
      </c>
      <c r="J9" s="130">
        <v>20</v>
      </c>
      <c r="K9" s="41">
        <f t="shared" si="1"/>
        <v>20000</v>
      </c>
      <c r="L9" s="42" t="s">
        <v>669</v>
      </c>
      <c r="M9" s="32"/>
      <c r="O9" s="203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f>SUM(Q4:Q9)</f>
        <v>11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134000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43466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43467</v>
      </c>
      <c r="D24" s="40" t="s">
        <v>13</v>
      </c>
      <c r="E24" s="35" t="s">
        <v>30</v>
      </c>
      <c r="F24" s="36">
        <v>10920</v>
      </c>
      <c r="G24" s="36">
        <v>10740</v>
      </c>
      <c r="H24" s="39">
        <v>43468</v>
      </c>
      <c r="I24" s="36">
        <v>375</v>
      </c>
      <c r="J24" s="41">
        <v>200</v>
      </c>
      <c r="K24" s="41">
        <f>J24*I24</f>
        <v>75000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43472</v>
      </c>
      <c r="D25" s="40" t="s">
        <v>13</v>
      </c>
      <c r="E25" s="40" t="s">
        <v>30</v>
      </c>
      <c r="F25" s="41">
        <v>10890</v>
      </c>
      <c r="G25" s="41">
        <v>10790</v>
      </c>
      <c r="H25" s="39">
        <v>43472</v>
      </c>
      <c r="I25" s="41">
        <v>375</v>
      </c>
      <c r="J25" s="115">
        <v>100</v>
      </c>
      <c r="K25" s="41">
        <f t="shared" ref="K25:K29" si="8">J25*I25</f>
        <v>37500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43487</v>
      </c>
      <c r="D26" s="40" t="s">
        <v>13</v>
      </c>
      <c r="E26" s="40" t="s">
        <v>30</v>
      </c>
      <c r="F26" s="41">
        <v>10930</v>
      </c>
      <c r="G26" s="41">
        <v>10730</v>
      </c>
      <c r="H26" s="39">
        <v>43493</v>
      </c>
      <c r="I26" s="41">
        <v>375</v>
      </c>
      <c r="J26" s="85">
        <v>200</v>
      </c>
      <c r="K26" s="41">
        <f t="shared" si="8"/>
        <v>75000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187500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43466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43466</v>
      </c>
      <c r="D42" s="35" t="s">
        <v>8</v>
      </c>
      <c r="E42" s="35" t="s">
        <v>664</v>
      </c>
      <c r="F42" s="127">
        <v>5</v>
      </c>
      <c r="G42" s="127">
        <v>7.1</v>
      </c>
      <c r="H42" s="34">
        <v>43467</v>
      </c>
      <c r="I42" s="36">
        <v>4800</v>
      </c>
      <c r="J42" s="129">
        <v>2.1</v>
      </c>
      <c r="K42" s="41">
        <f>J42*I42</f>
        <v>10080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43468</v>
      </c>
      <c r="D43" s="121" t="s">
        <v>8</v>
      </c>
      <c r="E43" s="121" t="s">
        <v>666</v>
      </c>
      <c r="F43" s="128">
        <v>4.8</v>
      </c>
      <c r="G43" s="128">
        <v>6.8</v>
      </c>
      <c r="H43" s="120">
        <v>43468</v>
      </c>
      <c r="I43" s="122">
        <v>8000</v>
      </c>
      <c r="J43" s="133">
        <v>2</v>
      </c>
      <c r="K43" s="41">
        <f t="shared" ref="K43:K49" si="12">J43*I43</f>
        <v>16000</v>
      </c>
      <c r="L43" s="124" t="s">
        <v>642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43482</v>
      </c>
      <c r="D44" s="40" t="s">
        <v>8</v>
      </c>
      <c r="E44" s="40" t="s">
        <v>667</v>
      </c>
      <c r="F44" s="126">
        <v>9</v>
      </c>
      <c r="G44" s="126">
        <v>13</v>
      </c>
      <c r="H44" s="39">
        <v>43483</v>
      </c>
      <c r="I44" s="41">
        <v>3500</v>
      </c>
      <c r="J44" s="130">
        <v>4</v>
      </c>
      <c r="K44" s="41">
        <f t="shared" si="12"/>
        <v>14000</v>
      </c>
      <c r="L44" s="42" t="s">
        <v>642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43487</v>
      </c>
      <c r="D45" s="40" t="s">
        <v>8</v>
      </c>
      <c r="E45" s="40" t="s">
        <v>668</v>
      </c>
      <c r="F45" s="126">
        <v>22</v>
      </c>
      <c r="G45" s="126">
        <v>29</v>
      </c>
      <c r="H45" s="39">
        <v>43487</v>
      </c>
      <c r="I45" s="41">
        <v>1000</v>
      </c>
      <c r="J45" s="130">
        <v>7</v>
      </c>
      <c r="K45" s="41">
        <f t="shared" si="12"/>
        <v>7000</v>
      </c>
      <c r="L45" s="42" t="s">
        <v>646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47080</v>
      </c>
      <c r="L52" s="86"/>
      <c r="M52" s="32"/>
      <c r="X52" s="29">
        <f>SUM(X42:X51)</f>
        <v>4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4600-000000000000}"/>
    <hyperlink ref="O1" location="'Home Page'!A1" display="Back" xr:uid="{00000000-0004-0000-4600-000001000000}"/>
    <hyperlink ref="B34" r:id="rId2" xr:uid="{00000000-0004-0000-4600-000002000000}"/>
    <hyperlink ref="B52" r:id="rId3" xr:uid="{00000000-0004-0000-4600-000003000000}"/>
  </hyperlinks>
  <pageMargins left="0" right="0" top="0" bottom="0" header="0" footer="0"/>
  <pageSetup paperSize="9" orientation="portrait" r:id="rId4"/>
  <drawing r:id="rId5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2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43497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1</v>
      </c>
      <c r="R4" s="208">
        <f>Y16</f>
        <v>1</v>
      </c>
      <c r="S4" s="209">
        <f>P4-Q4-R4</f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43507</v>
      </c>
      <c r="D6" s="35" t="s">
        <v>13</v>
      </c>
      <c r="E6" s="35" t="s">
        <v>67</v>
      </c>
      <c r="F6" s="126">
        <v>1266</v>
      </c>
      <c r="G6" s="127">
        <v>1226</v>
      </c>
      <c r="H6" s="34">
        <v>43510</v>
      </c>
      <c r="I6" s="36">
        <v>1000</v>
      </c>
      <c r="J6" s="129">
        <v>40</v>
      </c>
      <c r="K6" s="41">
        <f>J6*I6</f>
        <v>40000</v>
      </c>
      <c r="L6" s="37" t="s">
        <v>655</v>
      </c>
      <c r="M6" s="32"/>
      <c r="O6" s="198" t="s">
        <v>599</v>
      </c>
      <c r="P6" s="199">
        <f>COUNT(C24:C33)</f>
        <v>5</v>
      </c>
      <c r="Q6" s="200">
        <f>X34</f>
        <v>4</v>
      </c>
      <c r="R6" s="200">
        <f>Y34</f>
        <v>1</v>
      </c>
      <c r="S6" s="201">
        <v>0</v>
      </c>
      <c r="T6" s="197">
        <f t="shared" ref="T6" si="0">Q6/P6</f>
        <v>0.8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43522</v>
      </c>
      <c r="D7" s="40" t="s">
        <v>13</v>
      </c>
      <c r="E7" s="40" t="s">
        <v>67</v>
      </c>
      <c r="F7" s="126">
        <v>1225</v>
      </c>
      <c r="G7" s="126">
        <v>1245</v>
      </c>
      <c r="H7" s="39">
        <v>43522</v>
      </c>
      <c r="I7" s="41">
        <v>1000</v>
      </c>
      <c r="J7" s="130">
        <v>-20</v>
      </c>
      <c r="K7" s="41">
        <f t="shared" ref="K7:K10" si="1">J7*I7</f>
        <v>-20000</v>
      </c>
      <c r="L7" s="42" t="s">
        <v>197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3</v>
      </c>
      <c r="Q8" s="200">
        <f>X52</f>
        <v>3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10</v>
      </c>
      <c r="Q10" s="173">
        <f>SUM(Q4:Q9)</f>
        <v>8</v>
      </c>
      <c r="R10" s="173">
        <f>SUM(R4:R9)</f>
        <v>2</v>
      </c>
      <c r="S10" s="193">
        <f>SUM(S4:S9)</f>
        <v>0</v>
      </c>
      <c r="T10" s="195">
        <f t="shared" si="5"/>
        <v>0.8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20000</v>
      </c>
      <c r="L16" s="86"/>
      <c r="M16" s="32"/>
      <c r="X16" s="29">
        <f>SUM(X6:X15)</f>
        <v>1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43497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43500</v>
      </c>
      <c r="D24" s="40" t="s">
        <v>13</v>
      </c>
      <c r="E24" s="35" t="s">
        <v>176</v>
      </c>
      <c r="F24" s="36">
        <v>10950</v>
      </c>
      <c r="G24" s="36">
        <v>11050</v>
      </c>
      <c r="H24" s="39">
        <v>43501</v>
      </c>
      <c r="I24" s="36">
        <v>375</v>
      </c>
      <c r="J24" s="41">
        <v>-100</v>
      </c>
      <c r="K24" s="41">
        <f>J24*I24</f>
        <v>-37500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43507</v>
      </c>
      <c r="D25" s="40" t="s">
        <v>13</v>
      </c>
      <c r="E25" s="40" t="s">
        <v>176</v>
      </c>
      <c r="F25" s="41">
        <v>10950</v>
      </c>
      <c r="G25" s="41">
        <v>10750</v>
      </c>
      <c r="H25" s="39">
        <v>43510</v>
      </c>
      <c r="I25" s="41">
        <v>375</v>
      </c>
      <c r="J25" s="115">
        <v>200</v>
      </c>
      <c r="K25" s="41">
        <f t="shared" ref="K25:K29" si="8">J25*I25</f>
        <v>75000</v>
      </c>
      <c r="L25" s="42" t="s">
        <v>655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43508</v>
      </c>
      <c r="D26" s="40" t="s">
        <v>13</v>
      </c>
      <c r="E26" s="40" t="s">
        <v>176</v>
      </c>
      <c r="F26" s="41">
        <v>10700</v>
      </c>
      <c r="G26" s="41">
        <v>10630</v>
      </c>
      <c r="H26" s="39">
        <v>43515</v>
      </c>
      <c r="I26" s="41">
        <v>375</v>
      </c>
      <c r="J26" s="85">
        <v>70</v>
      </c>
      <c r="K26" s="41">
        <f t="shared" si="8"/>
        <v>26250</v>
      </c>
      <c r="L26" s="42" t="s">
        <v>262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43517</v>
      </c>
      <c r="D27" s="40" t="s">
        <v>13</v>
      </c>
      <c r="E27" s="40" t="s">
        <v>176</v>
      </c>
      <c r="F27" s="41">
        <v>10800</v>
      </c>
      <c r="G27" s="41">
        <v>10730</v>
      </c>
      <c r="H27" s="39">
        <v>43522</v>
      </c>
      <c r="I27" s="41">
        <v>375</v>
      </c>
      <c r="J27" s="85">
        <v>70</v>
      </c>
      <c r="K27" s="41">
        <f t="shared" si="8"/>
        <v>26250</v>
      </c>
      <c r="L27" s="42" t="s">
        <v>262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43522</v>
      </c>
      <c r="D28" s="40" t="s">
        <v>13</v>
      </c>
      <c r="E28" s="40" t="s">
        <v>176</v>
      </c>
      <c r="F28" s="41">
        <v>10870</v>
      </c>
      <c r="G28" s="41">
        <v>10750</v>
      </c>
      <c r="H28" s="39">
        <v>43523</v>
      </c>
      <c r="I28" s="41">
        <v>375</v>
      </c>
      <c r="J28" s="85">
        <v>120</v>
      </c>
      <c r="K28" s="41">
        <f t="shared" si="8"/>
        <v>45000</v>
      </c>
      <c r="L28" s="42" t="s">
        <v>651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135000</v>
      </c>
      <c r="L34" s="86"/>
      <c r="M34" s="32"/>
      <c r="X34" s="29">
        <f>SUM(X24:X33)</f>
        <v>4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43497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43507</v>
      </c>
      <c r="D42" s="35" t="s">
        <v>8</v>
      </c>
      <c r="E42" s="35" t="s">
        <v>670</v>
      </c>
      <c r="F42" s="127">
        <v>27</v>
      </c>
      <c r="G42" s="127">
        <v>47</v>
      </c>
      <c r="H42" s="34">
        <v>43510</v>
      </c>
      <c r="I42" s="36">
        <v>1000</v>
      </c>
      <c r="J42" s="129">
        <v>20</v>
      </c>
      <c r="K42" s="41">
        <f>J42*I42</f>
        <v>20000</v>
      </c>
      <c r="L42" s="37" t="s">
        <v>655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43517</v>
      </c>
      <c r="D43" s="121" t="s">
        <v>8</v>
      </c>
      <c r="E43" s="121" t="s">
        <v>668</v>
      </c>
      <c r="F43" s="128">
        <v>13</v>
      </c>
      <c r="G43" s="128">
        <v>22.5</v>
      </c>
      <c r="H43" s="120">
        <v>43518</v>
      </c>
      <c r="I43" s="122">
        <v>1000</v>
      </c>
      <c r="J43" s="133">
        <v>9.5</v>
      </c>
      <c r="K43" s="41">
        <f t="shared" ref="K43:K49" si="12">J43*I43</f>
        <v>9500</v>
      </c>
      <c r="L43" s="124" t="s">
        <v>651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43522</v>
      </c>
      <c r="D44" s="40" t="s">
        <v>8</v>
      </c>
      <c r="E44" s="40" t="s">
        <v>668</v>
      </c>
      <c r="F44" s="126">
        <v>20</v>
      </c>
      <c r="G44" s="126">
        <v>26</v>
      </c>
      <c r="H44" s="39">
        <v>43522</v>
      </c>
      <c r="I44" s="41">
        <v>1000</v>
      </c>
      <c r="J44" s="130">
        <v>6</v>
      </c>
      <c r="K44" s="41">
        <f t="shared" si="12"/>
        <v>6000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35500</v>
      </c>
      <c r="L52" s="86"/>
      <c r="M52" s="32"/>
      <c r="X52" s="29">
        <f>SUM(X42:X51)</f>
        <v>3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4700-000000000000}"/>
    <hyperlink ref="O1" location="'Home Page'!A1" display="Back" xr:uid="{00000000-0004-0000-4700-000001000000}"/>
    <hyperlink ref="B34" r:id="rId2" xr:uid="{00000000-0004-0000-4700-000002000000}"/>
    <hyperlink ref="B52" r:id="rId3" xr:uid="{00000000-0004-0000-4700-000003000000}"/>
  </hyperlinks>
  <pageMargins left="0" right="0" top="0" bottom="0" header="0" footer="0"/>
  <pageSetup paperSize="9" orientation="portrait" r:id="rId4"/>
  <drawing r:id="rId5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3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43525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0</v>
      </c>
      <c r="R4" s="208">
        <f>Y16</f>
        <v>2</v>
      </c>
      <c r="S4" s="209">
        <f>P4-Q4-R4</f>
        <v>0</v>
      </c>
      <c r="T4" s="195">
        <f>Q4/P4</f>
        <v>0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43530</v>
      </c>
      <c r="D6" s="35" t="s">
        <v>8</v>
      </c>
      <c r="E6" s="35" t="s">
        <v>67</v>
      </c>
      <c r="F6" s="126">
        <v>1270</v>
      </c>
      <c r="G6" s="127">
        <v>1290</v>
      </c>
      <c r="H6" s="34">
        <v>43530</v>
      </c>
      <c r="I6" s="36">
        <v>1000</v>
      </c>
      <c r="J6" s="129">
        <v>-20</v>
      </c>
      <c r="K6" s="41">
        <f>J6*I6</f>
        <v>-20000</v>
      </c>
      <c r="L6" s="37" t="s">
        <v>197</v>
      </c>
      <c r="M6" s="32"/>
      <c r="O6" s="198" t="s">
        <v>599</v>
      </c>
      <c r="P6" s="199">
        <f>COUNT(C24:C33)</f>
        <v>3</v>
      </c>
      <c r="Q6" s="200">
        <f>X34</f>
        <v>2</v>
      </c>
      <c r="R6" s="200">
        <f>Y34</f>
        <v>1</v>
      </c>
      <c r="S6" s="201">
        <v>0</v>
      </c>
      <c r="T6" s="197">
        <f t="shared" ref="T6" si="0">Q6/P6</f>
        <v>0.66666666666666663</v>
      </c>
      <c r="X6" s="29">
        <f>IF($K6&gt;0,1,0)</f>
        <v>0</v>
      </c>
      <c r="Y6" s="29">
        <f>IF($K6&lt;0,1,0)</f>
        <v>1</v>
      </c>
    </row>
    <row r="7" spans="1:25" x14ac:dyDescent="0.3">
      <c r="A7" s="31"/>
      <c r="B7" s="38">
        <f>B6+1</f>
        <v>2</v>
      </c>
      <c r="C7" s="39">
        <v>43542</v>
      </c>
      <c r="D7" s="40" t="s">
        <v>13</v>
      </c>
      <c r="E7" s="40" t="s">
        <v>11</v>
      </c>
      <c r="F7" s="126">
        <v>296</v>
      </c>
      <c r="G7" s="126">
        <v>305</v>
      </c>
      <c r="H7" s="39">
        <v>43543</v>
      </c>
      <c r="I7" s="41">
        <v>6000</v>
      </c>
      <c r="J7" s="130">
        <v>-7</v>
      </c>
      <c r="K7" s="41">
        <f t="shared" ref="K7:K10" si="1">J7*I7</f>
        <v>-42000</v>
      </c>
      <c r="L7" s="42" t="s">
        <v>197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3</v>
      </c>
      <c r="Q8" s="200">
        <f>X52</f>
        <v>2</v>
      </c>
      <c r="R8" s="200">
        <f>Y52</f>
        <v>1</v>
      </c>
      <c r="S8" s="201">
        <v>0</v>
      </c>
      <c r="T8" s="197">
        <f t="shared" ref="T8:T10" si="5">Q8/P8</f>
        <v>0.66666666666666663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4</v>
      </c>
      <c r="R10" s="173">
        <f>SUM(R4:R9)</f>
        <v>4</v>
      </c>
      <c r="S10" s="193">
        <f>SUM(S4:S9)</f>
        <v>0</v>
      </c>
      <c r="T10" s="195">
        <f t="shared" si="5"/>
        <v>0.5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-62000</v>
      </c>
      <c r="L16" s="86"/>
      <c r="M16" s="32"/>
      <c r="X16" s="29">
        <f>SUM(X6:X15)</f>
        <v>0</v>
      </c>
      <c r="Y16" s="29">
        <f>SUM(Y6:Y15)</f>
        <v>2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43525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43530</v>
      </c>
      <c r="D24" s="40" t="s">
        <v>13</v>
      </c>
      <c r="E24" s="35" t="s">
        <v>176</v>
      </c>
      <c r="F24" s="36">
        <v>11080</v>
      </c>
      <c r="G24" s="36">
        <v>11150</v>
      </c>
      <c r="H24" s="39">
        <v>43531</v>
      </c>
      <c r="I24" s="36">
        <v>375</v>
      </c>
      <c r="J24" s="41">
        <v>-70</v>
      </c>
      <c r="K24" s="41">
        <f>J24*I24</f>
        <v>-26250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43539</v>
      </c>
      <c r="D25" s="40" t="s">
        <v>13</v>
      </c>
      <c r="E25" s="40" t="s">
        <v>176</v>
      </c>
      <c r="F25" s="41">
        <v>11460</v>
      </c>
      <c r="G25" s="41">
        <v>11440</v>
      </c>
      <c r="H25" s="39">
        <v>43539</v>
      </c>
      <c r="I25" s="41">
        <v>375</v>
      </c>
      <c r="J25" s="115">
        <v>20</v>
      </c>
      <c r="K25" s="41">
        <f t="shared" ref="K25:K29" si="8">J25*I25</f>
        <v>7500</v>
      </c>
      <c r="L25" s="42" t="s">
        <v>641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43550</v>
      </c>
      <c r="D26" s="40" t="s">
        <v>8</v>
      </c>
      <c r="E26" s="40" t="s">
        <v>176</v>
      </c>
      <c r="F26" s="41">
        <v>11360</v>
      </c>
      <c r="G26" s="41">
        <v>11560</v>
      </c>
      <c r="H26" s="39">
        <v>43551</v>
      </c>
      <c r="I26" s="41">
        <v>375</v>
      </c>
      <c r="J26" s="85">
        <v>200</v>
      </c>
      <c r="K26" s="41">
        <f t="shared" si="8"/>
        <v>75000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56250</v>
      </c>
      <c r="L34" s="86"/>
      <c r="M34" s="32"/>
      <c r="X34" s="29">
        <f>SUM(X24:X33)</f>
        <v>2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43525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43530</v>
      </c>
      <c r="D42" s="35" t="s">
        <v>8</v>
      </c>
      <c r="E42" s="35" t="s">
        <v>671</v>
      </c>
      <c r="F42" s="127">
        <v>15</v>
      </c>
      <c r="G42" s="127">
        <v>21</v>
      </c>
      <c r="H42" s="34">
        <v>43550</v>
      </c>
      <c r="I42" s="36">
        <v>2400</v>
      </c>
      <c r="J42" s="129">
        <v>6</v>
      </c>
      <c r="K42" s="41">
        <f>J42*I42</f>
        <v>14400</v>
      </c>
      <c r="L42" s="37" t="s">
        <v>672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43539</v>
      </c>
      <c r="D43" s="121" t="s">
        <v>8</v>
      </c>
      <c r="E43" s="121" t="s">
        <v>673</v>
      </c>
      <c r="F43" s="128">
        <v>22</v>
      </c>
      <c r="G43" s="128">
        <v>12</v>
      </c>
      <c r="H43" s="120">
        <v>43542</v>
      </c>
      <c r="I43" s="122">
        <v>1000</v>
      </c>
      <c r="J43" s="133">
        <v>-8</v>
      </c>
      <c r="K43" s="41">
        <f t="shared" ref="K43:K49" si="12">J43*I43</f>
        <v>-8000</v>
      </c>
      <c r="L43" s="124" t="s">
        <v>197</v>
      </c>
      <c r="M43" s="32"/>
      <c r="X43" s="29">
        <f t="shared" si="10"/>
        <v>0</v>
      </c>
      <c r="Y43" s="29">
        <f t="shared" si="11"/>
        <v>1</v>
      </c>
    </row>
    <row r="44" spans="1:25" x14ac:dyDescent="0.3">
      <c r="A44" s="31"/>
      <c r="B44" s="38">
        <v>3</v>
      </c>
      <c r="C44" s="39">
        <v>43550</v>
      </c>
      <c r="D44" s="40" t="s">
        <v>8</v>
      </c>
      <c r="E44" s="40" t="s">
        <v>674</v>
      </c>
      <c r="F44" s="126">
        <v>8</v>
      </c>
      <c r="G44" s="126">
        <v>20</v>
      </c>
      <c r="H44" s="39">
        <v>43550</v>
      </c>
      <c r="I44" s="41">
        <v>2400</v>
      </c>
      <c r="J44" s="130">
        <v>12</v>
      </c>
      <c r="K44" s="41">
        <f t="shared" si="12"/>
        <v>28800</v>
      </c>
      <c r="L44" s="42" t="s">
        <v>647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35200</v>
      </c>
      <c r="L52" s="86"/>
      <c r="M52" s="32"/>
      <c r="X52" s="29">
        <f>SUM(X42:X51)</f>
        <v>2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4800-000000000000}"/>
    <hyperlink ref="O1" location="'Home Page'!A1" display="Back" xr:uid="{00000000-0004-0000-4800-000001000000}"/>
    <hyperlink ref="B34" r:id="rId2" xr:uid="{00000000-0004-0000-4800-000002000000}"/>
    <hyperlink ref="B52" r:id="rId3" xr:uid="{00000000-0004-0000-4800-000003000000}"/>
  </hyperlinks>
  <pageMargins left="0" right="0" top="0" bottom="0" header="0" footer="0"/>
  <pageSetup paperSize="9" orientation="portrait" r:id="rId4"/>
  <drawing r:id="rId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4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43556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1</v>
      </c>
      <c r="R4" s="208">
        <f>Y16</f>
        <v>1</v>
      </c>
      <c r="S4" s="209">
        <f>P4-Q4-R4</f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43559</v>
      </c>
      <c r="D6" s="35" t="s">
        <v>13</v>
      </c>
      <c r="E6" s="35" t="s">
        <v>676</v>
      </c>
      <c r="F6" s="126">
        <v>896</v>
      </c>
      <c r="G6" s="127">
        <v>920</v>
      </c>
      <c r="H6" s="34">
        <v>43560</v>
      </c>
      <c r="I6" s="36">
        <v>1000</v>
      </c>
      <c r="J6" s="129">
        <v>-24</v>
      </c>
      <c r="K6" s="41">
        <f>J6*I6</f>
        <v>-24000</v>
      </c>
      <c r="L6" s="37" t="s">
        <v>197</v>
      </c>
      <c r="M6" s="32"/>
      <c r="O6" s="198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0</v>
      </c>
      <c r="Y6" s="29">
        <f>IF($K6&lt;0,1,0)</f>
        <v>1</v>
      </c>
    </row>
    <row r="7" spans="1:25" x14ac:dyDescent="0.3">
      <c r="A7" s="31"/>
      <c r="B7" s="38">
        <f>B6+1</f>
        <v>2</v>
      </c>
      <c r="C7" s="39">
        <v>43581</v>
      </c>
      <c r="D7" s="40" t="s">
        <v>13</v>
      </c>
      <c r="E7" s="40" t="s">
        <v>61</v>
      </c>
      <c r="F7" s="126">
        <v>7350</v>
      </c>
      <c r="G7" s="126">
        <v>7150</v>
      </c>
      <c r="H7" s="39">
        <v>43578</v>
      </c>
      <c r="I7" s="41">
        <v>150</v>
      </c>
      <c r="J7" s="130">
        <v>200</v>
      </c>
      <c r="K7" s="41">
        <f t="shared" ref="K7:K10" si="1">J7*I7</f>
        <v>30000</v>
      </c>
      <c r="L7" s="42" t="s">
        <v>647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3</v>
      </c>
      <c r="Q8" s="200">
        <f>X52</f>
        <v>2</v>
      </c>
      <c r="R8" s="200">
        <f>Y52</f>
        <v>1</v>
      </c>
      <c r="S8" s="201">
        <v>0</v>
      </c>
      <c r="T8" s="197">
        <f t="shared" ref="T8:T10" si="5">Q8/P8</f>
        <v>0.66666666666666663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6</v>
      </c>
      <c r="R10" s="173">
        <f>SUM(R4:R9)</f>
        <v>2</v>
      </c>
      <c r="S10" s="193">
        <f>SUM(S4:S9)</f>
        <v>0</v>
      </c>
      <c r="T10" s="195">
        <f t="shared" si="5"/>
        <v>0.75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6000</v>
      </c>
      <c r="L16" s="86"/>
      <c r="M16" s="32"/>
      <c r="X16" s="29">
        <f>SUM(X6:X15)</f>
        <v>1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43556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43556</v>
      </c>
      <c r="D24" s="40" t="s">
        <v>13</v>
      </c>
      <c r="E24" s="35" t="s">
        <v>30</v>
      </c>
      <c r="F24" s="36">
        <v>11810</v>
      </c>
      <c r="G24" s="36">
        <v>11715</v>
      </c>
      <c r="H24" s="39">
        <v>43557</v>
      </c>
      <c r="I24" s="36">
        <v>375</v>
      </c>
      <c r="J24" s="41">
        <v>95</v>
      </c>
      <c r="K24" s="41">
        <f>J24*I24</f>
        <v>35625</v>
      </c>
      <c r="L24" s="37" t="s">
        <v>651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43559</v>
      </c>
      <c r="D25" s="40" t="s">
        <v>8</v>
      </c>
      <c r="E25" s="40" t="s">
        <v>30</v>
      </c>
      <c r="F25" s="41">
        <v>11700</v>
      </c>
      <c r="G25" s="41">
        <v>11760</v>
      </c>
      <c r="H25" s="39">
        <v>43560</v>
      </c>
      <c r="I25" s="41">
        <v>375</v>
      </c>
      <c r="J25" s="115">
        <v>60</v>
      </c>
      <c r="K25" s="41">
        <f t="shared" ref="K25:K29" si="8">J25*I25</f>
        <v>22500</v>
      </c>
      <c r="L25" s="42" t="s">
        <v>672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43565</v>
      </c>
      <c r="D26" s="40" t="s">
        <v>8</v>
      </c>
      <c r="E26" s="40" t="s">
        <v>30</v>
      </c>
      <c r="F26" s="41">
        <v>11640</v>
      </c>
      <c r="G26" s="41">
        <v>11710</v>
      </c>
      <c r="H26" s="39">
        <v>43567</v>
      </c>
      <c r="I26" s="41">
        <v>375</v>
      </c>
      <c r="J26" s="85">
        <v>70</v>
      </c>
      <c r="K26" s="41">
        <f t="shared" si="8"/>
        <v>26250</v>
      </c>
      <c r="L26" s="42" t="s">
        <v>672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84375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43556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43557</v>
      </c>
      <c r="D42" s="35" t="s">
        <v>8</v>
      </c>
      <c r="E42" s="35" t="s">
        <v>675</v>
      </c>
      <c r="F42" s="127">
        <v>18</v>
      </c>
      <c r="G42" s="127">
        <v>21.5</v>
      </c>
      <c r="H42" s="34">
        <v>43563</v>
      </c>
      <c r="I42" s="36">
        <v>2400</v>
      </c>
      <c r="J42" s="129">
        <v>3.5</v>
      </c>
      <c r="K42" s="41">
        <f>J42*I42</f>
        <v>8400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43565</v>
      </c>
      <c r="D43" s="121" t="s">
        <v>8</v>
      </c>
      <c r="E43" s="121" t="s">
        <v>677</v>
      </c>
      <c r="F43" s="128">
        <v>6.5</v>
      </c>
      <c r="G43" s="128">
        <v>8.6</v>
      </c>
      <c r="H43" s="120">
        <v>43566</v>
      </c>
      <c r="I43" s="122">
        <v>6000</v>
      </c>
      <c r="J43" s="133">
        <v>2.1</v>
      </c>
      <c r="K43" s="41">
        <f t="shared" ref="K43:K49" si="12">J43*I43</f>
        <v>12600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43577</v>
      </c>
      <c r="D44" s="40" t="s">
        <v>8</v>
      </c>
      <c r="E44" s="40" t="s">
        <v>678</v>
      </c>
      <c r="F44" s="126">
        <v>4.5</v>
      </c>
      <c r="G44" s="126">
        <v>2</v>
      </c>
      <c r="H44" s="39">
        <v>43577</v>
      </c>
      <c r="I44" s="41">
        <v>6000</v>
      </c>
      <c r="J44" s="130">
        <v>-2.5</v>
      </c>
      <c r="K44" s="41">
        <f t="shared" si="12"/>
        <v>-15000</v>
      </c>
      <c r="L44" s="42" t="s">
        <v>197</v>
      </c>
      <c r="M44" s="32"/>
      <c r="X44" s="29">
        <f t="shared" si="10"/>
        <v>0</v>
      </c>
      <c r="Y44" s="29">
        <f t="shared" si="11"/>
        <v>1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6000</v>
      </c>
      <c r="L52" s="86"/>
      <c r="M52" s="32"/>
      <c r="X52" s="29">
        <f>SUM(X42:X51)</f>
        <v>2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4900-000000000000}"/>
    <hyperlink ref="O1" location="'Home Page'!A1" display="Back" xr:uid="{00000000-0004-0000-4900-000001000000}"/>
    <hyperlink ref="B34" r:id="rId2" xr:uid="{00000000-0004-0000-4900-000002000000}"/>
    <hyperlink ref="B52" r:id="rId3" xr:uid="{00000000-0004-0000-4900-000003000000}"/>
  </hyperlinks>
  <pageMargins left="0" right="0" top="0" bottom="0" header="0" footer="0"/>
  <pageSetup paperSize="9" orientation="portrait" r:id="rId4"/>
  <drawing r:id="rId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5"/>
  <dimension ref="A1:Y53"/>
  <sheetViews>
    <sheetView topLeftCell="A16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43586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43587</v>
      </c>
      <c r="D6" s="35" t="s">
        <v>8</v>
      </c>
      <c r="E6" s="35" t="s">
        <v>679</v>
      </c>
      <c r="F6" s="126">
        <v>118</v>
      </c>
      <c r="G6" s="127">
        <v>120.5</v>
      </c>
      <c r="H6" s="34">
        <v>43588</v>
      </c>
      <c r="I6" s="36">
        <v>8000</v>
      </c>
      <c r="J6" s="129">
        <v>2.5</v>
      </c>
      <c r="K6" s="41">
        <f>J6*I6</f>
        <v>20000</v>
      </c>
      <c r="L6" s="37" t="s">
        <v>646</v>
      </c>
      <c r="M6" s="32"/>
      <c r="O6" s="198" t="s">
        <v>599</v>
      </c>
      <c r="P6" s="199">
        <f>COUNT(C24:C33)</f>
        <v>2</v>
      </c>
      <c r="Q6" s="200">
        <f>X34</f>
        <v>2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43592</v>
      </c>
      <c r="D7" s="40" t="s">
        <v>8</v>
      </c>
      <c r="E7" s="40" t="s">
        <v>61</v>
      </c>
      <c r="F7" s="126">
        <v>6750</v>
      </c>
      <c r="G7" s="126">
        <v>6825</v>
      </c>
      <c r="H7" s="39">
        <v>43592</v>
      </c>
      <c r="I7" s="41">
        <v>150</v>
      </c>
      <c r="J7" s="130">
        <v>75</v>
      </c>
      <c r="K7" s="41">
        <f t="shared" ref="K7:K10" si="1">J7*I7</f>
        <v>11250</v>
      </c>
      <c r="L7" s="42" t="s">
        <v>641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43612</v>
      </c>
      <c r="D8" s="40" t="s">
        <v>8</v>
      </c>
      <c r="E8" s="40" t="s">
        <v>682</v>
      </c>
      <c r="F8" s="128">
        <v>1662</v>
      </c>
      <c r="G8" s="126">
        <v>1705</v>
      </c>
      <c r="H8" s="39">
        <v>43613</v>
      </c>
      <c r="I8" s="41">
        <v>1200</v>
      </c>
      <c r="J8" s="130">
        <v>43</v>
      </c>
      <c r="K8" s="41">
        <f t="shared" si="1"/>
        <v>51600</v>
      </c>
      <c r="L8" s="42" t="s">
        <v>641</v>
      </c>
      <c r="M8" s="32"/>
      <c r="O8" s="198" t="s">
        <v>600</v>
      </c>
      <c r="P8" s="199">
        <f>COUNT(C42:C51)</f>
        <v>2</v>
      </c>
      <c r="Q8" s="200">
        <f>X52</f>
        <v>2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7</v>
      </c>
      <c r="Q10" s="173">
        <f>SUM(Q4:Q9)</f>
        <v>7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82850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43586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43595</v>
      </c>
      <c r="D24" s="40" t="s">
        <v>13</v>
      </c>
      <c r="E24" s="35" t="s">
        <v>30</v>
      </c>
      <c r="F24" s="36">
        <v>11370</v>
      </c>
      <c r="G24" s="36">
        <v>11170</v>
      </c>
      <c r="H24" s="39">
        <v>43598</v>
      </c>
      <c r="I24" s="36">
        <v>375</v>
      </c>
      <c r="J24" s="41">
        <v>200</v>
      </c>
      <c r="K24" s="41">
        <f>J24*I24</f>
        <v>75000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43607</v>
      </c>
      <c r="D25" s="40" t="s">
        <v>8</v>
      </c>
      <c r="E25" s="40" t="s">
        <v>30</v>
      </c>
      <c r="F25" s="41">
        <v>11760</v>
      </c>
      <c r="G25" s="41">
        <v>11950</v>
      </c>
      <c r="H25" s="39">
        <v>43608</v>
      </c>
      <c r="I25" s="41">
        <v>375</v>
      </c>
      <c r="J25" s="115">
        <v>190</v>
      </c>
      <c r="K25" s="41">
        <f t="shared" ref="K25:K29" si="8">J25*I25</f>
        <v>71250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146250</v>
      </c>
      <c r="L34" s="86"/>
      <c r="M34" s="32"/>
      <c r="X34" s="29">
        <f>SUM(X24:X33)</f>
        <v>2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43586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43591</v>
      </c>
      <c r="D42" s="35" t="s">
        <v>8</v>
      </c>
      <c r="E42" s="35" t="s">
        <v>680</v>
      </c>
      <c r="F42" s="127">
        <v>17</v>
      </c>
      <c r="G42" s="127">
        <v>20</v>
      </c>
      <c r="H42" s="34">
        <v>43592</v>
      </c>
      <c r="I42" s="36">
        <v>2750</v>
      </c>
      <c r="J42" s="129">
        <v>3</v>
      </c>
      <c r="K42" s="41">
        <f>J42*I42</f>
        <v>8250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43612</v>
      </c>
      <c r="D43" s="121" t="s">
        <v>8</v>
      </c>
      <c r="E43" s="121" t="s">
        <v>681</v>
      </c>
      <c r="F43" s="128">
        <v>27</v>
      </c>
      <c r="G43" s="128">
        <v>47</v>
      </c>
      <c r="H43" s="120">
        <v>43612</v>
      </c>
      <c r="I43" s="122">
        <v>750</v>
      </c>
      <c r="J43" s="133">
        <v>20</v>
      </c>
      <c r="K43" s="41">
        <f t="shared" ref="K43:K49" si="12">J43*I43</f>
        <v>15000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23250</v>
      </c>
      <c r="L52" s="86"/>
      <c r="M52" s="32"/>
      <c r="X52" s="29">
        <f>SUM(X42:X51)</f>
        <v>2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4A00-000000000000}"/>
    <hyperlink ref="O1" location="'Home Page'!A1" display="Back" xr:uid="{00000000-0004-0000-4A00-000001000000}"/>
    <hyperlink ref="B34" r:id="rId2" xr:uid="{00000000-0004-0000-4A00-000002000000}"/>
    <hyperlink ref="B52" r:id="rId3" xr:uid="{00000000-0004-0000-4A00-000003000000}"/>
  </hyperlinks>
  <pageMargins left="0" right="0" top="0" bottom="0" header="0" footer="0"/>
  <pageSetup paperSize="9" orientation="portrait" r:id="rId4"/>
  <drawing r:id="rId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6"/>
  <dimension ref="A1:Y53"/>
  <sheetViews>
    <sheetView workbookViewId="0">
      <selection activeCell="O1" sqref="O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43617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1</v>
      </c>
      <c r="R4" s="208">
        <f>Y16</f>
        <v>1</v>
      </c>
      <c r="S4" s="209">
        <f>P4-Q4-R4</f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43626</v>
      </c>
      <c r="D6" s="35" t="s">
        <v>8</v>
      </c>
      <c r="E6" s="35" t="s">
        <v>449</v>
      </c>
      <c r="F6" s="126">
        <v>815</v>
      </c>
      <c r="G6" s="127">
        <v>825</v>
      </c>
      <c r="H6" s="34">
        <v>43629</v>
      </c>
      <c r="I6" s="36">
        <v>2400</v>
      </c>
      <c r="J6" s="129">
        <v>10</v>
      </c>
      <c r="K6" s="41">
        <f>J6*I6</f>
        <v>24000</v>
      </c>
      <c r="L6" s="37" t="s">
        <v>683</v>
      </c>
      <c r="M6" s="32"/>
      <c r="O6" s="198" t="s">
        <v>599</v>
      </c>
      <c r="P6" s="199">
        <f>COUNT(C24:C33)</f>
        <v>2</v>
      </c>
      <c r="Q6" s="200">
        <f>X34</f>
        <v>1</v>
      </c>
      <c r="R6" s="200">
        <f>Y34</f>
        <v>1</v>
      </c>
      <c r="S6" s="201">
        <v>0</v>
      </c>
      <c r="T6" s="197">
        <f t="shared" ref="T6" si="0">Q6/P6</f>
        <v>0.5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43637</v>
      </c>
      <c r="D7" s="40" t="s">
        <v>13</v>
      </c>
      <c r="E7" s="40" t="s">
        <v>688</v>
      </c>
      <c r="F7" s="126">
        <v>109</v>
      </c>
      <c r="G7" s="126">
        <v>115</v>
      </c>
      <c r="H7" s="39">
        <v>43640</v>
      </c>
      <c r="I7" s="41">
        <v>4400</v>
      </c>
      <c r="J7" s="130">
        <v>-6</v>
      </c>
      <c r="K7" s="41">
        <f t="shared" ref="K7:K10" si="1">J7*I7</f>
        <v>-26400</v>
      </c>
      <c r="L7" s="42" t="s">
        <v>197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4</v>
      </c>
      <c r="Q8" s="200">
        <f>X52</f>
        <v>3</v>
      </c>
      <c r="R8" s="200">
        <f>Y52</f>
        <v>1</v>
      </c>
      <c r="S8" s="201">
        <v>0</v>
      </c>
      <c r="T8" s="197">
        <f t="shared" ref="T8:T10" si="5">Q8/P8</f>
        <v>0.75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5</v>
      </c>
      <c r="R10" s="173">
        <f>SUM(R4:R9)</f>
        <v>3</v>
      </c>
      <c r="S10" s="193">
        <f>SUM(S4:S9)</f>
        <v>0</v>
      </c>
      <c r="T10" s="195">
        <f t="shared" si="5"/>
        <v>0.625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0.625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-2400</v>
      </c>
      <c r="L16" s="86"/>
      <c r="M16" s="32"/>
      <c r="X16" s="29">
        <f>SUM(X6:X15)</f>
        <v>1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43617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43619</v>
      </c>
      <c r="D24" s="40" t="s">
        <v>13</v>
      </c>
      <c r="E24" s="35" t="s">
        <v>30</v>
      </c>
      <c r="F24" s="36">
        <v>12020</v>
      </c>
      <c r="G24" s="36">
        <v>12100</v>
      </c>
      <c r="H24" s="39">
        <v>43619</v>
      </c>
      <c r="I24" s="36">
        <v>375</v>
      </c>
      <c r="J24" s="41">
        <v>-80</v>
      </c>
      <c r="K24" s="41">
        <f>J24*I24</f>
        <v>-30000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43623</v>
      </c>
      <c r="D25" s="40" t="s">
        <v>13</v>
      </c>
      <c r="E25" s="40" t="s">
        <v>30</v>
      </c>
      <c r="F25" s="41">
        <v>11880</v>
      </c>
      <c r="G25" s="41">
        <v>11830</v>
      </c>
      <c r="H25" s="39">
        <v>43623</v>
      </c>
      <c r="I25" s="41">
        <v>375</v>
      </c>
      <c r="J25" s="115">
        <v>50</v>
      </c>
      <c r="K25" s="41">
        <f t="shared" ref="K25:K29" si="8">J25*I25</f>
        <v>18750</v>
      </c>
      <c r="L25" s="42" t="s">
        <v>641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-11250</v>
      </c>
      <c r="L34" s="86"/>
      <c r="M34" s="32"/>
      <c r="X34" s="29">
        <f>SUM(X24:X33)</f>
        <v>1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43617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43619</v>
      </c>
      <c r="D42" s="35" t="s">
        <v>8</v>
      </c>
      <c r="E42" s="35" t="s">
        <v>544</v>
      </c>
      <c r="F42" s="127">
        <v>32</v>
      </c>
      <c r="G42" s="127">
        <v>52</v>
      </c>
      <c r="H42" s="34">
        <v>43620</v>
      </c>
      <c r="I42" s="36">
        <v>1000</v>
      </c>
      <c r="J42" s="129">
        <v>20</v>
      </c>
      <c r="K42" s="41">
        <f>J42*I42</f>
        <v>20000</v>
      </c>
      <c r="L42" s="37" t="s">
        <v>655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43628</v>
      </c>
      <c r="D43" s="121" t="s">
        <v>8</v>
      </c>
      <c r="E43" s="121" t="s">
        <v>684</v>
      </c>
      <c r="F43" s="128">
        <v>12</v>
      </c>
      <c r="G43" s="128">
        <v>15</v>
      </c>
      <c r="H43" s="120">
        <v>43629</v>
      </c>
      <c r="I43" s="122">
        <v>1100</v>
      </c>
      <c r="J43" s="133">
        <v>3</v>
      </c>
      <c r="K43" s="41">
        <f t="shared" ref="K43:K49" si="12">J43*I43</f>
        <v>3300</v>
      </c>
      <c r="L43" s="124" t="s">
        <v>641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43634</v>
      </c>
      <c r="D44" s="40" t="s">
        <v>8</v>
      </c>
      <c r="E44" s="40" t="s">
        <v>685</v>
      </c>
      <c r="F44" s="126">
        <v>95</v>
      </c>
      <c r="G44" s="126">
        <v>55</v>
      </c>
      <c r="H44" s="39">
        <v>43634</v>
      </c>
      <c r="I44" s="41">
        <v>150</v>
      </c>
      <c r="J44" s="130">
        <v>-40</v>
      </c>
      <c r="K44" s="41">
        <f t="shared" si="12"/>
        <v>-6000</v>
      </c>
      <c r="L44" s="42" t="s">
        <v>197</v>
      </c>
      <c r="M44" s="32"/>
      <c r="X44" s="29">
        <f t="shared" si="10"/>
        <v>0</v>
      </c>
      <c r="Y44" s="29">
        <f t="shared" si="11"/>
        <v>1</v>
      </c>
    </row>
    <row r="45" spans="1:25" x14ac:dyDescent="0.3">
      <c r="A45" s="31"/>
      <c r="B45" s="38">
        <f t="shared" ref="B45:B51" si="13">B44+1</f>
        <v>4</v>
      </c>
      <c r="C45" s="39">
        <v>43637</v>
      </c>
      <c r="D45" s="40" t="s">
        <v>8</v>
      </c>
      <c r="E45" s="40" t="s">
        <v>686</v>
      </c>
      <c r="F45" s="126">
        <v>9</v>
      </c>
      <c r="G45" s="126">
        <v>14</v>
      </c>
      <c r="H45" s="39">
        <v>43641</v>
      </c>
      <c r="I45" s="41">
        <v>1400</v>
      </c>
      <c r="J45" s="130">
        <v>5</v>
      </c>
      <c r="K45" s="41">
        <f t="shared" si="12"/>
        <v>7000</v>
      </c>
      <c r="L45" s="42" t="s">
        <v>687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24300</v>
      </c>
      <c r="L52" s="86"/>
      <c r="M52" s="32"/>
      <c r="X52" s="29">
        <f>SUM(X42:X51)</f>
        <v>3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4B00-000000000000}"/>
    <hyperlink ref="O1" location="'Home Page'!A1" display="Back" xr:uid="{00000000-0004-0000-4B00-000001000000}"/>
    <hyperlink ref="B34" r:id="rId2" xr:uid="{00000000-0004-0000-4B00-000002000000}"/>
    <hyperlink ref="B52" r:id="rId3" xr:uid="{00000000-0004-0000-4B00-000003000000}"/>
  </hyperlinks>
  <pageMargins left="0" right="0" top="0" bottom="0" header="0" footer="0"/>
  <pageSetup paperSize="9" orientation="portrait" r:id="rId4"/>
  <drawing r:id="rId5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7"/>
  <dimension ref="A1:Y53"/>
  <sheetViews>
    <sheetView workbookViewId="0">
      <selection activeCell="O1" sqref="O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43647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1</v>
      </c>
      <c r="R4" s="208">
        <f>Y16</f>
        <v>1</v>
      </c>
      <c r="S4" s="209">
        <f>P4-Q4-R4</f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43651</v>
      </c>
      <c r="D6" s="35" t="s">
        <v>8</v>
      </c>
      <c r="E6" s="35" t="s">
        <v>449</v>
      </c>
      <c r="F6" s="126">
        <v>810</v>
      </c>
      <c r="G6" s="127">
        <v>795</v>
      </c>
      <c r="H6" s="34">
        <v>43654</v>
      </c>
      <c r="I6" s="36">
        <v>2400</v>
      </c>
      <c r="J6" s="129">
        <v>-15</v>
      </c>
      <c r="K6" s="41">
        <f>J6*I6</f>
        <v>-36000</v>
      </c>
      <c r="L6" s="37" t="s">
        <v>197</v>
      </c>
      <c r="M6" s="32"/>
      <c r="O6" s="198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0</v>
      </c>
      <c r="Y6" s="29">
        <f>IF($K6&lt;0,1,0)</f>
        <v>1</v>
      </c>
    </row>
    <row r="7" spans="1:25" x14ac:dyDescent="0.3">
      <c r="A7" s="31"/>
      <c r="B7" s="38">
        <f>B6+1</f>
        <v>2</v>
      </c>
      <c r="C7" s="39">
        <v>43668</v>
      </c>
      <c r="D7" s="40" t="s">
        <v>8</v>
      </c>
      <c r="E7" s="40" t="s">
        <v>449</v>
      </c>
      <c r="F7" s="126">
        <v>728</v>
      </c>
      <c r="G7" s="126">
        <v>740</v>
      </c>
      <c r="H7" s="39">
        <v>43669</v>
      </c>
      <c r="I7" s="41">
        <v>2400</v>
      </c>
      <c r="J7" s="130">
        <v>12</v>
      </c>
      <c r="K7" s="41">
        <f t="shared" ref="K7:K10" si="1">J7*I7</f>
        <v>28800</v>
      </c>
      <c r="L7" s="42" t="s">
        <v>646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3</v>
      </c>
      <c r="Q8" s="200">
        <f>X52</f>
        <v>3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7</v>
      </c>
      <c r="R10" s="173">
        <f>SUM(R4:R9)</f>
        <v>1</v>
      </c>
      <c r="S10" s="193">
        <f>SUM(S4:S9)</f>
        <v>0</v>
      </c>
      <c r="T10" s="195">
        <f t="shared" si="5"/>
        <v>0.875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0.875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-7200</v>
      </c>
      <c r="L16" s="86"/>
      <c r="M16" s="32"/>
      <c r="X16" s="29">
        <f>SUM(X6:X15)</f>
        <v>1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43647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43656</v>
      </c>
      <c r="D24" s="40" t="s">
        <v>8</v>
      </c>
      <c r="E24" s="35" t="s">
        <v>30</v>
      </c>
      <c r="F24" s="36">
        <v>11500</v>
      </c>
      <c r="G24" s="36">
        <v>11600</v>
      </c>
      <c r="H24" s="39">
        <v>43657</v>
      </c>
      <c r="I24" s="36">
        <v>375</v>
      </c>
      <c r="J24" s="41">
        <v>100</v>
      </c>
      <c r="K24" s="41">
        <f>J24*I24</f>
        <v>37500</v>
      </c>
      <c r="L24" s="37" t="s">
        <v>651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43668</v>
      </c>
      <c r="D25" s="40" t="s">
        <v>8</v>
      </c>
      <c r="E25" s="40" t="s">
        <v>30</v>
      </c>
      <c r="F25" s="41">
        <v>11350</v>
      </c>
      <c r="G25" s="41">
        <v>11400</v>
      </c>
      <c r="H25" s="39">
        <v>43669</v>
      </c>
      <c r="I25" s="41">
        <v>375</v>
      </c>
      <c r="J25" s="115">
        <v>50</v>
      </c>
      <c r="K25" s="41">
        <f t="shared" ref="K25:K29" si="8">J25*I25</f>
        <v>18750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43672</v>
      </c>
      <c r="D26" s="40" t="s">
        <v>13</v>
      </c>
      <c r="E26" s="40" t="s">
        <v>30</v>
      </c>
      <c r="F26" s="41">
        <v>11350</v>
      </c>
      <c r="G26" s="41">
        <v>11200</v>
      </c>
      <c r="H26" s="39">
        <v>43672</v>
      </c>
      <c r="I26" s="41">
        <v>375</v>
      </c>
      <c r="J26" s="85">
        <v>150</v>
      </c>
      <c r="K26" s="41">
        <f t="shared" si="8"/>
        <v>56250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112500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43647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43648</v>
      </c>
      <c r="D42" s="35" t="s">
        <v>8</v>
      </c>
      <c r="E42" s="35" t="s">
        <v>689</v>
      </c>
      <c r="F42" s="127">
        <v>27</v>
      </c>
      <c r="G42" s="127">
        <v>47</v>
      </c>
      <c r="H42" s="34">
        <v>43649</v>
      </c>
      <c r="I42" s="36">
        <v>1600</v>
      </c>
      <c r="J42" s="129">
        <v>20</v>
      </c>
      <c r="K42" s="41">
        <f>J42*I42</f>
        <v>32000</v>
      </c>
      <c r="L42" s="37" t="s">
        <v>690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43651</v>
      </c>
      <c r="D43" s="121" t="s">
        <v>8</v>
      </c>
      <c r="E43" s="121" t="s">
        <v>691</v>
      </c>
      <c r="F43" s="128">
        <v>7</v>
      </c>
      <c r="G43" s="128">
        <v>9.5</v>
      </c>
      <c r="H43" s="120">
        <v>43652</v>
      </c>
      <c r="I43" s="122">
        <v>4000</v>
      </c>
      <c r="J43" s="133">
        <v>2.5</v>
      </c>
      <c r="K43" s="41">
        <f t="shared" ref="K43:K49" si="12">J43*I43</f>
        <v>10000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43668</v>
      </c>
      <c r="D44" s="40" t="s">
        <v>8</v>
      </c>
      <c r="E44" s="40" t="s">
        <v>692</v>
      </c>
      <c r="F44" s="126">
        <v>3</v>
      </c>
      <c r="G44" s="126">
        <v>5</v>
      </c>
      <c r="H44" s="39">
        <v>43669</v>
      </c>
      <c r="I44" s="41">
        <v>4000</v>
      </c>
      <c r="J44" s="130">
        <v>2</v>
      </c>
      <c r="K44" s="41">
        <f t="shared" si="12"/>
        <v>8000</v>
      </c>
      <c r="L44" s="42" t="s">
        <v>642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50000</v>
      </c>
      <c r="L52" s="86"/>
      <c r="M52" s="32"/>
      <c r="X52" s="29">
        <f>SUM(X42:X51)</f>
        <v>3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4C00-000000000000}"/>
    <hyperlink ref="O1" location="'Home Page'!A1" display="Back" xr:uid="{00000000-0004-0000-4C00-000001000000}"/>
    <hyperlink ref="B34" r:id="rId2" xr:uid="{00000000-0004-0000-4C00-000002000000}"/>
    <hyperlink ref="B52" r:id="rId3" xr:uid="{00000000-0004-0000-4C00-000003000000}"/>
  </hyperlinks>
  <pageMargins left="0" right="0" top="0" bottom="0" header="0" footer="0"/>
  <pageSetup paperSize="9" orientation="portrait" r:id="rId4"/>
  <drawing r:id="rId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8"/>
  <dimension ref="A1:Y53"/>
  <sheetViews>
    <sheetView workbookViewId="0">
      <selection activeCell="O1" sqref="O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43678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1</v>
      </c>
      <c r="Q4" s="208">
        <f>X16</f>
        <v>1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43683</v>
      </c>
      <c r="D6" s="35" t="s">
        <v>13</v>
      </c>
      <c r="E6" s="35" t="s">
        <v>449</v>
      </c>
      <c r="F6" s="126">
        <v>683</v>
      </c>
      <c r="G6" s="127">
        <v>660</v>
      </c>
      <c r="H6" s="34">
        <v>43684</v>
      </c>
      <c r="I6" s="36">
        <v>2400</v>
      </c>
      <c r="J6" s="129">
        <v>23</v>
      </c>
      <c r="K6" s="41">
        <f>J6*I6</f>
        <v>55200</v>
      </c>
      <c r="L6" s="37" t="s">
        <v>647</v>
      </c>
      <c r="M6" s="32"/>
      <c r="O6" s="198" t="s">
        <v>599</v>
      </c>
      <c r="P6" s="199">
        <f>COUNT(C24:C33)</f>
        <v>2</v>
      </c>
      <c r="Q6" s="200">
        <f>X34</f>
        <v>1</v>
      </c>
      <c r="R6" s="200">
        <f>Y34</f>
        <v>1</v>
      </c>
      <c r="S6" s="201">
        <v>0</v>
      </c>
      <c r="T6" s="197">
        <f t="shared" ref="T6" si="0">Q6/P6</f>
        <v>0.5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/>
      <c r="D7" s="40"/>
      <c r="E7" s="40"/>
      <c r="F7" s="126"/>
      <c r="G7" s="126"/>
      <c r="H7" s="39"/>
      <c r="I7" s="41"/>
      <c r="J7" s="130"/>
      <c r="K7" s="41">
        <f t="shared" ref="K7:K10" si="1">J7*I7</f>
        <v>0</v>
      </c>
      <c r="L7" s="42"/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1</v>
      </c>
      <c r="Q8" s="200">
        <f>X52</f>
        <v>1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4</v>
      </c>
      <c r="Q10" s="173">
        <f>SUM(Q4:Q9)</f>
        <v>3</v>
      </c>
      <c r="R10" s="173">
        <f>SUM(R4:R9)</f>
        <v>1</v>
      </c>
      <c r="S10" s="193">
        <f>SUM(S4:S9)</f>
        <v>0</v>
      </c>
      <c r="T10" s="195">
        <f t="shared" si="5"/>
        <v>0.75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55200</v>
      </c>
      <c r="L16" s="86"/>
      <c r="M16" s="32"/>
      <c r="X16" s="29">
        <f>SUM(X6:X15)</f>
        <v>1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43678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43683</v>
      </c>
      <c r="D24" s="40" t="s">
        <v>13</v>
      </c>
      <c r="E24" s="35" t="s">
        <v>30</v>
      </c>
      <c r="F24" s="36">
        <v>11000</v>
      </c>
      <c r="G24" s="36">
        <v>10870</v>
      </c>
      <c r="H24" s="39">
        <v>43684</v>
      </c>
      <c r="I24" s="36">
        <v>375</v>
      </c>
      <c r="J24" s="41">
        <v>130</v>
      </c>
      <c r="K24" s="41">
        <f>J24*I24</f>
        <v>48750</v>
      </c>
      <c r="L24" s="37" t="s">
        <v>651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43698</v>
      </c>
      <c r="D25" s="40" t="s">
        <v>8</v>
      </c>
      <c r="E25" s="40" t="s">
        <v>30</v>
      </c>
      <c r="F25" s="41">
        <v>10910</v>
      </c>
      <c r="G25" s="41">
        <v>10850</v>
      </c>
      <c r="H25" s="39">
        <v>43699</v>
      </c>
      <c r="I25" s="41">
        <v>375</v>
      </c>
      <c r="J25" s="115">
        <v>-60</v>
      </c>
      <c r="K25" s="41">
        <f t="shared" ref="K25:K29" si="8">J25*I25</f>
        <v>-22500</v>
      </c>
      <c r="L25" s="42" t="s">
        <v>197</v>
      </c>
      <c r="M25" s="32"/>
      <c r="X25" s="29">
        <f t="shared" si="6"/>
        <v>0</v>
      </c>
      <c r="Y25" s="29">
        <f t="shared" si="7"/>
        <v>1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26250</v>
      </c>
      <c r="L34" s="86"/>
      <c r="M34" s="32"/>
      <c r="X34" s="29">
        <f>SUM(X24:X33)</f>
        <v>1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43678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43697</v>
      </c>
      <c r="D42" s="35" t="s">
        <v>8</v>
      </c>
      <c r="E42" s="35" t="s">
        <v>520</v>
      </c>
      <c r="F42" s="127">
        <v>7.5</v>
      </c>
      <c r="G42" s="127">
        <v>9.6</v>
      </c>
      <c r="H42" s="34">
        <v>43698</v>
      </c>
      <c r="I42" s="36">
        <v>6000</v>
      </c>
      <c r="J42" s="129">
        <v>2</v>
      </c>
      <c r="K42" s="41">
        <f>J42*I42</f>
        <v>12000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/>
      <c r="D43" s="121"/>
      <c r="E43" s="121"/>
      <c r="F43" s="128"/>
      <c r="G43" s="128"/>
      <c r="H43" s="120"/>
      <c r="I43" s="122"/>
      <c r="J43" s="133"/>
      <c r="K43" s="41">
        <f t="shared" ref="K43:K49" si="12">J43*I43</f>
        <v>0</v>
      </c>
      <c r="L43" s="124"/>
      <c r="M43" s="32"/>
      <c r="X43" s="29">
        <f t="shared" si="10"/>
        <v>0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12000</v>
      </c>
      <c r="L52" s="86"/>
      <c r="M52" s="32"/>
      <c r="X52" s="29">
        <f>SUM(X42:X51)</f>
        <v>1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4D00-000000000000}"/>
    <hyperlink ref="O1" location="'Home Page'!A1" display="Back" xr:uid="{00000000-0004-0000-4D00-000001000000}"/>
    <hyperlink ref="B34" r:id="rId2" xr:uid="{00000000-0004-0000-4D00-000002000000}"/>
    <hyperlink ref="B52" r:id="rId3" xr:uid="{00000000-0004-0000-4D00-000003000000}"/>
  </hyperlinks>
  <pageMargins left="0" right="0" top="0" bottom="0" header="0" footer="0"/>
  <pageSetup paperSize="9" orientation="portrait" r:id="rId4"/>
  <drawing r:id="rId5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9"/>
  <dimension ref="A1:Y53"/>
  <sheetViews>
    <sheetView workbookViewId="0">
      <selection activeCell="O1" sqref="O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43709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1</v>
      </c>
      <c r="Q4" s="208">
        <f>X16</f>
        <v>1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43725</v>
      </c>
      <c r="D6" s="35" t="s">
        <v>13</v>
      </c>
      <c r="E6" s="35" t="s">
        <v>158</v>
      </c>
      <c r="F6" s="126">
        <v>2700</v>
      </c>
      <c r="G6" s="127">
        <v>2580</v>
      </c>
      <c r="H6" s="34">
        <v>43725</v>
      </c>
      <c r="I6" s="36">
        <v>400</v>
      </c>
      <c r="J6" s="129">
        <v>120</v>
      </c>
      <c r="K6" s="41">
        <f>J6*I6</f>
        <v>48000</v>
      </c>
      <c r="L6" s="37" t="s">
        <v>647</v>
      </c>
      <c r="M6" s="32"/>
      <c r="O6" s="198" t="s">
        <v>599</v>
      </c>
      <c r="P6" s="199">
        <f>COUNT(C24:C33)</f>
        <v>3</v>
      </c>
      <c r="Q6" s="200">
        <f>X34</f>
        <v>2</v>
      </c>
      <c r="R6" s="200">
        <f>Y34</f>
        <v>1</v>
      </c>
      <c r="S6" s="201">
        <v>0</v>
      </c>
      <c r="T6" s="197">
        <f t="shared" ref="T6" si="0">Q6/P6</f>
        <v>0.66666666666666663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/>
      <c r="D7" s="40"/>
      <c r="E7" s="40"/>
      <c r="F7" s="126"/>
      <c r="G7" s="126"/>
      <c r="H7" s="39"/>
      <c r="I7" s="41"/>
      <c r="J7" s="130"/>
      <c r="K7" s="41">
        <f t="shared" ref="K7:K10" si="1">J7*I7</f>
        <v>0</v>
      </c>
      <c r="L7" s="42"/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2</v>
      </c>
      <c r="Q8" s="200">
        <f>X52</f>
        <v>1</v>
      </c>
      <c r="R8" s="200">
        <f>Y52</f>
        <v>1</v>
      </c>
      <c r="S8" s="201">
        <v>0</v>
      </c>
      <c r="T8" s="197">
        <f t="shared" ref="T8:T10" si="5">Q8/P8</f>
        <v>0.5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6</v>
      </c>
      <c r="Q10" s="173">
        <f>SUM(Q4:Q9)</f>
        <v>4</v>
      </c>
      <c r="R10" s="173">
        <f>SUM(R4:R9)</f>
        <v>2</v>
      </c>
      <c r="S10" s="193">
        <f>SUM(S4:S9)</f>
        <v>0</v>
      </c>
      <c r="T10" s="195">
        <f t="shared" si="5"/>
        <v>0.66666666666666663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0.66666666666666663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48000</v>
      </c>
      <c r="L16" s="86"/>
      <c r="M16" s="32"/>
      <c r="X16" s="29">
        <f>SUM(X6:X15)</f>
        <v>1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43709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43712</v>
      </c>
      <c r="D24" s="40" t="s">
        <v>13</v>
      </c>
      <c r="E24" s="35" t="s">
        <v>30</v>
      </c>
      <c r="F24" s="36">
        <v>10880</v>
      </c>
      <c r="G24" s="36">
        <v>10950</v>
      </c>
      <c r="H24" s="39">
        <v>43713</v>
      </c>
      <c r="I24" s="36">
        <v>375</v>
      </c>
      <c r="J24" s="41">
        <v>-70</v>
      </c>
      <c r="K24" s="41">
        <f>J24*I24</f>
        <v>-26250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43725</v>
      </c>
      <c r="D25" s="40" t="s">
        <v>8</v>
      </c>
      <c r="E25" s="40" t="s">
        <v>30</v>
      </c>
      <c r="F25" s="41">
        <v>10810</v>
      </c>
      <c r="G25" s="41">
        <v>10890</v>
      </c>
      <c r="H25" s="39">
        <v>43726</v>
      </c>
      <c r="I25" s="41">
        <v>375</v>
      </c>
      <c r="J25" s="115">
        <v>80</v>
      </c>
      <c r="K25" s="41">
        <f t="shared" ref="K25:K29" si="8">J25*I25</f>
        <v>30000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43731</v>
      </c>
      <c r="D26" s="40" t="s">
        <v>13</v>
      </c>
      <c r="E26" s="40" t="s">
        <v>30</v>
      </c>
      <c r="F26" s="41">
        <v>11600</v>
      </c>
      <c r="G26" s="41">
        <v>11500</v>
      </c>
      <c r="H26" s="39">
        <v>43733</v>
      </c>
      <c r="I26" s="41">
        <v>375</v>
      </c>
      <c r="J26" s="85">
        <v>100</v>
      </c>
      <c r="K26" s="41">
        <f t="shared" si="8"/>
        <v>37500</v>
      </c>
      <c r="L26" s="42" t="s">
        <v>642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41250</v>
      </c>
      <c r="L34" s="86"/>
      <c r="M34" s="32"/>
      <c r="X34" s="29">
        <f>SUM(X24:X33)</f>
        <v>2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43709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43721</v>
      </c>
      <c r="D42" s="35" t="s">
        <v>8</v>
      </c>
      <c r="E42" s="35" t="s">
        <v>693</v>
      </c>
      <c r="F42" s="127">
        <v>55</v>
      </c>
      <c r="G42" s="127">
        <v>75</v>
      </c>
      <c r="H42" s="34">
        <v>43724</v>
      </c>
      <c r="I42" s="36">
        <v>302</v>
      </c>
      <c r="J42" s="129">
        <v>20</v>
      </c>
      <c r="K42" s="41">
        <f>J42*I42</f>
        <v>6040</v>
      </c>
      <c r="L42" s="37" t="s">
        <v>672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43725</v>
      </c>
      <c r="D43" s="121" t="s">
        <v>8</v>
      </c>
      <c r="E43" s="121" t="s">
        <v>694</v>
      </c>
      <c r="F43" s="128">
        <v>10</v>
      </c>
      <c r="G43" s="128">
        <v>5</v>
      </c>
      <c r="H43" s="120">
        <v>43725</v>
      </c>
      <c r="I43" s="122">
        <v>2122</v>
      </c>
      <c r="J43" s="133">
        <v>-5</v>
      </c>
      <c r="K43" s="41">
        <f t="shared" ref="K43:K49" si="12">J43*I43</f>
        <v>-10610</v>
      </c>
      <c r="L43" s="124" t="s">
        <v>197</v>
      </c>
      <c r="M43" s="32"/>
      <c r="X43" s="29">
        <f t="shared" si="10"/>
        <v>0</v>
      </c>
      <c r="Y43" s="29">
        <f t="shared" si="11"/>
        <v>1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-4570</v>
      </c>
      <c r="L52" s="86"/>
      <c r="M52" s="32"/>
      <c r="X52" s="29">
        <f>SUM(X42:X51)</f>
        <v>1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4E00-000000000000}"/>
    <hyperlink ref="O1" location="'Home Page'!A1" display="Back" xr:uid="{00000000-0004-0000-4E00-000001000000}"/>
    <hyperlink ref="B34" r:id="rId2" xr:uid="{00000000-0004-0000-4E00-000002000000}"/>
    <hyperlink ref="B52" r:id="rId3" xr:uid="{00000000-0004-0000-4E00-000003000000}"/>
  </hyperlinks>
  <pageMargins left="0" right="0" top="0" bottom="0" header="0" footer="0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32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3.554687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107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41551</v>
      </c>
      <c r="C5" s="8" t="s">
        <v>20</v>
      </c>
      <c r="D5" s="8" t="s">
        <v>14</v>
      </c>
      <c r="E5" s="8">
        <v>140</v>
      </c>
      <c r="F5" s="8">
        <v>150</v>
      </c>
      <c r="G5" s="8">
        <v>4000</v>
      </c>
      <c r="H5" s="8">
        <v>40000</v>
      </c>
    </row>
    <row r="6" spans="1:10" ht="25.8" x14ac:dyDescent="0.5">
      <c r="B6" s="7">
        <v>41555</v>
      </c>
      <c r="C6" s="8" t="s">
        <v>13</v>
      </c>
      <c r="D6" s="8" t="s">
        <v>9</v>
      </c>
      <c r="E6" s="8">
        <v>440</v>
      </c>
      <c r="F6" s="8">
        <v>420</v>
      </c>
      <c r="G6" s="8">
        <v>1000</v>
      </c>
      <c r="H6" s="8">
        <v>20000</v>
      </c>
    </row>
    <row r="7" spans="1:10" ht="25.8" x14ac:dyDescent="0.5">
      <c r="B7" s="7">
        <v>41561</v>
      </c>
      <c r="C7" s="8" t="s">
        <v>13</v>
      </c>
      <c r="D7" s="8" t="s">
        <v>106</v>
      </c>
      <c r="E7" s="8">
        <v>390</v>
      </c>
      <c r="F7" s="8">
        <v>380</v>
      </c>
      <c r="G7" s="8">
        <v>2000</v>
      </c>
      <c r="H7" s="8">
        <v>20000</v>
      </c>
    </row>
    <row r="8" spans="1:10" ht="25.8" x14ac:dyDescent="0.5">
      <c r="B8" s="7">
        <v>41564</v>
      </c>
      <c r="C8" s="8" t="s">
        <v>13</v>
      </c>
      <c r="D8" s="8" t="s">
        <v>106</v>
      </c>
      <c r="E8" s="8">
        <v>375</v>
      </c>
      <c r="F8" s="8">
        <v>385</v>
      </c>
      <c r="G8" s="8">
        <v>2000</v>
      </c>
      <c r="H8" s="8">
        <v>-20000</v>
      </c>
    </row>
    <row r="9" spans="1:10" ht="25.8" x14ac:dyDescent="0.5">
      <c r="B9" s="7">
        <v>41570</v>
      </c>
      <c r="C9" s="8" t="s">
        <v>8</v>
      </c>
      <c r="D9" s="8" t="s">
        <v>76</v>
      </c>
      <c r="E9" s="8">
        <v>240</v>
      </c>
      <c r="F9" s="8">
        <v>250</v>
      </c>
      <c r="G9" s="8">
        <v>2000</v>
      </c>
      <c r="H9" s="8">
        <v>20000</v>
      </c>
    </row>
    <row r="10" spans="1:10" ht="25.8" x14ac:dyDescent="0.5">
      <c r="B10" s="7"/>
      <c r="C10" s="8"/>
      <c r="D10" s="8"/>
      <c r="E10" s="8"/>
      <c r="F10" s="8"/>
      <c r="G10" s="8"/>
      <c r="H10" s="9">
        <v>80000</v>
      </c>
    </row>
    <row r="12" spans="1:10" ht="15" thickBot="1" x14ac:dyDescent="0.35"/>
    <row r="13" spans="1:10" ht="16.2" thickBot="1" x14ac:dyDescent="0.35">
      <c r="B13" s="158" t="s">
        <v>108</v>
      </c>
      <c r="C13" s="158"/>
      <c r="D13" s="158"/>
      <c r="E13" s="158"/>
      <c r="F13" s="158"/>
      <c r="G13" s="158"/>
      <c r="H13" s="158"/>
    </row>
    <row r="14" spans="1:10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31</v>
      </c>
    </row>
    <row r="15" spans="1:10" ht="25.8" x14ac:dyDescent="0.5">
      <c r="B15" s="7">
        <v>41550</v>
      </c>
      <c r="C15" s="8" t="s">
        <v>20</v>
      </c>
      <c r="D15" s="8" t="s">
        <v>30</v>
      </c>
      <c r="E15" s="8">
        <v>5900</v>
      </c>
      <c r="F15" s="8">
        <v>5980</v>
      </c>
      <c r="G15" s="8">
        <v>80</v>
      </c>
      <c r="H15" s="8">
        <v>40000</v>
      </c>
    </row>
    <row r="16" spans="1:10" ht="25.8" x14ac:dyDescent="0.5">
      <c r="B16" s="7">
        <v>41556</v>
      </c>
      <c r="C16" s="8" t="s">
        <v>8</v>
      </c>
      <c r="D16" s="8" t="s">
        <v>30</v>
      </c>
      <c r="E16" s="8">
        <v>6000</v>
      </c>
      <c r="F16" s="8">
        <v>6100</v>
      </c>
      <c r="G16" s="8">
        <v>100</v>
      </c>
      <c r="H16" s="8">
        <v>50000</v>
      </c>
    </row>
    <row r="17" spans="2:8" ht="25.8" x14ac:dyDescent="0.5">
      <c r="B17" s="7">
        <v>41562</v>
      </c>
      <c r="C17" s="8" t="s">
        <v>8</v>
      </c>
      <c r="D17" s="8" t="s">
        <v>30</v>
      </c>
      <c r="E17" s="8">
        <v>6120</v>
      </c>
      <c r="F17" s="8">
        <v>6200</v>
      </c>
      <c r="G17" s="8">
        <v>80</v>
      </c>
      <c r="H17" s="8">
        <v>40000</v>
      </c>
    </row>
    <row r="18" spans="2:8" ht="25.8" x14ac:dyDescent="0.5">
      <c r="B18" s="7"/>
      <c r="C18" s="8"/>
      <c r="D18" s="8"/>
      <c r="E18" s="8"/>
      <c r="F18" s="8"/>
      <c r="G18" s="8"/>
      <c r="H18" s="9">
        <v>130000</v>
      </c>
    </row>
    <row r="20" spans="2:8" ht="15" thickBot="1" x14ac:dyDescent="0.35"/>
    <row r="21" spans="2:8" ht="16.2" thickBot="1" x14ac:dyDescent="0.35">
      <c r="B21" s="158" t="s">
        <v>109</v>
      </c>
      <c r="C21" s="158"/>
      <c r="D21" s="158"/>
      <c r="E21" s="158"/>
      <c r="F21" s="158"/>
      <c r="G21" s="158"/>
      <c r="H21" s="158"/>
    </row>
    <row r="22" spans="2:8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89</v>
      </c>
    </row>
    <row r="23" spans="2:8" ht="25.8" x14ac:dyDescent="0.5">
      <c r="B23" s="7">
        <v>41555</v>
      </c>
      <c r="C23" s="8" t="s">
        <v>20</v>
      </c>
      <c r="D23" s="8" t="s">
        <v>125</v>
      </c>
      <c r="E23" s="8">
        <v>2.6</v>
      </c>
      <c r="F23" s="8">
        <v>3.6</v>
      </c>
      <c r="G23" s="8">
        <v>8000</v>
      </c>
      <c r="H23" s="8">
        <v>8000</v>
      </c>
    </row>
    <row r="24" spans="2:8" ht="25.8" x14ac:dyDescent="0.5">
      <c r="B24" s="7">
        <v>41558</v>
      </c>
      <c r="C24" s="8" t="s">
        <v>8</v>
      </c>
      <c r="D24" s="8" t="s">
        <v>126</v>
      </c>
      <c r="E24" s="8">
        <v>4</v>
      </c>
      <c r="F24" s="8">
        <v>6</v>
      </c>
      <c r="G24" s="8">
        <v>4000</v>
      </c>
      <c r="H24" s="8">
        <v>8000</v>
      </c>
    </row>
    <row r="25" spans="2:8" ht="25.8" x14ac:dyDescent="0.5">
      <c r="B25" s="7">
        <v>41565</v>
      </c>
      <c r="C25" s="8" t="s">
        <v>8</v>
      </c>
      <c r="D25" s="8" t="s">
        <v>127</v>
      </c>
      <c r="E25" s="8">
        <v>1</v>
      </c>
      <c r="F25" s="8">
        <v>2</v>
      </c>
      <c r="G25" s="8">
        <v>8000</v>
      </c>
      <c r="H25" s="8">
        <v>8000</v>
      </c>
    </row>
    <row r="26" spans="2:8" ht="25.8" x14ac:dyDescent="0.5">
      <c r="B26" s="7">
        <v>41575</v>
      </c>
      <c r="C26" s="8" t="s">
        <v>20</v>
      </c>
      <c r="D26" s="8" t="s">
        <v>128</v>
      </c>
      <c r="E26" s="8">
        <v>4.5</v>
      </c>
      <c r="F26" s="8">
        <v>6</v>
      </c>
      <c r="G26" s="8">
        <v>2000</v>
      </c>
      <c r="H26" s="8">
        <v>6000</v>
      </c>
    </row>
    <row r="27" spans="2:8" ht="25.8" x14ac:dyDescent="0.5">
      <c r="B27" s="7"/>
      <c r="C27" s="8"/>
      <c r="D27" s="8"/>
      <c r="E27" s="8"/>
      <c r="F27" s="8"/>
      <c r="G27" s="8"/>
      <c r="H27" s="16">
        <v>30000</v>
      </c>
    </row>
    <row r="28" spans="2:8" ht="25.8" x14ac:dyDescent="0.5">
      <c r="B28" s="13"/>
      <c r="C28" s="8"/>
      <c r="D28" s="8"/>
      <c r="E28" s="8"/>
      <c r="F28" s="8"/>
      <c r="G28" s="8"/>
      <c r="H28" s="8"/>
    </row>
    <row r="29" spans="2:8" ht="25.8" x14ac:dyDescent="0.5">
      <c r="B29" s="13"/>
      <c r="C29" s="8"/>
      <c r="D29" s="8"/>
      <c r="E29" s="8"/>
      <c r="F29" s="8"/>
      <c r="G29" s="8"/>
      <c r="H29" s="8"/>
    </row>
    <row r="30" spans="2:8" ht="25.8" x14ac:dyDescent="0.5">
      <c r="B30" s="13"/>
      <c r="C30" s="8"/>
      <c r="D30" s="8"/>
      <c r="E30" s="8"/>
      <c r="F30" s="8"/>
      <c r="G30" s="8"/>
      <c r="H30" s="8"/>
    </row>
    <row r="31" spans="2:8" ht="25.8" x14ac:dyDescent="0.5">
      <c r="B31" s="13"/>
      <c r="C31" s="8"/>
      <c r="D31" s="8"/>
      <c r="E31" s="8"/>
      <c r="F31" s="8"/>
      <c r="G31" s="8"/>
      <c r="H31" s="8"/>
    </row>
    <row r="32" spans="2:8" ht="25.8" x14ac:dyDescent="0.5">
      <c r="H32" s="9"/>
    </row>
  </sheetData>
  <mergeCells count="5">
    <mergeCell ref="B1:H1"/>
    <mergeCell ref="B2:H2"/>
    <mergeCell ref="B3:H3"/>
    <mergeCell ref="B13:H13"/>
    <mergeCell ref="B21:H21"/>
  </mergeCells>
  <hyperlinks>
    <hyperlink ref="J2" location="'Home Page'!A1" display="Back" xr:uid="{00000000-0004-0000-0700-000000000000}"/>
  </hyperlinks>
  <pageMargins left="0.7" right="0.7" top="0.75" bottom="0.75" header="0.3" footer="0.3"/>
  <pageSetup orientation="portrait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0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43739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1</v>
      </c>
      <c r="Q4" s="208">
        <f>X16</f>
        <v>1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43747</v>
      </c>
      <c r="D6" s="35" t="s">
        <v>13</v>
      </c>
      <c r="E6" s="35" t="s">
        <v>120</v>
      </c>
      <c r="F6" s="126">
        <v>2000</v>
      </c>
      <c r="G6" s="127">
        <v>1984</v>
      </c>
      <c r="H6" s="34">
        <v>43747</v>
      </c>
      <c r="I6" s="36">
        <v>1000</v>
      </c>
      <c r="J6" s="129">
        <v>16</v>
      </c>
      <c r="K6" s="41">
        <f>J6*I6</f>
        <v>16000</v>
      </c>
      <c r="L6" s="37" t="s">
        <v>641</v>
      </c>
      <c r="M6" s="32"/>
      <c r="O6" s="198" t="s">
        <v>599</v>
      </c>
      <c r="P6" s="199">
        <f>COUNT(C24:C33)</f>
        <v>2</v>
      </c>
      <c r="Q6" s="200">
        <f>X34</f>
        <v>1</v>
      </c>
      <c r="R6" s="200">
        <f>Y34</f>
        <v>1</v>
      </c>
      <c r="S6" s="201">
        <v>0</v>
      </c>
      <c r="T6" s="197">
        <f t="shared" ref="T6" si="0">Q6/P6</f>
        <v>0.5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/>
      <c r="D7" s="40"/>
      <c r="E7" s="40"/>
      <c r="F7" s="126"/>
      <c r="G7" s="126"/>
      <c r="H7" s="39"/>
      <c r="I7" s="41"/>
      <c r="J7" s="130"/>
      <c r="K7" s="41">
        <f t="shared" ref="K7:K10" si="1">J7*I7</f>
        <v>0</v>
      </c>
      <c r="L7" s="42"/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2</v>
      </c>
      <c r="Q8" s="200">
        <f>X52</f>
        <v>1</v>
      </c>
      <c r="R8" s="200">
        <f>Y52</f>
        <v>1</v>
      </c>
      <c r="S8" s="201">
        <v>0</v>
      </c>
      <c r="T8" s="197">
        <f t="shared" ref="T8:T10" si="5">Q8/P8</f>
        <v>0.5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5</v>
      </c>
      <c r="Q10" s="173">
        <f>SUM(Q4:Q9)</f>
        <v>3</v>
      </c>
      <c r="R10" s="173">
        <f>SUM(R4:R9)</f>
        <v>2</v>
      </c>
      <c r="S10" s="193">
        <f>SUM(S4:S9)</f>
        <v>0</v>
      </c>
      <c r="T10" s="195">
        <f t="shared" si="5"/>
        <v>0.6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16000</v>
      </c>
      <c r="L16" s="86"/>
      <c r="M16" s="32"/>
      <c r="X16" s="29">
        <f>SUM(X6:X15)</f>
        <v>1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43739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43747</v>
      </c>
      <c r="D24" s="40" t="s">
        <v>13</v>
      </c>
      <c r="E24" s="35" t="s">
        <v>30</v>
      </c>
      <c r="F24" s="36">
        <v>11285</v>
      </c>
      <c r="G24" s="36">
        <v>11350</v>
      </c>
      <c r="H24" s="39">
        <v>43747</v>
      </c>
      <c r="I24" s="36">
        <v>375</v>
      </c>
      <c r="J24" s="41">
        <v>-65</v>
      </c>
      <c r="K24" s="41">
        <f>J24*I24</f>
        <v>-24375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43752</v>
      </c>
      <c r="D25" s="40" t="s">
        <v>13</v>
      </c>
      <c r="E25" s="40" t="s">
        <v>30</v>
      </c>
      <c r="F25" s="41">
        <v>11420</v>
      </c>
      <c r="G25" s="41">
        <v>11310</v>
      </c>
      <c r="H25" s="39">
        <v>43752</v>
      </c>
      <c r="I25" s="41">
        <v>375</v>
      </c>
      <c r="J25" s="115">
        <v>110</v>
      </c>
      <c r="K25" s="41">
        <f t="shared" ref="K25:K29" si="8">J25*I25</f>
        <v>41250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16875</v>
      </c>
      <c r="L34" s="86"/>
      <c r="M34" s="32"/>
      <c r="X34" s="29">
        <f>SUM(X24:X33)</f>
        <v>1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43739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43747</v>
      </c>
      <c r="D42" s="35" t="s">
        <v>8</v>
      </c>
      <c r="E42" s="35" t="s">
        <v>695</v>
      </c>
      <c r="F42" s="127">
        <v>110</v>
      </c>
      <c r="G42" s="127">
        <v>200</v>
      </c>
      <c r="H42" s="34">
        <v>43752</v>
      </c>
      <c r="I42" s="36">
        <v>400</v>
      </c>
      <c r="J42" s="129">
        <v>90</v>
      </c>
      <c r="K42" s="41">
        <f>J42*I42</f>
        <v>36000</v>
      </c>
      <c r="L42" s="37" t="s">
        <v>647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43753</v>
      </c>
      <c r="D43" s="121" t="s">
        <v>8</v>
      </c>
      <c r="E43" s="121" t="s">
        <v>696</v>
      </c>
      <c r="F43" s="128">
        <v>42</v>
      </c>
      <c r="G43" s="128">
        <v>32</v>
      </c>
      <c r="H43" s="120">
        <v>43754</v>
      </c>
      <c r="I43" s="122">
        <v>1000</v>
      </c>
      <c r="J43" s="133">
        <v>-10</v>
      </c>
      <c r="K43" s="41">
        <f t="shared" ref="K43:K49" si="12">J43*I43</f>
        <v>-10000</v>
      </c>
      <c r="L43" s="124" t="s">
        <v>197</v>
      </c>
      <c r="M43" s="32"/>
      <c r="X43" s="29">
        <f t="shared" si="10"/>
        <v>0</v>
      </c>
      <c r="Y43" s="29">
        <f t="shared" si="11"/>
        <v>1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26000</v>
      </c>
      <c r="L52" s="86"/>
      <c r="M52" s="32"/>
      <c r="X52" s="29">
        <f>SUM(X42:X51)</f>
        <v>1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4F00-000000000000}"/>
    <hyperlink ref="O1" location="'Home Page'!A1" display="Back" xr:uid="{00000000-0004-0000-4F00-000001000000}"/>
    <hyperlink ref="B34" r:id="rId2" xr:uid="{00000000-0004-0000-4F00-000002000000}"/>
    <hyperlink ref="B52" r:id="rId3" xr:uid="{00000000-0004-0000-4F00-000003000000}"/>
  </hyperlinks>
  <pageMargins left="0" right="0" top="0" bottom="0" header="0" footer="0"/>
  <pageSetup paperSize="9" orientation="portrait" r:id="rId4"/>
  <drawing r:id="rId5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1"/>
  <dimension ref="A1:Y53"/>
  <sheetViews>
    <sheetView topLeftCell="A19" workbookViewId="0">
      <selection activeCell="T17" sqref="T17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43770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4</v>
      </c>
      <c r="Q4" s="208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43774</v>
      </c>
      <c r="D6" s="35" t="s">
        <v>13</v>
      </c>
      <c r="E6" s="35" t="s">
        <v>697</v>
      </c>
      <c r="F6" s="126">
        <v>820</v>
      </c>
      <c r="G6" s="127">
        <v>803</v>
      </c>
      <c r="H6" s="34">
        <v>43776</v>
      </c>
      <c r="I6" s="36">
        <v>1200</v>
      </c>
      <c r="J6" s="129">
        <v>17</v>
      </c>
      <c r="K6" s="41">
        <f>J6*I6</f>
        <v>20400</v>
      </c>
      <c r="L6" s="37" t="s">
        <v>642</v>
      </c>
      <c r="M6" s="32"/>
      <c r="O6" s="198" t="s">
        <v>599</v>
      </c>
      <c r="P6" s="199">
        <f>COUNT(C24:C33)</f>
        <v>4</v>
      </c>
      <c r="Q6" s="200">
        <f>X34</f>
        <v>4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43776</v>
      </c>
      <c r="D7" s="40" t="s">
        <v>8</v>
      </c>
      <c r="E7" s="40" t="s">
        <v>339</v>
      </c>
      <c r="F7" s="126">
        <v>573</v>
      </c>
      <c r="G7" s="126">
        <v>579</v>
      </c>
      <c r="H7" s="39">
        <v>43776</v>
      </c>
      <c r="I7" s="41">
        <v>2800</v>
      </c>
      <c r="J7" s="130">
        <v>6</v>
      </c>
      <c r="K7" s="41">
        <f t="shared" ref="K7:K10" si="1">J7*I7</f>
        <v>16800</v>
      </c>
      <c r="L7" s="42" t="s">
        <v>646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43784</v>
      </c>
      <c r="D8" s="40" t="s">
        <v>8</v>
      </c>
      <c r="E8" s="40" t="s">
        <v>699</v>
      </c>
      <c r="F8" s="128">
        <v>4070</v>
      </c>
      <c r="G8" s="126">
        <v>4137</v>
      </c>
      <c r="H8" s="39">
        <v>43787</v>
      </c>
      <c r="I8" s="41">
        <v>400</v>
      </c>
      <c r="J8" s="130">
        <v>67</v>
      </c>
      <c r="K8" s="41">
        <f t="shared" si="1"/>
        <v>26800</v>
      </c>
      <c r="L8" s="42" t="s">
        <v>651</v>
      </c>
      <c r="M8" s="32"/>
      <c r="O8" s="198" t="s">
        <v>600</v>
      </c>
      <c r="P8" s="199">
        <f>COUNT(C42:C51)</f>
        <v>3</v>
      </c>
      <c r="Q8" s="200">
        <f>X52</f>
        <v>3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43791</v>
      </c>
      <c r="D9" s="40" t="s">
        <v>8</v>
      </c>
      <c r="E9" s="40" t="s">
        <v>332</v>
      </c>
      <c r="F9" s="126">
        <v>1375</v>
      </c>
      <c r="G9" s="126">
        <v>1386</v>
      </c>
      <c r="H9" s="39">
        <v>43794</v>
      </c>
      <c r="I9" s="41">
        <v>750</v>
      </c>
      <c r="J9" s="130">
        <v>11</v>
      </c>
      <c r="K9" s="41">
        <f t="shared" si="1"/>
        <v>8250</v>
      </c>
      <c r="L9" s="42" t="s">
        <v>646</v>
      </c>
      <c r="M9" s="32"/>
      <c r="O9" s="203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f>SUM(Q4:Q9)</f>
        <v>11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72250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43770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43775</v>
      </c>
      <c r="D24" s="40" t="s">
        <v>13</v>
      </c>
      <c r="E24" s="35" t="s">
        <v>30</v>
      </c>
      <c r="F24" s="36">
        <v>12020</v>
      </c>
      <c r="G24" s="36">
        <v>11880</v>
      </c>
      <c r="H24" s="39">
        <v>43780</v>
      </c>
      <c r="I24" s="36">
        <v>375</v>
      </c>
      <c r="J24" s="41">
        <v>140</v>
      </c>
      <c r="K24" s="41">
        <f>J24*I24</f>
        <v>52500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43783</v>
      </c>
      <c r="D25" s="40" t="s">
        <v>8</v>
      </c>
      <c r="E25" s="40" t="s">
        <v>30</v>
      </c>
      <c r="F25" s="41">
        <v>11850</v>
      </c>
      <c r="G25" s="41">
        <v>12000</v>
      </c>
      <c r="H25" s="39">
        <v>43784</v>
      </c>
      <c r="I25" s="41">
        <v>375</v>
      </c>
      <c r="J25" s="115">
        <v>150</v>
      </c>
      <c r="K25" s="41">
        <f t="shared" ref="K25:K29" si="8">J25*I25</f>
        <v>56250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43789</v>
      </c>
      <c r="D26" s="40" t="s">
        <v>13</v>
      </c>
      <c r="E26" s="40" t="s">
        <v>30</v>
      </c>
      <c r="F26" s="41">
        <v>12030</v>
      </c>
      <c r="G26" s="41">
        <v>11988</v>
      </c>
      <c r="H26" s="39">
        <v>43790</v>
      </c>
      <c r="I26" s="41">
        <v>375</v>
      </c>
      <c r="J26" s="85">
        <v>42</v>
      </c>
      <c r="K26" s="41">
        <f t="shared" si="8"/>
        <v>15750</v>
      </c>
      <c r="L26" s="42" t="s">
        <v>646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43791</v>
      </c>
      <c r="D27" s="40" t="s">
        <v>13</v>
      </c>
      <c r="E27" s="40" t="s">
        <v>30</v>
      </c>
      <c r="F27" s="41">
        <v>11900</v>
      </c>
      <c r="G27" s="41">
        <v>12000</v>
      </c>
      <c r="H27" s="39">
        <v>43794</v>
      </c>
      <c r="I27" s="41">
        <v>375</v>
      </c>
      <c r="J27" s="85">
        <v>100</v>
      </c>
      <c r="K27" s="41">
        <f t="shared" si="8"/>
        <v>37500</v>
      </c>
      <c r="L27" s="42" t="s">
        <v>647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162000</v>
      </c>
      <c r="L34" s="86"/>
      <c r="M34" s="32"/>
      <c r="X34" s="29">
        <f>SUM(X24:X33)</f>
        <v>4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43770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43774</v>
      </c>
      <c r="D42" s="35" t="s">
        <v>8</v>
      </c>
      <c r="E42" s="35" t="s">
        <v>698</v>
      </c>
      <c r="F42" s="127">
        <v>24</v>
      </c>
      <c r="G42" s="127">
        <v>29.4</v>
      </c>
      <c r="H42" s="34">
        <v>43776</v>
      </c>
      <c r="I42" s="36">
        <v>1200</v>
      </c>
      <c r="J42" s="129">
        <v>5.4</v>
      </c>
      <c r="K42" s="41">
        <f>J42*I42</f>
        <v>6480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43783</v>
      </c>
      <c r="D43" s="121" t="s">
        <v>8</v>
      </c>
      <c r="E43" s="121" t="s">
        <v>551</v>
      </c>
      <c r="F43" s="128">
        <v>120</v>
      </c>
      <c r="G43" s="128">
        <v>165</v>
      </c>
      <c r="H43" s="120">
        <v>43784</v>
      </c>
      <c r="I43" s="122">
        <v>150</v>
      </c>
      <c r="J43" s="133">
        <v>45</v>
      </c>
      <c r="K43" s="41">
        <f t="shared" ref="K43:K49" si="12">J43*I43</f>
        <v>6750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43791</v>
      </c>
      <c r="D44" s="40" t="s">
        <v>8</v>
      </c>
      <c r="E44" s="40" t="s">
        <v>700</v>
      </c>
      <c r="F44" s="126">
        <v>17</v>
      </c>
      <c r="G44" s="126">
        <v>21.5</v>
      </c>
      <c r="H44" s="39">
        <v>43794</v>
      </c>
      <c r="I44" s="41">
        <v>750</v>
      </c>
      <c r="J44" s="130">
        <v>4.75</v>
      </c>
      <c r="K44" s="41">
        <f t="shared" si="12"/>
        <v>3562.5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16792.5</v>
      </c>
      <c r="L52" s="86"/>
      <c r="M52" s="32"/>
      <c r="X52" s="29">
        <f>SUM(X42:X51)</f>
        <v>3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000-000000000000}"/>
    <hyperlink ref="O1" location="'Home Page'!A1" display="Back" xr:uid="{00000000-0004-0000-5000-000001000000}"/>
    <hyperlink ref="B34" r:id="rId2" xr:uid="{00000000-0004-0000-5000-000002000000}"/>
    <hyperlink ref="B52" r:id="rId3" xr:uid="{00000000-0004-0000-5000-000003000000}"/>
  </hyperlinks>
  <pageMargins left="0" right="0" top="0" bottom="0" header="0" footer="0"/>
  <pageSetup paperSize="9" orientation="portrait" r:id="rId4"/>
  <drawing r:id="rId5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2"/>
  <dimension ref="A1:Y53"/>
  <sheetViews>
    <sheetView topLeftCell="A16" workbookViewId="0">
      <selection activeCell="K44" sqref="K44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43800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43803</v>
      </c>
      <c r="D6" s="35" t="s">
        <v>13</v>
      </c>
      <c r="E6" s="35" t="s">
        <v>702</v>
      </c>
      <c r="F6" s="126">
        <v>745</v>
      </c>
      <c r="G6" s="127">
        <v>715</v>
      </c>
      <c r="H6" s="34">
        <v>43808</v>
      </c>
      <c r="I6" s="36">
        <v>2400</v>
      </c>
      <c r="J6" s="129">
        <v>30</v>
      </c>
      <c r="K6" s="41">
        <f>J6*I6</f>
        <v>72000</v>
      </c>
      <c r="L6" s="37" t="s">
        <v>647</v>
      </c>
      <c r="M6" s="32"/>
      <c r="O6" s="198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43815</v>
      </c>
      <c r="D7" s="40" t="s">
        <v>13</v>
      </c>
      <c r="E7" s="40" t="s">
        <v>702</v>
      </c>
      <c r="F7" s="126">
        <v>752</v>
      </c>
      <c r="G7" s="126">
        <v>742</v>
      </c>
      <c r="H7" s="39">
        <v>43817</v>
      </c>
      <c r="I7" s="41">
        <v>2400</v>
      </c>
      <c r="J7" s="130">
        <v>10</v>
      </c>
      <c r="K7" s="41">
        <f t="shared" ref="K7:K10" si="1">J7*I7</f>
        <v>24000</v>
      </c>
      <c r="L7" s="42" t="s">
        <v>646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43826</v>
      </c>
      <c r="D8" s="40" t="s">
        <v>13</v>
      </c>
      <c r="E8" s="40" t="s">
        <v>67</v>
      </c>
      <c r="F8" s="128">
        <v>1550</v>
      </c>
      <c r="G8" s="126">
        <v>1523</v>
      </c>
      <c r="H8" s="39">
        <v>43830</v>
      </c>
      <c r="I8" s="41">
        <v>1000</v>
      </c>
      <c r="J8" s="130">
        <v>27</v>
      </c>
      <c r="K8" s="41">
        <f t="shared" si="1"/>
        <v>27000</v>
      </c>
      <c r="L8" s="42" t="s">
        <v>642</v>
      </c>
      <c r="M8" s="32"/>
      <c r="O8" s="198" t="s">
        <v>600</v>
      </c>
      <c r="P8" s="199">
        <f>COUNT(C42:C51)</f>
        <v>3</v>
      </c>
      <c r="Q8" s="200">
        <f>X52</f>
        <v>2</v>
      </c>
      <c r="R8" s="200">
        <f>Y52</f>
        <v>1</v>
      </c>
      <c r="S8" s="201">
        <v>0</v>
      </c>
      <c r="T8" s="197">
        <f t="shared" ref="T8:T10" si="5">Q8/P8</f>
        <v>0.66666666666666663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9</v>
      </c>
      <c r="Q10" s="173">
        <f>SUM(Q4:Q9)</f>
        <v>8</v>
      </c>
      <c r="R10" s="173">
        <f>SUM(R4:R9)</f>
        <v>1</v>
      </c>
      <c r="S10" s="193">
        <f>SUM(S4:S9)</f>
        <v>0</v>
      </c>
      <c r="T10" s="195">
        <f t="shared" si="5"/>
        <v>0.88888888888888884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0.88888888888888884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123000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43800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43804</v>
      </c>
      <c r="D24" s="40" t="s">
        <v>8</v>
      </c>
      <c r="E24" s="35" t="s">
        <v>176</v>
      </c>
      <c r="F24" s="36">
        <v>12030</v>
      </c>
      <c r="G24" s="36">
        <v>12070</v>
      </c>
      <c r="H24" s="39">
        <v>43805</v>
      </c>
      <c r="I24" s="36">
        <v>375</v>
      </c>
      <c r="J24" s="41">
        <v>40</v>
      </c>
      <c r="K24" s="41">
        <f>J24*I24</f>
        <v>15000</v>
      </c>
      <c r="L24" s="37" t="s">
        <v>646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43815</v>
      </c>
      <c r="D25" s="40" t="s">
        <v>13</v>
      </c>
      <c r="E25" s="40" t="s">
        <v>176</v>
      </c>
      <c r="F25" s="41">
        <v>12120</v>
      </c>
      <c r="G25" s="41">
        <v>12080</v>
      </c>
      <c r="H25" s="39">
        <v>43817</v>
      </c>
      <c r="I25" s="41">
        <v>375</v>
      </c>
      <c r="J25" s="115">
        <v>60</v>
      </c>
      <c r="K25" s="41">
        <f t="shared" ref="K25:K29" si="8">J25*I25</f>
        <v>22500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43826</v>
      </c>
      <c r="D26" s="40" t="s">
        <v>13</v>
      </c>
      <c r="E26" s="40" t="s">
        <v>176</v>
      </c>
      <c r="F26" s="41">
        <v>12300</v>
      </c>
      <c r="G26" s="41">
        <v>12230</v>
      </c>
      <c r="H26" s="39">
        <v>43830</v>
      </c>
      <c r="I26" s="41">
        <v>375</v>
      </c>
      <c r="J26" s="85">
        <v>70</v>
      </c>
      <c r="K26" s="41">
        <f t="shared" si="8"/>
        <v>26250</v>
      </c>
      <c r="L26" s="42" t="s">
        <v>651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63750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43800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43803</v>
      </c>
      <c r="D42" s="35" t="s">
        <v>8</v>
      </c>
      <c r="E42" s="35" t="s">
        <v>701</v>
      </c>
      <c r="F42" s="127">
        <v>33</v>
      </c>
      <c r="G42" s="127">
        <v>47</v>
      </c>
      <c r="H42" s="34">
        <v>43803</v>
      </c>
      <c r="I42" s="36">
        <v>1000</v>
      </c>
      <c r="J42" s="129">
        <v>14</v>
      </c>
      <c r="K42" s="41">
        <f>J42*I42</f>
        <v>14000</v>
      </c>
      <c r="L42" s="37" t="s">
        <v>651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43812</v>
      </c>
      <c r="D43" s="121" t="s">
        <v>8</v>
      </c>
      <c r="E43" s="121" t="s">
        <v>46</v>
      </c>
      <c r="F43" s="128">
        <v>18</v>
      </c>
      <c r="G43" s="128">
        <v>10</v>
      </c>
      <c r="H43" s="120">
        <v>43816</v>
      </c>
      <c r="I43" s="122">
        <v>750</v>
      </c>
      <c r="J43" s="133">
        <v>-8</v>
      </c>
      <c r="K43" s="41">
        <f t="shared" ref="K43:K49" si="12">J43*I43</f>
        <v>-6000</v>
      </c>
      <c r="L43" s="124" t="s">
        <v>197</v>
      </c>
      <c r="M43" s="32"/>
      <c r="X43" s="29">
        <f t="shared" si="10"/>
        <v>0</v>
      </c>
      <c r="Y43" s="29">
        <f t="shared" si="11"/>
        <v>1</v>
      </c>
    </row>
    <row r="44" spans="1:25" x14ac:dyDescent="0.3">
      <c r="A44" s="31"/>
      <c r="B44" s="38">
        <v>3</v>
      </c>
      <c r="C44" s="39">
        <v>43826</v>
      </c>
      <c r="D44" s="40" t="s">
        <v>8</v>
      </c>
      <c r="E44" s="40" t="s">
        <v>703</v>
      </c>
      <c r="F44" s="126">
        <v>30</v>
      </c>
      <c r="G44" s="126">
        <v>40</v>
      </c>
      <c r="H44" s="39">
        <v>43830</v>
      </c>
      <c r="I44" s="41">
        <v>1000</v>
      </c>
      <c r="J44" s="130">
        <v>10</v>
      </c>
      <c r="K44" s="41">
        <f t="shared" si="12"/>
        <v>10000</v>
      </c>
      <c r="L44" s="42" t="s">
        <v>642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18000</v>
      </c>
      <c r="L52" s="86"/>
      <c r="M52" s="32"/>
      <c r="X52" s="29">
        <f>SUM(X42:X51)</f>
        <v>2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100-000000000000}"/>
    <hyperlink ref="O1" location="'Home Page'!A1" display="Back" xr:uid="{00000000-0004-0000-5100-000001000000}"/>
    <hyperlink ref="B34" r:id="rId2" xr:uid="{00000000-0004-0000-5100-000002000000}"/>
    <hyperlink ref="B52" r:id="rId3" xr:uid="{00000000-0004-0000-5100-000003000000}"/>
  </hyperlinks>
  <pageMargins left="0" right="0" top="0" bottom="0" header="0" footer="0"/>
  <pageSetup paperSize="9" orientation="portrait" r:id="rId4"/>
  <drawing r:id="rId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3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66406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43831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1</v>
      </c>
      <c r="R4" s="208">
        <f>Y16</f>
        <v>1</v>
      </c>
      <c r="S4" s="209">
        <f>P4-Q4-R4</f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43839</v>
      </c>
      <c r="D6" s="35" t="s">
        <v>8</v>
      </c>
      <c r="E6" s="35" t="s">
        <v>332</v>
      </c>
      <c r="F6" s="126">
        <v>1320</v>
      </c>
      <c r="G6" s="127">
        <v>1338</v>
      </c>
      <c r="H6" s="34">
        <v>43840</v>
      </c>
      <c r="I6" s="36">
        <v>750</v>
      </c>
      <c r="J6" s="129">
        <v>18</v>
      </c>
      <c r="K6" s="41">
        <f>J6*I6</f>
        <v>13500</v>
      </c>
      <c r="L6" s="37" t="s">
        <v>646</v>
      </c>
      <c r="M6" s="32"/>
      <c r="O6" s="198" t="s">
        <v>599</v>
      </c>
      <c r="P6" s="199">
        <f>COUNT(C24:C33)</f>
        <v>1</v>
      </c>
      <c r="Q6" s="200">
        <f>X34</f>
        <v>0</v>
      </c>
      <c r="R6" s="200">
        <f>Y34</f>
        <v>1</v>
      </c>
      <c r="S6" s="201">
        <v>0</v>
      </c>
      <c r="T6" s="197">
        <f t="shared" ref="T6" si="0">Q6/P6</f>
        <v>0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43853</v>
      </c>
      <c r="D7" s="40" t="s">
        <v>8</v>
      </c>
      <c r="E7" s="40" t="s">
        <v>61</v>
      </c>
      <c r="F7" s="126">
        <v>7200</v>
      </c>
      <c r="G7" s="126">
        <v>7080</v>
      </c>
      <c r="H7" s="39">
        <v>43858</v>
      </c>
      <c r="I7" s="41">
        <v>200</v>
      </c>
      <c r="J7" s="130">
        <v>-120</v>
      </c>
      <c r="K7" s="41">
        <f t="shared" ref="K7:K10" si="1">J7*I7</f>
        <v>-24000</v>
      </c>
      <c r="L7" s="42" t="s">
        <v>197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2</v>
      </c>
      <c r="Q8" s="200">
        <f>X52</f>
        <v>2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5</v>
      </c>
      <c r="Q10" s="173">
        <f>SUM(Q4:Q9)</f>
        <v>3</v>
      </c>
      <c r="R10" s="173">
        <f>SUM(R4:R9)</f>
        <v>2</v>
      </c>
      <c r="S10" s="193">
        <f>SUM(S4:S9)</f>
        <v>0</v>
      </c>
      <c r="T10" s="195">
        <f t="shared" si="5"/>
        <v>0.6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-10500</v>
      </c>
      <c r="L16" s="86"/>
      <c r="M16" s="32"/>
      <c r="X16" s="29">
        <f>SUM(X6:X15)</f>
        <v>1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43831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43840</v>
      </c>
      <c r="D24" s="40" t="s">
        <v>13</v>
      </c>
      <c r="E24" s="35" t="s">
        <v>30</v>
      </c>
      <c r="F24" s="36">
        <v>12290</v>
      </c>
      <c r="G24" s="36">
        <v>12360</v>
      </c>
      <c r="H24" s="39">
        <v>43841</v>
      </c>
      <c r="I24" s="36">
        <v>375</v>
      </c>
      <c r="J24" s="41">
        <v>-70</v>
      </c>
      <c r="K24" s="41">
        <f>J24*I24</f>
        <v>-26250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/>
      <c r="D25" s="40"/>
      <c r="E25" s="40"/>
      <c r="F25" s="41"/>
      <c r="G25" s="41"/>
      <c r="H25" s="39"/>
      <c r="I25" s="41"/>
      <c r="J25" s="115"/>
      <c r="K25" s="41">
        <f t="shared" ref="K25:K29" si="8">J25*I25</f>
        <v>0</v>
      </c>
      <c r="L25" s="42"/>
      <c r="M25" s="32"/>
      <c r="X25" s="29">
        <f t="shared" si="6"/>
        <v>0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-26250</v>
      </c>
      <c r="L34" s="86"/>
      <c r="M34" s="32"/>
      <c r="X34" s="29">
        <f>SUM(X24:X33)</f>
        <v>0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43831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43839</v>
      </c>
      <c r="D42" s="35" t="s">
        <v>8</v>
      </c>
      <c r="E42" s="35" t="s">
        <v>704</v>
      </c>
      <c r="F42" s="127">
        <v>9</v>
      </c>
      <c r="G42" s="127">
        <v>17</v>
      </c>
      <c r="H42" s="34">
        <v>43847</v>
      </c>
      <c r="I42" s="36">
        <v>6000</v>
      </c>
      <c r="J42" s="129">
        <v>8</v>
      </c>
      <c r="K42" s="41">
        <f>J42*I42</f>
        <v>48000</v>
      </c>
      <c r="L42" s="37" t="s">
        <v>647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43853</v>
      </c>
      <c r="D43" s="121" t="s">
        <v>8</v>
      </c>
      <c r="E43" s="121" t="s">
        <v>705</v>
      </c>
      <c r="F43" s="128">
        <v>40</v>
      </c>
      <c r="G43" s="128">
        <v>60</v>
      </c>
      <c r="H43" s="120">
        <v>43853</v>
      </c>
      <c r="I43" s="122">
        <v>618</v>
      </c>
      <c r="J43" s="133">
        <v>20</v>
      </c>
      <c r="K43" s="41">
        <f t="shared" ref="K43:K49" si="12">J43*I43</f>
        <v>12360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60360</v>
      </c>
      <c r="L52" s="86"/>
      <c r="M52" s="32"/>
      <c r="X52" s="29">
        <f>SUM(X42:X51)</f>
        <v>2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5200-000000000000}"/>
    <hyperlink ref="O1" location="'Home Page'!A1" display="Back" xr:uid="{00000000-0004-0000-5200-000001000000}"/>
    <hyperlink ref="B34" r:id="rId2" xr:uid="{00000000-0004-0000-5200-000002000000}"/>
    <hyperlink ref="B52" r:id="rId3" xr:uid="{00000000-0004-0000-5200-000003000000}"/>
  </hyperlinks>
  <pageMargins left="0" right="0" top="0" bottom="0" header="0" footer="0"/>
  <pageSetup paperSize="9" orientation="portrait" r:id="rId4"/>
  <drawing r:id="rId5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4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7.5546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43862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2</v>
      </c>
      <c r="R4" s="208">
        <f>Y16</f>
        <v>1</v>
      </c>
      <c r="S4" s="209">
        <f>P4-Q4-R4</f>
        <v>0</v>
      </c>
      <c r="T4" s="195">
        <f>Q4/P4</f>
        <v>0.66666666666666663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43866</v>
      </c>
      <c r="D6" s="35" t="s">
        <v>13</v>
      </c>
      <c r="E6" s="35" t="s">
        <v>67</v>
      </c>
      <c r="F6" s="126">
        <v>1440</v>
      </c>
      <c r="G6" s="127">
        <v>1422.5</v>
      </c>
      <c r="H6" s="34">
        <v>43871</v>
      </c>
      <c r="I6" s="36">
        <v>1000</v>
      </c>
      <c r="J6" s="129">
        <v>17.5</v>
      </c>
      <c r="K6" s="41">
        <f>J6*I6</f>
        <v>17500</v>
      </c>
      <c r="L6" s="37" t="s">
        <v>646</v>
      </c>
      <c r="M6" s="32"/>
      <c r="O6" s="198" t="s">
        <v>599</v>
      </c>
      <c r="P6" s="199">
        <f>COUNT(C24:C33)</f>
        <v>3</v>
      </c>
      <c r="Q6" s="200">
        <f>X34</f>
        <v>2</v>
      </c>
      <c r="R6" s="200">
        <f>Y34</f>
        <v>1</v>
      </c>
      <c r="S6" s="201">
        <v>0</v>
      </c>
      <c r="T6" s="197">
        <f t="shared" ref="T6" si="0">Q6/P6</f>
        <v>0.66666666666666663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43879</v>
      </c>
      <c r="D7" s="40" t="s">
        <v>13</v>
      </c>
      <c r="E7" s="40" t="s">
        <v>449</v>
      </c>
      <c r="F7" s="126">
        <v>734</v>
      </c>
      <c r="G7" s="126">
        <v>727.8</v>
      </c>
      <c r="H7" s="39">
        <v>43879</v>
      </c>
      <c r="I7" s="41">
        <v>2400</v>
      </c>
      <c r="J7" s="130">
        <v>6.2</v>
      </c>
      <c r="K7" s="41">
        <f t="shared" ref="K7:K10" si="1">J7*I7</f>
        <v>14880</v>
      </c>
      <c r="L7" s="42" t="s">
        <v>646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43886</v>
      </c>
      <c r="D8" s="40" t="s">
        <v>8</v>
      </c>
      <c r="E8" s="40" t="s">
        <v>61</v>
      </c>
      <c r="F8" s="128">
        <v>6470</v>
      </c>
      <c r="G8" s="126">
        <v>6320</v>
      </c>
      <c r="H8" s="39">
        <v>43887</v>
      </c>
      <c r="I8" s="41">
        <v>150</v>
      </c>
      <c r="J8" s="130">
        <v>-150</v>
      </c>
      <c r="K8" s="41">
        <f t="shared" si="1"/>
        <v>-22500</v>
      </c>
      <c r="L8" s="42" t="s">
        <v>197</v>
      </c>
      <c r="M8" s="32"/>
      <c r="O8" s="198" t="s">
        <v>600</v>
      </c>
      <c r="P8" s="199">
        <f>COUNT(C42:C51)</f>
        <v>2</v>
      </c>
      <c r="Q8" s="200">
        <f>X52</f>
        <v>2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1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6</v>
      </c>
      <c r="R10" s="173">
        <f>SUM(R4:R9)</f>
        <v>2</v>
      </c>
      <c r="S10" s="193">
        <f>SUM(S4:S9)</f>
        <v>0</v>
      </c>
      <c r="T10" s="195">
        <f t="shared" si="5"/>
        <v>0.75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9880</v>
      </c>
      <c r="L16" s="86"/>
      <c r="M16" s="32"/>
      <c r="X16" s="29">
        <f>SUM(X6:X15)</f>
        <v>2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43862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43867</v>
      </c>
      <c r="D24" s="40" t="s">
        <v>13</v>
      </c>
      <c r="E24" s="35" t="s">
        <v>176</v>
      </c>
      <c r="F24" s="36">
        <v>12140</v>
      </c>
      <c r="G24" s="36">
        <v>12020</v>
      </c>
      <c r="H24" s="39">
        <v>43871</v>
      </c>
      <c r="I24" s="36">
        <v>375</v>
      </c>
      <c r="J24" s="41">
        <v>120</v>
      </c>
      <c r="K24" s="41">
        <f>J24*I24</f>
        <v>45000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43880</v>
      </c>
      <c r="D25" s="40" t="s">
        <v>13</v>
      </c>
      <c r="E25" s="40" t="s">
        <v>176</v>
      </c>
      <c r="F25" s="41">
        <v>12140</v>
      </c>
      <c r="G25" s="41">
        <v>12030</v>
      </c>
      <c r="H25" s="39">
        <v>43881</v>
      </c>
      <c r="I25" s="41">
        <v>375</v>
      </c>
      <c r="J25" s="115">
        <v>110</v>
      </c>
      <c r="K25" s="41">
        <f t="shared" ref="K25:K29" si="8">J25*I25</f>
        <v>41250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43888</v>
      </c>
      <c r="D26" s="40" t="s">
        <v>8</v>
      </c>
      <c r="E26" s="40" t="s">
        <v>708</v>
      </c>
      <c r="F26" s="41">
        <v>11600</v>
      </c>
      <c r="G26" s="41">
        <v>11550</v>
      </c>
      <c r="H26" s="39">
        <v>43889</v>
      </c>
      <c r="I26" s="41">
        <v>375</v>
      </c>
      <c r="J26" s="85">
        <v>-150</v>
      </c>
      <c r="K26" s="41">
        <f t="shared" si="8"/>
        <v>-56250</v>
      </c>
      <c r="L26" s="42" t="s">
        <v>197</v>
      </c>
      <c r="M26" s="32"/>
      <c r="X26" s="29">
        <f t="shared" si="6"/>
        <v>0</v>
      </c>
      <c r="Y26" s="29">
        <f t="shared" si="7"/>
        <v>1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30000</v>
      </c>
      <c r="L34" s="86"/>
      <c r="M34" s="32"/>
      <c r="X34" s="29">
        <f>SUM(X24:X33)</f>
        <v>2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43862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43865</v>
      </c>
      <c r="D42" s="35" t="s">
        <v>8</v>
      </c>
      <c r="E42" s="35" t="s">
        <v>706</v>
      </c>
      <c r="F42" s="127">
        <v>34</v>
      </c>
      <c r="G42" s="127">
        <v>39.5</v>
      </c>
      <c r="H42" s="34">
        <v>43865</v>
      </c>
      <c r="I42" s="36">
        <v>1000</v>
      </c>
      <c r="J42" s="129">
        <v>5.5</v>
      </c>
      <c r="K42" s="41">
        <f>J42*I42</f>
        <v>5500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43886</v>
      </c>
      <c r="D43" s="121" t="s">
        <v>8</v>
      </c>
      <c r="E43" s="121" t="s">
        <v>707</v>
      </c>
      <c r="F43" s="128">
        <v>18</v>
      </c>
      <c r="G43" s="128">
        <v>38</v>
      </c>
      <c r="H43" s="120">
        <v>43887</v>
      </c>
      <c r="I43" s="122">
        <v>750</v>
      </c>
      <c r="J43" s="133">
        <v>20</v>
      </c>
      <c r="K43" s="41">
        <f t="shared" ref="K43:K49" si="12">J43*I43</f>
        <v>15000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20500</v>
      </c>
      <c r="L52" s="86"/>
      <c r="M52" s="32"/>
      <c r="X52" s="29">
        <f>SUM(X42:X51)</f>
        <v>2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300-000000000000}"/>
    <hyperlink ref="O1" location="'Home Page'!A1" display="Back" xr:uid="{00000000-0004-0000-5300-000001000000}"/>
    <hyperlink ref="B34" r:id="rId2" xr:uid="{00000000-0004-0000-5300-000002000000}"/>
    <hyperlink ref="B52" r:id="rId3" xr:uid="{00000000-0004-0000-5300-000003000000}"/>
  </hyperlinks>
  <pageMargins left="0" right="0" top="0" bottom="0" header="0" footer="0"/>
  <pageSetup paperSize="9" orientation="portrait" r:id="rId4"/>
  <drawing r:id="rId5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5"/>
  <dimension ref="A1:Y53"/>
  <sheetViews>
    <sheetView workbookViewId="0">
      <selection activeCell="B4" sqref="B4:L4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7.5546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43891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2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43901</v>
      </c>
      <c r="D6" s="35" t="s">
        <v>13</v>
      </c>
      <c r="E6" s="35" t="s">
        <v>67</v>
      </c>
      <c r="F6" s="126">
        <v>1152</v>
      </c>
      <c r="G6" s="127">
        <v>1075</v>
      </c>
      <c r="H6" s="34">
        <v>43902</v>
      </c>
      <c r="I6" s="36">
        <v>1000</v>
      </c>
      <c r="J6" s="129">
        <v>77</v>
      </c>
      <c r="K6" s="41">
        <f>J6*I6</f>
        <v>77000</v>
      </c>
      <c r="L6" s="37" t="s">
        <v>647</v>
      </c>
      <c r="M6" s="32"/>
      <c r="O6" s="198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43906</v>
      </c>
      <c r="D7" s="40" t="s">
        <v>8</v>
      </c>
      <c r="E7" s="40" t="s">
        <v>650</v>
      </c>
      <c r="F7" s="126">
        <v>675</v>
      </c>
      <c r="G7" s="126">
        <v>686.5</v>
      </c>
      <c r="H7" s="39">
        <v>43906</v>
      </c>
      <c r="I7" s="41">
        <v>800</v>
      </c>
      <c r="J7" s="130">
        <v>11.5</v>
      </c>
      <c r="K7" s="41">
        <f t="shared" ref="K7:K10" si="1">J7*I7</f>
        <v>9200</v>
      </c>
      <c r="L7" s="42" t="s">
        <v>642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2</v>
      </c>
      <c r="Q8" s="200">
        <f>X52</f>
        <v>2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7</v>
      </c>
      <c r="Q10" s="173">
        <f>SUM(Q4:Q9)</f>
        <v>7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86200</v>
      </c>
      <c r="L16" s="86"/>
      <c r="M16" s="32"/>
      <c r="X16" s="29">
        <f>SUM(X6:X15)</f>
        <v>2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43891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43895</v>
      </c>
      <c r="D24" s="40" t="s">
        <v>13</v>
      </c>
      <c r="E24" s="35" t="s">
        <v>30</v>
      </c>
      <c r="F24" s="36">
        <v>11370</v>
      </c>
      <c r="G24" s="36">
        <v>11850</v>
      </c>
      <c r="H24" s="39">
        <v>43896</v>
      </c>
      <c r="I24" s="36">
        <v>375</v>
      </c>
      <c r="J24" s="41">
        <v>480</v>
      </c>
      <c r="K24" s="41">
        <f>J24*I24</f>
        <v>180000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43901</v>
      </c>
      <c r="D25" s="40" t="s">
        <v>13</v>
      </c>
      <c r="E25" s="40" t="s">
        <v>30</v>
      </c>
      <c r="F25" s="41">
        <v>10450</v>
      </c>
      <c r="G25" s="41">
        <v>9940</v>
      </c>
      <c r="H25" s="39">
        <v>43902</v>
      </c>
      <c r="I25" s="41">
        <v>375</v>
      </c>
      <c r="J25" s="115">
        <v>510</v>
      </c>
      <c r="K25" s="41">
        <f t="shared" ref="K25:K29" si="8">J25*I25</f>
        <v>191250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43921</v>
      </c>
      <c r="D26" s="40" t="s">
        <v>13</v>
      </c>
      <c r="E26" s="40" t="s">
        <v>30</v>
      </c>
      <c r="F26" s="41">
        <v>8650</v>
      </c>
      <c r="G26" s="41">
        <v>8600</v>
      </c>
      <c r="H26" s="39">
        <v>43921</v>
      </c>
      <c r="I26" s="41">
        <v>375</v>
      </c>
      <c r="J26" s="85">
        <v>50</v>
      </c>
      <c r="K26" s="41">
        <f t="shared" si="8"/>
        <v>18750</v>
      </c>
      <c r="L26" s="42" t="s">
        <v>642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390000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43891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43895</v>
      </c>
      <c r="D42" s="35" t="s">
        <v>8</v>
      </c>
      <c r="E42" s="35" t="s">
        <v>709</v>
      </c>
      <c r="F42" s="127">
        <v>45</v>
      </c>
      <c r="G42" s="127">
        <v>110</v>
      </c>
      <c r="H42" s="34">
        <v>43896</v>
      </c>
      <c r="I42" s="36">
        <v>1000</v>
      </c>
      <c r="J42" s="129">
        <v>65</v>
      </c>
      <c r="K42" s="41">
        <f>J42*I42</f>
        <v>65000</v>
      </c>
      <c r="L42" s="37" t="s">
        <v>647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43906</v>
      </c>
      <c r="D43" s="121" t="s">
        <v>8</v>
      </c>
      <c r="E43" s="121" t="s">
        <v>531</v>
      </c>
      <c r="F43" s="128">
        <v>38</v>
      </c>
      <c r="G43" s="128">
        <v>46</v>
      </c>
      <c r="H43" s="120">
        <v>43907</v>
      </c>
      <c r="I43" s="122">
        <v>2400</v>
      </c>
      <c r="J43" s="133">
        <v>8</v>
      </c>
      <c r="K43" s="41">
        <f t="shared" ref="K43:K49" si="12">J43*I43</f>
        <v>19200</v>
      </c>
      <c r="L43" s="124" t="s">
        <v>710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84200</v>
      </c>
      <c r="L52" s="86"/>
      <c r="M52" s="32"/>
      <c r="X52" s="29">
        <f>SUM(X42:X51)</f>
        <v>2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5400-000000000000}"/>
    <hyperlink ref="O1" location="'Home Page'!A1" display="Back" xr:uid="{00000000-0004-0000-5400-000001000000}"/>
    <hyperlink ref="B34" r:id="rId2" xr:uid="{00000000-0004-0000-5400-000002000000}"/>
    <hyperlink ref="B52" r:id="rId3" xr:uid="{00000000-0004-0000-5400-000003000000}"/>
  </hyperlinks>
  <pageMargins left="0" right="0" top="0" bottom="0" header="0" footer="0"/>
  <pageSetup paperSize="9" orientation="portrait" r:id="rId4"/>
  <drawing r:id="rId5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6"/>
  <dimension ref="A1:Y53"/>
  <sheetViews>
    <sheetView topLeftCell="A37" workbookViewId="0">
      <selection activeCell="H13" sqref="H13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7.5546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43922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1</v>
      </c>
      <c r="R4" s="208">
        <f>Y16</f>
        <v>2</v>
      </c>
      <c r="S4" s="209">
        <f>P4-Q4-R4</f>
        <v>0</v>
      </c>
      <c r="T4" s="195">
        <f>Q4/P4</f>
        <v>0.33333333333333331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43924</v>
      </c>
      <c r="D6" s="35" t="s">
        <v>13</v>
      </c>
      <c r="E6" s="35" t="s">
        <v>449</v>
      </c>
      <c r="F6" s="126">
        <v>355</v>
      </c>
      <c r="G6" s="127">
        <v>333</v>
      </c>
      <c r="H6" s="34">
        <v>43924</v>
      </c>
      <c r="I6" s="36">
        <v>2400</v>
      </c>
      <c r="J6" s="129">
        <v>22</v>
      </c>
      <c r="K6" s="41">
        <f>J6*I6</f>
        <v>52800</v>
      </c>
      <c r="L6" s="37" t="s">
        <v>647</v>
      </c>
      <c r="M6" s="32"/>
      <c r="O6" s="198" t="s">
        <v>599</v>
      </c>
      <c r="P6" s="199">
        <f>COUNT(C24:C33)</f>
        <v>4</v>
      </c>
      <c r="Q6" s="200">
        <f>X34</f>
        <v>3</v>
      </c>
      <c r="R6" s="200">
        <f>Y34</f>
        <v>1</v>
      </c>
      <c r="S6" s="201">
        <v>0</v>
      </c>
      <c r="T6" s="197">
        <f t="shared" ref="T6" si="0">Q6/P6</f>
        <v>0.75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43941</v>
      </c>
      <c r="D7" s="40" t="s">
        <v>8</v>
      </c>
      <c r="E7" s="40" t="s">
        <v>713</v>
      </c>
      <c r="F7" s="126">
        <v>757</v>
      </c>
      <c r="G7" s="126">
        <v>725</v>
      </c>
      <c r="H7" s="39">
        <v>43942</v>
      </c>
      <c r="I7" s="41">
        <v>2200</v>
      </c>
      <c r="J7" s="130">
        <v>-32</v>
      </c>
      <c r="K7" s="41">
        <f t="shared" ref="K7:K10" si="1">J7*I7</f>
        <v>-70400</v>
      </c>
      <c r="L7" s="42" t="s">
        <v>197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>
        <v>43943</v>
      </c>
      <c r="D8" s="40" t="s">
        <v>13</v>
      </c>
      <c r="E8" s="40" t="s">
        <v>449</v>
      </c>
      <c r="F8" s="128">
        <v>418</v>
      </c>
      <c r="G8" s="126">
        <v>435</v>
      </c>
      <c r="H8" s="39">
        <v>43943</v>
      </c>
      <c r="I8" s="41">
        <v>2400</v>
      </c>
      <c r="J8" s="130">
        <v>-17</v>
      </c>
      <c r="K8" s="41">
        <f t="shared" si="1"/>
        <v>-40800</v>
      </c>
      <c r="L8" s="42" t="s">
        <v>197</v>
      </c>
      <c r="M8" s="32"/>
      <c r="O8" s="198" t="s">
        <v>600</v>
      </c>
      <c r="P8" s="199">
        <f>COUNT(C42:C51)</f>
        <v>2</v>
      </c>
      <c r="Q8" s="200">
        <f>X52</f>
        <v>2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1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9</v>
      </c>
      <c r="Q10" s="173">
        <f>SUM(Q4:Q9)</f>
        <v>6</v>
      </c>
      <c r="R10" s="173">
        <f>SUM(R4:R9)</f>
        <v>3</v>
      </c>
      <c r="S10" s="193">
        <f>SUM(S4:S9)</f>
        <v>0</v>
      </c>
      <c r="T10" s="195">
        <f t="shared" si="5"/>
        <v>0.66666666666666663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0.66666666666666663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-58400</v>
      </c>
      <c r="L16" s="86"/>
      <c r="M16" s="32"/>
      <c r="X16" s="29">
        <f>SUM(X6:X15)</f>
        <v>1</v>
      </c>
      <c r="Y16" s="29">
        <f>SUM(Y6:Y15)</f>
        <v>2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43922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43929</v>
      </c>
      <c r="D24" s="40" t="s">
        <v>13</v>
      </c>
      <c r="E24" s="35" t="s">
        <v>176</v>
      </c>
      <c r="F24" s="36">
        <v>8850</v>
      </c>
      <c r="G24" s="36">
        <v>8700</v>
      </c>
      <c r="H24" s="39">
        <v>43929</v>
      </c>
      <c r="I24" s="36">
        <v>375</v>
      </c>
      <c r="J24" s="41">
        <v>150</v>
      </c>
      <c r="K24" s="41">
        <f>J24*I24</f>
        <v>56250</v>
      </c>
      <c r="L24" s="37" t="s">
        <v>642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43930</v>
      </c>
      <c r="D25" s="40" t="s">
        <v>13</v>
      </c>
      <c r="E25" s="40" t="s">
        <v>176</v>
      </c>
      <c r="F25" s="41">
        <v>9070</v>
      </c>
      <c r="G25" s="41">
        <v>8910</v>
      </c>
      <c r="H25" s="39">
        <v>43930</v>
      </c>
      <c r="I25" s="41">
        <v>375</v>
      </c>
      <c r="J25" s="115">
        <v>160</v>
      </c>
      <c r="K25" s="41">
        <f t="shared" ref="K25:K29" si="8">J25*I25</f>
        <v>60000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43937</v>
      </c>
      <c r="D26" s="40" t="s">
        <v>13</v>
      </c>
      <c r="E26" s="40" t="s">
        <v>176</v>
      </c>
      <c r="F26" s="41">
        <v>9040</v>
      </c>
      <c r="G26" s="41">
        <v>9140</v>
      </c>
      <c r="H26" s="39">
        <v>43938</v>
      </c>
      <c r="I26" s="41">
        <v>375</v>
      </c>
      <c r="J26" s="85">
        <v>-100</v>
      </c>
      <c r="K26" s="41">
        <f t="shared" si="8"/>
        <v>-37500</v>
      </c>
      <c r="L26" s="42" t="s">
        <v>197</v>
      </c>
      <c r="M26" s="32"/>
      <c r="X26" s="29">
        <f t="shared" si="6"/>
        <v>0</v>
      </c>
      <c r="Y26" s="29">
        <f t="shared" si="7"/>
        <v>1</v>
      </c>
    </row>
    <row r="27" spans="1:25" x14ac:dyDescent="0.3">
      <c r="A27" s="31"/>
      <c r="B27" s="38">
        <f t="shared" si="9"/>
        <v>4</v>
      </c>
      <c r="C27" s="39">
        <v>43941</v>
      </c>
      <c r="D27" s="40" t="s">
        <v>13</v>
      </c>
      <c r="E27" s="40" t="s">
        <v>176</v>
      </c>
      <c r="F27" s="41">
        <v>9280</v>
      </c>
      <c r="G27" s="41">
        <v>9020</v>
      </c>
      <c r="H27" s="39">
        <v>43942</v>
      </c>
      <c r="I27" s="41">
        <v>375</v>
      </c>
      <c r="J27" s="85">
        <v>260</v>
      </c>
      <c r="K27" s="41">
        <f t="shared" si="8"/>
        <v>97500</v>
      </c>
      <c r="L27" s="42" t="s">
        <v>647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176250</v>
      </c>
      <c r="L34" s="86"/>
      <c r="M34" s="32"/>
      <c r="X34" s="29">
        <f>SUM(X24:X33)</f>
        <v>3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43922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43929</v>
      </c>
      <c r="D42" s="35" t="s">
        <v>8</v>
      </c>
      <c r="E42" s="35" t="s">
        <v>711</v>
      </c>
      <c r="F42" s="127">
        <v>70</v>
      </c>
      <c r="G42" s="127">
        <v>78.3</v>
      </c>
      <c r="H42" s="34">
        <v>43929</v>
      </c>
      <c r="I42" s="36">
        <v>1000</v>
      </c>
      <c r="J42" s="129">
        <v>8.3000000000000007</v>
      </c>
      <c r="K42" s="41">
        <f>J42*I42</f>
        <v>8300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43937</v>
      </c>
      <c r="D43" s="121" t="s">
        <v>8</v>
      </c>
      <c r="E43" s="121" t="s">
        <v>712</v>
      </c>
      <c r="F43" s="128">
        <v>30</v>
      </c>
      <c r="G43" s="128">
        <v>35.5</v>
      </c>
      <c r="H43" s="120">
        <v>43937</v>
      </c>
      <c r="I43" s="122">
        <v>2400</v>
      </c>
      <c r="J43" s="133">
        <v>5.5</v>
      </c>
      <c r="K43" s="41">
        <f t="shared" ref="K43:K49" si="12">J43*I43</f>
        <v>13200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21500</v>
      </c>
      <c r="L52" s="86"/>
      <c r="M52" s="32"/>
      <c r="X52" s="29">
        <f>SUM(X42:X51)</f>
        <v>2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5500-000000000000}"/>
    <hyperlink ref="O1" location="'Home Page'!A1" display="Back" xr:uid="{00000000-0004-0000-5500-000001000000}"/>
    <hyperlink ref="B34" r:id="rId2" xr:uid="{00000000-0004-0000-5500-000002000000}"/>
    <hyperlink ref="B52" r:id="rId3" xr:uid="{00000000-0004-0000-5500-000003000000}"/>
  </hyperlinks>
  <pageMargins left="0" right="0" top="0" bottom="0" header="0" footer="0"/>
  <pageSetup paperSize="9" orientation="portrait" r:id="rId4"/>
  <drawing r:id="rId5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7"/>
  <dimension ref="A1:Y53"/>
  <sheetViews>
    <sheetView workbookViewId="0">
      <selection activeCell="M15" sqref="M15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332031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43952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1</v>
      </c>
      <c r="R4" s="208">
        <f>Y16</f>
        <v>2</v>
      </c>
      <c r="S4" s="209">
        <f>P4-Q4-R4</f>
        <v>0</v>
      </c>
      <c r="T4" s="195">
        <f>Q4/P4</f>
        <v>0.33333333333333331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43957</v>
      </c>
      <c r="D6" s="35" t="s">
        <v>13</v>
      </c>
      <c r="E6" s="35" t="s">
        <v>67</v>
      </c>
      <c r="F6" s="126">
        <v>1455</v>
      </c>
      <c r="G6" s="127">
        <v>1444</v>
      </c>
      <c r="H6" s="34">
        <v>43957</v>
      </c>
      <c r="I6" s="36">
        <v>1000</v>
      </c>
      <c r="J6" s="129">
        <v>11</v>
      </c>
      <c r="K6" s="41">
        <f>J6*I6</f>
        <v>11000</v>
      </c>
      <c r="L6" s="37" t="s">
        <v>646</v>
      </c>
      <c r="M6" s="32"/>
      <c r="O6" s="198" t="s">
        <v>599</v>
      </c>
      <c r="P6" s="199">
        <f>COUNT(C24:C33)</f>
        <v>2</v>
      </c>
      <c r="Q6" s="200">
        <f>X34</f>
        <v>1</v>
      </c>
      <c r="R6" s="200">
        <f>Y34</f>
        <v>1</v>
      </c>
      <c r="S6" s="201">
        <v>0</v>
      </c>
      <c r="T6" s="197">
        <f t="shared" ref="T6" si="0">Q6/P6</f>
        <v>0.5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43963</v>
      </c>
      <c r="D7" s="40" t="s">
        <v>13</v>
      </c>
      <c r="E7" s="40" t="s">
        <v>28</v>
      </c>
      <c r="F7" s="126">
        <v>312</v>
      </c>
      <c r="G7" s="126">
        <v>320</v>
      </c>
      <c r="H7" s="39">
        <v>43963</v>
      </c>
      <c r="I7" s="41">
        <v>2750</v>
      </c>
      <c r="J7" s="130">
        <v>-8</v>
      </c>
      <c r="K7" s="41">
        <f t="shared" ref="K7:K10" si="1">J7*I7</f>
        <v>-22000</v>
      </c>
      <c r="L7" s="42" t="s">
        <v>197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>
        <v>43978</v>
      </c>
      <c r="D8" s="40" t="s">
        <v>13</v>
      </c>
      <c r="E8" s="40" t="s">
        <v>67</v>
      </c>
      <c r="F8" s="128">
        <v>1417</v>
      </c>
      <c r="G8" s="126">
        <v>1737</v>
      </c>
      <c r="H8" s="39">
        <v>43978</v>
      </c>
      <c r="I8" s="41">
        <v>1000</v>
      </c>
      <c r="J8" s="130">
        <v>-20</v>
      </c>
      <c r="K8" s="41">
        <f t="shared" si="1"/>
        <v>-20000</v>
      </c>
      <c r="L8" s="42" t="s">
        <v>197</v>
      </c>
      <c r="M8" s="32"/>
      <c r="O8" s="198" t="s">
        <v>600</v>
      </c>
      <c r="P8" s="199">
        <f>COUNT(C42:C51)</f>
        <v>3</v>
      </c>
      <c r="Q8" s="200">
        <f>X52</f>
        <v>3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1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8</v>
      </c>
      <c r="Q10" s="173">
        <f>SUM(Q4:Q9)</f>
        <v>5</v>
      </c>
      <c r="R10" s="173">
        <f>SUM(R4:R9)</f>
        <v>3</v>
      </c>
      <c r="S10" s="193">
        <f>SUM(S4:S9)</f>
        <v>0</v>
      </c>
      <c r="T10" s="195">
        <f t="shared" si="5"/>
        <v>0.625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0.625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-31000</v>
      </c>
      <c r="L16" s="86"/>
      <c r="M16" s="32"/>
      <c r="X16" s="29">
        <f>SUM(X6:X15)</f>
        <v>1</v>
      </c>
      <c r="Y16" s="29">
        <f>SUM(Y6:Y15)</f>
        <v>2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43952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43956</v>
      </c>
      <c r="D24" s="40" t="s">
        <v>13</v>
      </c>
      <c r="E24" s="35" t="s">
        <v>30</v>
      </c>
      <c r="F24" s="36">
        <v>9330</v>
      </c>
      <c r="G24" s="36">
        <v>9200</v>
      </c>
      <c r="H24" s="39">
        <v>43956</v>
      </c>
      <c r="I24" s="36">
        <v>375</v>
      </c>
      <c r="J24" s="41">
        <v>130</v>
      </c>
      <c r="K24" s="41">
        <f>J24*I24</f>
        <v>48750</v>
      </c>
      <c r="L24" s="37" t="s">
        <v>655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43963</v>
      </c>
      <c r="D25" s="40" t="s">
        <v>13</v>
      </c>
      <c r="E25" s="40" t="s">
        <v>30</v>
      </c>
      <c r="F25" s="41">
        <v>9100</v>
      </c>
      <c r="G25" s="41">
        <v>9200</v>
      </c>
      <c r="H25" s="39">
        <v>43963</v>
      </c>
      <c r="I25" s="41">
        <v>375</v>
      </c>
      <c r="J25" s="115">
        <v>-100</v>
      </c>
      <c r="K25" s="41">
        <f t="shared" ref="K25:K29" si="8">J25*I25</f>
        <v>-37500</v>
      </c>
      <c r="L25" s="42" t="s">
        <v>197</v>
      </c>
      <c r="M25" s="32"/>
      <c r="X25" s="29">
        <f t="shared" si="6"/>
        <v>0</v>
      </c>
      <c r="Y25" s="29">
        <f t="shared" si="7"/>
        <v>1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11250</v>
      </c>
      <c r="L34" s="86"/>
      <c r="M34" s="32"/>
      <c r="X34" s="29">
        <f>SUM(X24:X33)</f>
        <v>1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43952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43956</v>
      </c>
      <c r="D42" s="35" t="s">
        <v>8</v>
      </c>
      <c r="E42" s="35" t="s">
        <v>714</v>
      </c>
      <c r="F42" s="127">
        <v>35</v>
      </c>
      <c r="G42" s="127">
        <v>48.5</v>
      </c>
      <c r="H42" s="34">
        <v>43957</v>
      </c>
      <c r="I42" s="36">
        <v>2400</v>
      </c>
      <c r="J42" s="129">
        <v>13.5</v>
      </c>
      <c r="K42" s="41">
        <f>J42*I42</f>
        <v>32400</v>
      </c>
      <c r="L42" s="37" t="s">
        <v>651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43963</v>
      </c>
      <c r="D43" s="121" t="s">
        <v>8</v>
      </c>
      <c r="E43" s="121" t="s">
        <v>715</v>
      </c>
      <c r="F43" s="128">
        <v>8</v>
      </c>
      <c r="G43" s="128">
        <v>15.4</v>
      </c>
      <c r="H43" s="120">
        <v>43964</v>
      </c>
      <c r="I43" s="122">
        <v>6000</v>
      </c>
      <c r="J43" s="133">
        <v>7.4</v>
      </c>
      <c r="K43" s="41">
        <f t="shared" ref="K43:K49" si="12">J43*I43</f>
        <v>44400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43969</v>
      </c>
      <c r="D44" s="40" t="s">
        <v>8</v>
      </c>
      <c r="E44" s="40" t="s">
        <v>716</v>
      </c>
      <c r="F44" s="126">
        <v>120</v>
      </c>
      <c r="G44" s="126">
        <v>140</v>
      </c>
      <c r="H44" s="39">
        <v>43969</v>
      </c>
      <c r="I44" s="41">
        <v>500</v>
      </c>
      <c r="J44" s="130">
        <v>20</v>
      </c>
      <c r="K44" s="41">
        <f t="shared" si="12"/>
        <v>10000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86800</v>
      </c>
      <c r="L52" s="86"/>
      <c r="M52" s="32"/>
      <c r="X52" s="29">
        <f>SUM(X42:X51)</f>
        <v>3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5600-000000000000}"/>
    <hyperlink ref="O1" location="'Home Page'!A1" display="Back" xr:uid="{00000000-0004-0000-5600-000001000000}"/>
    <hyperlink ref="B34" r:id="rId2" xr:uid="{00000000-0004-0000-5600-000002000000}"/>
    <hyperlink ref="B52" r:id="rId3" xr:uid="{00000000-0004-0000-5600-000003000000}"/>
  </hyperlinks>
  <pageMargins left="0" right="0" top="0" bottom="0" header="0" footer="0"/>
  <pageSetup paperSize="9" orientation="portrait" r:id="rId4"/>
  <drawing r:id="rId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8"/>
  <dimension ref="A1:Y53"/>
  <sheetViews>
    <sheetView topLeftCell="B1" workbookViewId="0">
      <selection activeCell="N13" sqref="N13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8.5546875" style="29" customWidth="1"/>
    <col min="5" max="5" width="19.3320312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43983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4</v>
      </c>
      <c r="Q4" s="208">
        <f>X16</f>
        <v>3</v>
      </c>
      <c r="R4" s="208">
        <f>Y16</f>
        <v>1</v>
      </c>
      <c r="S4" s="209">
        <f>P4-Q4-R4</f>
        <v>0</v>
      </c>
      <c r="T4" s="195">
        <f>Q4/P4</f>
        <v>0.75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43985</v>
      </c>
      <c r="D6" s="35" t="s">
        <v>8</v>
      </c>
      <c r="E6" s="35" t="s">
        <v>718</v>
      </c>
      <c r="F6" s="126">
        <v>1020</v>
      </c>
      <c r="G6" s="127">
        <v>1060</v>
      </c>
      <c r="H6" s="34">
        <v>43990</v>
      </c>
      <c r="I6" s="36">
        <v>1400</v>
      </c>
      <c r="J6" s="129">
        <v>40</v>
      </c>
      <c r="K6" s="41">
        <f>J6*I6</f>
        <v>56000</v>
      </c>
      <c r="L6" s="37" t="s">
        <v>642</v>
      </c>
      <c r="M6" s="32"/>
      <c r="O6" s="198" t="s">
        <v>599</v>
      </c>
      <c r="P6" s="199">
        <f>COUNT(C24:C33)</f>
        <v>3</v>
      </c>
      <c r="Q6" s="200">
        <f>X34</f>
        <v>1</v>
      </c>
      <c r="R6" s="200">
        <f>Y34</f>
        <v>2</v>
      </c>
      <c r="S6" s="201">
        <v>0</v>
      </c>
      <c r="T6" s="197">
        <f t="shared" ref="T6" si="0">Q6/P6</f>
        <v>0.33333333333333331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43994</v>
      </c>
      <c r="D7" s="40" t="s">
        <v>8</v>
      </c>
      <c r="E7" s="40" t="s">
        <v>330</v>
      </c>
      <c r="F7" s="126">
        <v>675</v>
      </c>
      <c r="G7" s="126">
        <v>698</v>
      </c>
      <c r="H7" s="39">
        <v>43997</v>
      </c>
      <c r="I7" s="41">
        <v>1200</v>
      </c>
      <c r="J7" s="130">
        <v>23</v>
      </c>
      <c r="K7" s="41">
        <f t="shared" ref="K7:K10" si="1">J7*I7</f>
        <v>27600</v>
      </c>
      <c r="L7" s="42" t="s">
        <v>646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43997</v>
      </c>
      <c r="D8" s="40" t="s">
        <v>13</v>
      </c>
      <c r="E8" s="40" t="s">
        <v>722</v>
      </c>
      <c r="F8" s="128">
        <v>1690</v>
      </c>
      <c r="G8" s="126">
        <v>1740</v>
      </c>
      <c r="H8" s="39">
        <v>43998</v>
      </c>
      <c r="I8" s="41">
        <v>1000</v>
      </c>
      <c r="J8" s="130">
        <v>-50</v>
      </c>
      <c r="K8" s="41">
        <f t="shared" si="1"/>
        <v>-50000</v>
      </c>
      <c r="L8" s="42" t="s">
        <v>197</v>
      </c>
      <c r="M8" s="32"/>
      <c r="O8" s="198" t="s">
        <v>600</v>
      </c>
      <c r="P8" s="199">
        <f>COUNT(C42:C51)</f>
        <v>4</v>
      </c>
      <c r="Q8" s="200">
        <f>X52</f>
        <v>3</v>
      </c>
      <c r="R8" s="200">
        <f>Y52</f>
        <v>1</v>
      </c>
      <c r="S8" s="201">
        <v>0</v>
      </c>
      <c r="T8" s="197">
        <f t="shared" ref="T8:T10" si="5">Q8/P8</f>
        <v>0.75</v>
      </c>
      <c r="X8" s="29">
        <f t="shared" si="2"/>
        <v>0</v>
      </c>
      <c r="Y8" s="29">
        <f t="shared" si="3"/>
        <v>1</v>
      </c>
    </row>
    <row r="9" spans="1:25" ht="15" thickBot="1" x14ac:dyDescent="0.35">
      <c r="A9" s="31"/>
      <c r="B9" s="38">
        <f t="shared" si="4"/>
        <v>4</v>
      </c>
      <c r="C9" s="39">
        <v>44001</v>
      </c>
      <c r="D9" s="40" t="s">
        <v>8</v>
      </c>
      <c r="E9" s="40" t="s">
        <v>723</v>
      </c>
      <c r="F9" s="126">
        <v>109</v>
      </c>
      <c r="G9" s="126">
        <v>114.3</v>
      </c>
      <c r="H9" s="39">
        <v>44006</v>
      </c>
      <c r="I9" s="41">
        <v>6000</v>
      </c>
      <c r="J9" s="130">
        <v>5.3</v>
      </c>
      <c r="K9" s="41">
        <f t="shared" si="1"/>
        <v>31800</v>
      </c>
      <c r="L9" s="42" t="s">
        <v>651</v>
      </c>
      <c r="M9" s="32"/>
      <c r="O9" s="203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f>SUM(Q4:Q9)</f>
        <v>7</v>
      </c>
      <c r="R10" s="173">
        <f>SUM(R4:R9)</f>
        <v>4</v>
      </c>
      <c r="S10" s="193">
        <f>SUM(S4:S9)</f>
        <v>0</v>
      </c>
      <c r="T10" s="195">
        <f t="shared" si="5"/>
        <v>0.63636363636363635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0.63636363636363635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65400</v>
      </c>
      <c r="L16" s="86"/>
      <c r="M16" s="32"/>
      <c r="X16" s="29">
        <f>SUM(X6:X15)</f>
        <v>3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43983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43990</v>
      </c>
      <c r="D24" s="40" t="s">
        <v>13</v>
      </c>
      <c r="E24" s="35" t="s">
        <v>30</v>
      </c>
      <c r="F24" s="36">
        <v>10150</v>
      </c>
      <c r="G24" s="36">
        <v>10250</v>
      </c>
      <c r="H24" s="39">
        <v>43991</v>
      </c>
      <c r="I24" s="36">
        <v>375</v>
      </c>
      <c r="J24" s="41">
        <v>-100</v>
      </c>
      <c r="K24" s="41">
        <f>J24*I24</f>
        <v>-37500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43997</v>
      </c>
      <c r="D25" s="40" t="s">
        <v>13</v>
      </c>
      <c r="E25" s="40" t="s">
        <v>30</v>
      </c>
      <c r="F25" s="41">
        <v>9800</v>
      </c>
      <c r="G25" s="41">
        <v>9900</v>
      </c>
      <c r="H25" s="39">
        <v>43998</v>
      </c>
      <c r="I25" s="41">
        <v>375</v>
      </c>
      <c r="J25" s="115">
        <v>-100</v>
      </c>
      <c r="K25" s="41">
        <f t="shared" ref="K25:K29" si="8">J25*I25</f>
        <v>-37500</v>
      </c>
      <c r="L25" s="42" t="s">
        <v>197</v>
      </c>
      <c r="M25" s="32"/>
      <c r="X25" s="29">
        <f t="shared" si="6"/>
        <v>0</v>
      </c>
      <c r="Y25" s="29">
        <f t="shared" si="7"/>
        <v>1</v>
      </c>
    </row>
    <row r="26" spans="1:25" x14ac:dyDescent="0.3">
      <c r="A26" s="31"/>
      <c r="B26" s="38">
        <f t="shared" ref="B26:B33" si="9">B25+1</f>
        <v>3</v>
      </c>
      <c r="C26" s="39">
        <v>44001</v>
      </c>
      <c r="D26" s="40" t="s">
        <v>13</v>
      </c>
      <c r="E26" s="40" t="s">
        <v>30</v>
      </c>
      <c r="F26" s="41">
        <v>10190</v>
      </c>
      <c r="G26" s="41">
        <v>10120</v>
      </c>
      <c r="H26" s="39">
        <v>44001</v>
      </c>
      <c r="I26" s="41">
        <v>375</v>
      </c>
      <c r="J26" s="85">
        <v>70</v>
      </c>
      <c r="K26" s="41">
        <f t="shared" si="8"/>
        <v>26250</v>
      </c>
      <c r="L26" s="42" t="s">
        <v>642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-48750</v>
      </c>
      <c r="L34" s="86"/>
      <c r="M34" s="32"/>
      <c r="X34" s="29">
        <f>SUM(X24:X33)</f>
        <v>1</v>
      </c>
      <c r="Y34" s="29">
        <f>SUM(Y24:Y33)</f>
        <v>2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43983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43985</v>
      </c>
      <c r="D42" s="35" t="s">
        <v>8</v>
      </c>
      <c r="E42" s="35" t="s">
        <v>717</v>
      </c>
      <c r="F42" s="127">
        <v>75</v>
      </c>
      <c r="G42" s="127">
        <v>115</v>
      </c>
      <c r="H42" s="34">
        <v>43986</v>
      </c>
      <c r="I42" s="36">
        <v>1000</v>
      </c>
      <c r="J42" s="129">
        <v>40</v>
      </c>
      <c r="K42" s="41">
        <f>J42*I42</f>
        <v>40000</v>
      </c>
      <c r="L42" s="37" t="s">
        <v>647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43987</v>
      </c>
      <c r="D43" s="121" t="s">
        <v>8</v>
      </c>
      <c r="E43" s="121" t="s">
        <v>719</v>
      </c>
      <c r="F43" s="128">
        <v>18</v>
      </c>
      <c r="G43" s="128">
        <v>26</v>
      </c>
      <c r="H43" s="120">
        <v>43990</v>
      </c>
      <c r="I43" s="122">
        <v>2750</v>
      </c>
      <c r="J43" s="133">
        <v>8</v>
      </c>
      <c r="K43" s="41">
        <f t="shared" ref="K43:K49" si="12">J43*I43</f>
        <v>22000</v>
      </c>
      <c r="L43" s="124" t="s">
        <v>651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43994</v>
      </c>
      <c r="D44" s="40" t="s">
        <v>8</v>
      </c>
      <c r="E44" s="40" t="s">
        <v>720</v>
      </c>
      <c r="F44" s="126">
        <v>170</v>
      </c>
      <c r="G44" s="126">
        <v>220</v>
      </c>
      <c r="H44" s="39">
        <v>43994</v>
      </c>
      <c r="I44" s="41">
        <v>200</v>
      </c>
      <c r="J44" s="130">
        <v>50</v>
      </c>
      <c r="K44" s="41">
        <f t="shared" si="12"/>
        <v>10000</v>
      </c>
      <c r="L44" s="42" t="s">
        <v>642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43997</v>
      </c>
      <c r="D45" s="40" t="s">
        <v>8</v>
      </c>
      <c r="E45" s="40" t="s">
        <v>721</v>
      </c>
      <c r="F45" s="126">
        <v>7</v>
      </c>
      <c r="G45" s="126">
        <v>3</v>
      </c>
      <c r="H45" s="39">
        <v>43998</v>
      </c>
      <c r="I45" s="41">
        <v>10000</v>
      </c>
      <c r="J45" s="130">
        <v>-4</v>
      </c>
      <c r="K45" s="41">
        <f t="shared" si="12"/>
        <v>-40000</v>
      </c>
      <c r="L45" s="42" t="s">
        <v>197</v>
      </c>
      <c r="M45" s="32"/>
      <c r="X45" s="29">
        <f t="shared" si="10"/>
        <v>0</v>
      </c>
      <c r="Y45" s="29">
        <f t="shared" si="11"/>
        <v>1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32000</v>
      </c>
      <c r="L52" s="86"/>
      <c r="M52" s="32"/>
      <c r="X52" s="29">
        <f>SUM(X42:X51)</f>
        <v>3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5700-000000000000}"/>
    <hyperlink ref="O1" location="'Home Page'!A1" display="Back" xr:uid="{00000000-0004-0000-5700-000001000000}"/>
    <hyperlink ref="B34" r:id="rId2" xr:uid="{00000000-0004-0000-5700-000002000000}"/>
    <hyperlink ref="B52" r:id="rId3" xr:uid="{00000000-0004-0000-5700-000003000000}"/>
  </hyperlinks>
  <pageMargins left="0" right="0" top="0" bottom="0" header="0" footer="0"/>
  <pageSetup paperSize="9" orientation="portrait" r:id="rId4"/>
  <drawing r:id="rId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89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44013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44014</v>
      </c>
      <c r="D6" s="35" t="s">
        <v>8</v>
      </c>
      <c r="E6" s="35" t="s">
        <v>332</v>
      </c>
      <c r="F6" s="126">
        <v>937</v>
      </c>
      <c r="G6" s="127">
        <v>960</v>
      </c>
      <c r="H6" s="34">
        <v>44018</v>
      </c>
      <c r="I6" s="36">
        <v>1100</v>
      </c>
      <c r="J6" s="129">
        <v>25</v>
      </c>
      <c r="K6" s="41">
        <f>J6*I6</f>
        <v>27500</v>
      </c>
      <c r="L6" s="37" t="s">
        <v>642</v>
      </c>
      <c r="M6" s="32"/>
      <c r="O6" s="198" t="s">
        <v>599</v>
      </c>
      <c r="P6" s="199">
        <f>COUNT(C24:C33)</f>
        <v>2</v>
      </c>
      <c r="Q6" s="200">
        <f>X34</f>
        <v>1</v>
      </c>
      <c r="R6" s="200">
        <f>Y34</f>
        <v>1</v>
      </c>
      <c r="S6" s="201">
        <v>0</v>
      </c>
      <c r="T6" s="197">
        <f t="shared" ref="T6" si="0">Q6/P6</f>
        <v>0.5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44019</v>
      </c>
      <c r="D7" s="40" t="s">
        <v>13</v>
      </c>
      <c r="E7" s="40" t="s">
        <v>67</v>
      </c>
      <c r="F7" s="126">
        <v>1822</v>
      </c>
      <c r="G7" s="126">
        <v>1794.05</v>
      </c>
      <c r="H7" s="39">
        <v>44020</v>
      </c>
      <c r="I7" s="41">
        <v>1010</v>
      </c>
      <c r="J7" s="130">
        <v>27.95</v>
      </c>
      <c r="K7" s="41">
        <f t="shared" ref="K7:K10" si="1">J7*I7</f>
        <v>28229.5</v>
      </c>
      <c r="L7" s="42" t="s">
        <v>651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44025</v>
      </c>
      <c r="D8" s="40" t="s">
        <v>8</v>
      </c>
      <c r="E8" s="40" t="s">
        <v>699</v>
      </c>
      <c r="F8" s="128">
        <v>3800</v>
      </c>
      <c r="G8" s="126">
        <v>3880</v>
      </c>
      <c r="H8" s="39">
        <v>44026</v>
      </c>
      <c r="I8" s="41">
        <v>400</v>
      </c>
      <c r="J8" s="130">
        <v>80</v>
      </c>
      <c r="K8" s="41">
        <f t="shared" si="1"/>
        <v>32000</v>
      </c>
      <c r="L8" s="42" t="s">
        <v>646</v>
      </c>
      <c r="M8" s="32"/>
      <c r="O8" s="198" t="s">
        <v>600</v>
      </c>
      <c r="P8" s="199">
        <f>COUNT(C42:C51)</f>
        <v>5</v>
      </c>
      <c r="Q8" s="200">
        <f>X52</f>
        <v>3</v>
      </c>
      <c r="R8" s="200">
        <f>Y52</f>
        <v>2</v>
      </c>
      <c r="S8" s="201">
        <v>0</v>
      </c>
      <c r="T8" s="197">
        <f t="shared" ref="T8:T10" si="5">Q8/P8</f>
        <v>0.6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10</v>
      </c>
      <c r="Q10" s="173">
        <f>SUM(Q4:Q9)</f>
        <v>7</v>
      </c>
      <c r="R10" s="173">
        <f>SUM(R4:R9)</f>
        <v>3</v>
      </c>
      <c r="S10" s="193">
        <f>SUM(S4:S9)</f>
        <v>0</v>
      </c>
      <c r="T10" s="195">
        <f t="shared" si="5"/>
        <v>0.7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87729.5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44013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44013</v>
      </c>
      <c r="D24" s="40" t="s">
        <v>13</v>
      </c>
      <c r="E24" s="35" t="s">
        <v>30</v>
      </c>
      <c r="F24" s="36">
        <v>10400</v>
      </c>
      <c r="G24" s="36">
        <v>10480</v>
      </c>
      <c r="H24" s="39">
        <v>44013</v>
      </c>
      <c r="I24" s="36">
        <v>375</v>
      </c>
      <c r="J24" s="41">
        <v>-80</v>
      </c>
      <c r="K24" s="41">
        <f>J24*I24</f>
        <v>-30000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44027</v>
      </c>
      <c r="D25" s="40" t="s">
        <v>13</v>
      </c>
      <c r="E25" s="40" t="s">
        <v>30</v>
      </c>
      <c r="F25" s="41">
        <v>10760</v>
      </c>
      <c r="G25" s="41">
        <v>10600</v>
      </c>
      <c r="H25" s="39">
        <v>44027</v>
      </c>
      <c r="I25" s="41">
        <v>375</v>
      </c>
      <c r="J25" s="115">
        <v>160</v>
      </c>
      <c r="K25" s="41">
        <f t="shared" ref="K25:K29" si="8">J25*I25</f>
        <v>60000</v>
      </c>
      <c r="L25" s="42" t="s">
        <v>690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30000</v>
      </c>
      <c r="L34" s="86"/>
      <c r="M34" s="32"/>
      <c r="X34" s="29">
        <f>SUM(X24:X33)</f>
        <v>1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44013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44013</v>
      </c>
      <c r="D42" s="35" t="s">
        <v>8</v>
      </c>
      <c r="E42" s="35" t="s">
        <v>712</v>
      </c>
      <c r="F42" s="127">
        <v>23</v>
      </c>
      <c r="G42" s="127">
        <v>13</v>
      </c>
      <c r="H42" s="34">
        <v>44014</v>
      </c>
      <c r="I42" s="36">
        <v>2400</v>
      </c>
      <c r="J42" s="129">
        <v>-10</v>
      </c>
      <c r="K42" s="41">
        <f>J42*I42</f>
        <v>-24000</v>
      </c>
      <c r="L42" s="37" t="s">
        <v>197</v>
      </c>
      <c r="M42" s="32"/>
      <c r="X42" s="29">
        <f t="shared" ref="X42:X51" si="10">IF($K42&gt;0,1,0)</f>
        <v>0</v>
      </c>
      <c r="Y42" s="29">
        <f t="shared" ref="Y42:Y51" si="11">IF($K42&lt;0,1,0)</f>
        <v>1</v>
      </c>
    </row>
    <row r="43" spans="1:25" x14ac:dyDescent="0.3">
      <c r="A43" s="31"/>
      <c r="B43" s="119">
        <v>2</v>
      </c>
      <c r="C43" s="120">
        <v>44021</v>
      </c>
      <c r="D43" s="121" t="s">
        <v>8</v>
      </c>
      <c r="E43" s="121" t="s">
        <v>724</v>
      </c>
      <c r="F43" s="128">
        <v>18</v>
      </c>
      <c r="G43" s="128">
        <v>22.8</v>
      </c>
      <c r="H43" s="120">
        <v>44022</v>
      </c>
      <c r="I43" s="122">
        <v>2800</v>
      </c>
      <c r="J43" s="133">
        <v>4.8</v>
      </c>
      <c r="K43" s="41">
        <f t="shared" ref="K43:K49" si="12">J43*I43</f>
        <v>13440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44027</v>
      </c>
      <c r="D44" s="40" t="s">
        <v>8</v>
      </c>
      <c r="E44" s="40" t="s">
        <v>725</v>
      </c>
      <c r="F44" s="126">
        <v>6.5</v>
      </c>
      <c r="G44" s="126">
        <v>8.1999999999999993</v>
      </c>
      <c r="H44" s="39">
        <v>44028</v>
      </c>
      <c r="I44" s="41">
        <v>11400</v>
      </c>
      <c r="J44" s="130">
        <v>1.7</v>
      </c>
      <c r="K44" s="41">
        <f t="shared" si="12"/>
        <v>19380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44032</v>
      </c>
      <c r="D45" s="40" t="s">
        <v>8</v>
      </c>
      <c r="E45" s="40" t="s">
        <v>726</v>
      </c>
      <c r="F45" s="126">
        <v>12</v>
      </c>
      <c r="G45" s="126">
        <v>8</v>
      </c>
      <c r="H45" s="39">
        <v>44032</v>
      </c>
      <c r="I45" s="41">
        <v>5600</v>
      </c>
      <c r="J45" s="130">
        <v>-4</v>
      </c>
      <c r="K45" s="41">
        <f t="shared" si="12"/>
        <v>-22400</v>
      </c>
      <c r="L45" s="42" t="s">
        <v>197</v>
      </c>
      <c r="M45" s="32"/>
      <c r="X45" s="29">
        <f t="shared" si="10"/>
        <v>0</v>
      </c>
      <c r="Y45" s="29">
        <f t="shared" si="11"/>
        <v>1</v>
      </c>
    </row>
    <row r="46" spans="1:25" x14ac:dyDescent="0.3">
      <c r="A46" s="31"/>
      <c r="B46" s="38">
        <f t="shared" si="13"/>
        <v>5</v>
      </c>
      <c r="C46" s="39">
        <v>44036</v>
      </c>
      <c r="D46" s="40" t="s">
        <v>8</v>
      </c>
      <c r="E46" s="40" t="s">
        <v>727</v>
      </c>
      <c r="F46" s="126">
        <v>60</v>
      </c>
      <c r="G46" s="126">
        <v>75.45</v>
      </c>
      <c r="H46" s="39">
        <v>44037</v>
      </c>
      <c r="I46" s="41">
        <v>1010</v>
      </c>
      <c r="J46" s="130">
        <v>15.45</v>
      </c>
      <c r="K46" s="41">
        <f t="shared" si="12"/>
        <v>15604.5</v>
      </c>
      <c r="L46" s="42" t="s">
        <v>646</v>
      </c>
      <c r="M46" s="32"/>
      <c r="X46" s="29">
        <f t="shared" si="10"/>
        <v>1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 t="s">
        <v>197</v>
      </c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2024.5</v>
      </c>
      <c r="L52" s="86"/>
      <c r="M52" s="32"/>
      <c r="X52" s="29">
        <f>SUM(X42:X51)</f>
        <v>3</v>
      </c>
      <c r="Y52" s="29">
        <f>SUM(Y42:Y51)</f>
        <v>2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800-000000000000}"/>
    <hyperlink ref="O1" location="'Home Page'!A1" display="Back" xr:uid="{00000000-0004-0000-5800-000001000000}"/>
    <hyperlink ref="B34" r:id="rId2" xr:uid="{00000000-0004-0000-5800-000002000000}"/>
    <hyperlink ref="B52" r:id="rId3" xr:uid="{00000000-0004-0000-5800-000003000000}"/>
  </hyperlinks>
  <pageMargins left="0" right="0" top="0" bottom="0" header="0" footer="0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32"/>
  <sheetViews>
    <sheetView workbookViewId="0">
      <selection activeCell="J2" sqref="J2"/>
    </sheetView>
  </sheetViews>
  <sheetFormatPr defaultRowHeight="14.4" x14ac:dyDescent="0.3"/>
  <cols>
    <col min="1" max="1" width="4.88671875" style="5" bestFit="1" customWidth="1"/>
    <col min="2" max="2" width="20.109375" bestFit="1" customWidth="1"/>
    <col min="3" max="3" width="10" bestFit="1" customWidth="1"/>
    <col min="4" max="4" width="32.33203125" bestFit="1" customWidth="1"/>
    <col min="5" max="7" width="9.5546875" bestFit="1" customWidth="1"/>
    <col min="8" max="8" width="14.88671875" bestFit="1" customWidth="1"/>
    <col min="9" max="9" width="9.109375" style="5"/>
  </cols>
  <sheetData>
    <row r="1" spans="1:10" ht="15" thickBot="1" x14ac:dyDescent="0.35">
      <c r="A1" s="4"/>
      <c r="B1" s="156"/>
      <c r="C1" s="156"/>
      <c r="D1" s="156"/>
      <c r="E1" s="156"/>
      <c r="F1" s="156"/>
      <c r="G1" s="156"/>
      <c r="H1" s="156"/>
      <c r="I1" s="4"/>
    </row>
    <row r="2" spans="1:10" ht="26.4" thickBot="1" x14ac:dyDescent="0.35">
      <c r="A2" s="4" t="s">
        <v>0</v>
      </c>
      <c r="B2" s="157" t="s">
        <v>142</v>
      </c>
      <c r="C2" s="157"/>
      <c r="D2" s="157"/>
      <c r="E2" s="157"/>
      <c r="F2" s="157"/>
      <c r="G2" s="157"/>
      <c r="H2" s="157"/>
      <c r="I2" s="4"/>
      <c r="J2" s="30" t="s">
        <v>566</v>
      </c>
    </row>
    <row r="3" spans="1:10" ht="16.2" thickBot="1" x14ac:dyDescent="0.35">
      <c r="A3" s="6"/>
      <c r="B3" s="158" t="s">
        <v>113</v>
      </c>
      <c r="C3" s="158"/>
      <c r="D3" s="158"/>
      <c r="E3" s="158"/>
      <c r="F3" s="158"/>
      <c r="G3" s="158"/>
      <c r="H3" s="158"/>
      <c r="I3" s="6"/>
    </row>
    <row r="4" spans="1:10" x14ac:dyDescent="0.3"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10</v>
      </c>
    </row>
    <row r="5" spans="1:10" ht="25.8" x14ac:dyDescent="0.5">
      <c r="B5" s="7">
        <v>41583</v>
      </c>
      <c r="C5" s="8" t="s">
        <v>20</v>
      </c>
      <c r="D5" s="8" t="s">
        <v>119</v>
      </c>
      <c r="E5" s="8">
        <v>206</v>
      </c>
      <c r="F5" s="8">
        <v>215</v>
      </c>
      <c r="G5" s="8">
        <v>4000</v>
      </c>
      <c r="H5" s="8">
        <v>36000</v>
      </c>
    </row>
    <row r="6" spans="1:10" ht="25.8" x14ac:dyDescent="0.5">
      <c r="B6" s="7">
        <v>41586</v>
      </c>
      <c r="C6" s="8" t="s">
        <v>13</v>
      </c>
      <c r="D6" s="8" t="s">
        <v>14</v>
      </c>
      <c r="E6" s="8">
        <v>150</v>
      </c>
      <c r="F6" s="8">
        <v>142</v>
      </c>
      <c r="G6" s="8">
        <v>4000</v>
      </c>
      <c r="H6" s="8">
        <v>32000</v>
      </c>
    </row>
    <row r="7" spans="1:10" ht="25.8" x14ac:dyDescent="0.5">
      <c r="B7" s="7">
        <v>41590</v>
      </c>
      <c r="C7" s="8" t="s">
        <v>13</v>
      </c>
      <c r="D7" s="8" t="s">
        <v>120</v>
      </c>
      <c r="E7" s="8">
        <v>805</v>
      </c>
      <c r="F7" s="8">
        <v>825</v>
      </c>
      <c r="G7" s="8">
        <v>1000</v>
      </c>
      <c r="H7" s="8">
        <v>-20000</v>
      </c>
    </row>
    <row r="8" spans="1:10" ht="25.8" x14ac:dyDescent="0.5">
      <c r="B8" s="7">
        <v>41598</v>
      </c>
      <c r="C8" s="8" t="s">
        <v>13</v>
      </c>
      <c r="D8" s="8" t="s">
        <v>75</v>
      </c>
      <c r="E8" s="8">
        <v>106</v>
      </c>
      <c r="F8" s="8">
        <v>102</v>
      </c>
      <c r="G8" s="8">
        <v>8000</v>
      </c>
      <c r="H8" s="8">
        <v>32000</v>
      </c>
    </row>
    <row r="9" spans="1:10" ht="25.8" x14ac:dyDescent="0.5">
      <c r="B9" s="7">
        <v>41604</v>
      </c>
      <c r="C9" s="8" t="s">
        <v>13</v>
      </c>
      <c r="D9" s="8" t="s">
        <v>28</v>
      </c>
      <c r="E9" s="8">
        <v>1060</v>
      </c>
      <c r="F9" s="8">
        <v>1040</v>
      </c>
      <c r="G9" s="8">
        <v>500</v>
      </c>
      <c r="H9" s="8">
        <v>10000</v>
      </c>
    </row>
    <row r="10" spans="1:10" ht="25.8" x14ac:dyDescent="0.5">
      <c r="B10" s="7"/>
      <c r="C10" s="8"/>
      <c r="D10" s="8"/>
      <c r="E10" s="8"/>
      <c r="F10" s="8"/>
      <c r="G10" s="8"/>
      <c r="H10" s="9">
        <v>90000</v>
      </c>
    </row>
    <row r="12" spans="1:10" ht="15" thickBot="1" x14ac:dyDescent="0.35"/>
    <row r="13" spans="1:10" ht="16.2" thickBot="1" x14ac:dyDescent="0.35">
      <c r="B13" s="158" t="s">
        <v>114</v>
      </c>
      <c r="C13" s="158"/>
      <c r="D13" s="158"/>
      <c r="E13" s="158"/>
      <c r="F13" s="158"/>
      <c r="G13" s="158"/>
      <c r="H13" s="158"/>
    </row>
    <row r="14" spans="1:10" x14ac:dyDescent="0.3">
      <c r="B14" s="1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44</v>
      </c>
      <c r="H14" s="3" t="s">
        <v>31</v>
      </c>
    </row>
    <row r="15" spans="1:10" ht="25.8" x14ac:dyDescent="0.5">
      <c r="B15" s="7">
        <v>41583</v>
      </c>
      <c r="C15" s="8" t="s">
        <v>13</v>
      </c>
      <c r="D15" s="8" t="s">
        <v>30</v>
      </c>
      <c r="E15" s="8">
        <v>6300</v>
      </c>
      <c r="F15" s="8">
        <v>6220</v>
      </c>
      <c r="G15" s="8">
        <v>80</v>
      </c>
      <c r="H15" s="8">
        <v>40000</v>
      </c>
    </row>
    <row r="16" spans="1:10" ht="25.8" x14ac:dyDescent="0.5">
      <c r="B16" s="7">
        <v>41589</v>
      </c>
      <c r="C16" s="8" t="s">
        <v>13</v>
      </c>
      <c r="D16" s="8" t="s">
        <v>30</v>
      </c>
      <c r="E16" s="8">
        <v>6150</v>
      </c>
      <c r="F16" s="8">
        <v>6050</v>
      </c>
      <c r="G16" s="8">
        <v>100</v>
      </c>
      <c r="H16" s="8">
        <v>50000</v>
      </c>
    </row>
    <row r="17" spans="2:8" ht="25.8" x14ac:dyDescent="0.5">
      <c r="B17" s="7">
        <v>41598</v>
      </c>
      <c r="C17" s="8" t="s">
        <v>13</v>
      </c>
      <c r="D17" s="8" t="s">
        <v>30</v>
      </c>
      <c r="E17" s="8">
        <v>6175</v>
      </c>
      <c r="F17" s="8">
        <v>6105</v>
      </c>
      <c r="G17" s="8">
        <v>70</v>
      </c>
      <c r="H17" s="8">
        <v>35000</v>
      </c>
    </row>
    <row r="18" spans="2:8" ht="25.8" x14ac:dyDescent="0.5">
      <c r="B18" s="7"/>
      <c r="C18" s="8"/>
      <c r="D18" s="8"/>
      <c r="E18" s="8"/>
      <c r="F18" s="8"/>
      <c r="G18" s="8"/>
      <c r="H18" s="9">
        <v>125000</v>
      </c>
    </row>
    <row r="20" spans="2:8" ht="15" thickBot="1" x14ac:dyDescent="0.35"/>
    <row r="21" spans="2:8" ht="16.2" thickBot="1" x14ac:dyDescent="0.35">
      <c r="B21" s="158" t="s">
        <v>115</v>
      </c>
      <c r="C21" s="158"/>
      <c r="D21" s="158"/>
      <c r="E21" s="158"/>
      <c r="F21" s="158"/>
      <c r="G21" s="158"/>
      <c r="H21" s="158"/>
    </row>
    <row r="22" spans="2:8" x14ac:dyDescent="0.3">
      <c r="B22" s="1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89</v>
      </c>
    </row>
    <row r="23" spans="2:8" ht="25.8" x14ac:dyDescent="0.5">
      <c r="B23" s="7">
        <v>41584</v>
      </c>
      <c r="C23" s="8" t="s">
        <v>20</v>
      </c>
      <c r="D23" s="8" t="s">
        <v>129</v>
      </c>
      <c r="E23" s="8">
        <v>4</v>
      </c>
      <c r="F23" s="8">
        <v>5.5</v>
      </c>
      <c r="G23" s="8">
        <v>4000</v>
      </c>
      <c r="H23" s="8">
        <v>6000</v>
      </c>
    </row>
    <row r="24" spans="2:8" ht="25.8" x14ac:dyDescent="0.5">
      <c r="B24" s="7">
        <v>41591</v>
      </c>
      <c r="C24" s="8" t="s">
        <v>8</v>
      </c>
      <c r="D24" s="8" t="s">
        <v>135</v>
      </c>
      <c r="E24" s="8">
        <v>50</v>
      </c>
      <c r="F24" s="8">
        <v>80</v>
      </c>
      <c r="G24" s="8">
        <v>400</v>
      </c>
      <c r="H24" s="8">
        <v>12000</v>
      </c>
    </row>
    <row r="25" spans="2:8" ht="25.8" x14ac:dyDescent="0.5">
      <c r="B25" s="7">
        <v>41598</v>
      </c>
      <c r="C25" s="8" t="s">
        <v>20</v>
      </c>
      <c r="D25" s="8" t="s">
        <v>130</v>
      </c>
      <c r="E25" s="8">
        <v>4</v>
      </c>
      <c r="F25" s="8">
        <v>2</v>
      </c>
      <c r="G25" s="8">
        <v>2000</v>
      </c>
      <c r="H25" s="8">
        <v>-4000</v>
      </c>
    </row>
    <row r="26" spans="2:8" ht="25.8" x14ac:dyDescent="0.5">
      <c r="B26" s="7">
        <v>41604</v>
      </c>
      <c r="C26" s="8" t="s">
        <v>20</v>
      </c>
      <c r="D26" s="8" t="s">
        <v>136</v>
      </c>
      <c r="E26" s="8">
        <v>10</v>
      </c>
      <c r="F26" s="8">
        <v>15</v>
      </c>
      <c r="G26" s="8">
        <v>2000</v>
      </c>
      <c r="H26" s="8">
        <v>10000</v>
      </c>
    </row>
    <row r="27" spans="2:8" ht="25.8" x14ac:dyDescent="0.5">
      <c r="B27" s="7">
        <v>41606</v>
      </c>
      <c r="C27" s="8" t="s">
        <v>8</v>
      </c>
      <c r="D27" s="8" t="s">
        <v>137</v>
      </c>
      <c r="E27" s="8">
        <v>4</v>
      </c>
      <c r="F27" s="8">
        <v>8</v>
      </c>
      <c r="G27" s="8">
        <v>1500</v>
      </c>
      <c r="H27" s="17">
        <v>6000</v>
      </c>
    </row>
    <row r="28" spans="2:8" ht="25.8" x14ac:dyDescent="0.5">
      <c r="B28" s="13"/>
      <c r="C28" s="8"/>
      <c r="D28" s="8"/>
      <c r="E28" s="8"/>
      <c r="F28" s="8"/>
      <c r="G28" s="8"/>
      <c r="H28" s="9">
        <v>30000</v>
      </c>
    </row>
    <row r="29" spans="2:8" ht="25.8" x14ac:dyDescent="0.5">
      <c r="B29" s="13"/>
      <c r="C29" s="8"/>
      <c r="D29" s="8"/>
      <c r="E29" s="8"/>
      <c r="F29" s="8"/>
      <c r="G29" s="8"/>
      <c r="H29" s="8"/>
    </row>
    <row r="30" spans="2:8" ht="25.8" x14ac:dyDescent="0.5">
      <c r="B30" s="13"/>
      <c r="C30" s="8"/>
      <c r="D30" s="8"/>
      <c r="E30" s="8"/>
      <c r="F30" s="8"/>
      <c r="G30" s="8"/>
      <c r="H30" s="8"/>
    </row>
    <row r="31" spans="2:8" ht="25.8" x14ac:dyDescent="0.5">
      <c r="B31" s="13"/>
      <c r="C31" s="8"/>
      <c r="D31" s="8"/>
      <c r="E31" s="8"/>
      <c r="F31" s="8"/>
      <c r="G31" s="8"/>
      <c r="H31" s="8"/>
    </row>
    <row r="32" spans="2:8" ht="25.8" x14ac:dyDescent="0.5">
      <c r="H32" s="9"/>
    </row>
  </sheetData>
  <mergeCells count="5">
    <mergeCell ref="B1:H1"/>
    <mergeCell ref="B2:H2"/>
    <mergeCell ref="B3:H3"/>
    <mergeCell ref="B13:H13"/>
    <mergeCell ref="B21:H21"/>
  </mergeCells>
  <hyperlinks>
    <hyperlink ref="J2" location="'Home Page'!A1" display="Back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0"/>
  <dimension ref="A1:Y53"/>
  <sheetViews>
    <sheetView workbookViewId="0">
      <selection activeCell="O8" sqref="O8:O9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44044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2</v>
      </c>
      <c r="Q4" s="208">
        <f>X16</f>
        <v>1</v>
      </c>
      <c r="R4" s="208">
        <f>Y16</f>
        <v>1</v>
      </c>
      <c r="S4" s="209">
        <f>P4-Q4-R4</f>
        <v>0</v>
      </c>
      <c r="T4" s="195">
        <f>Q4/P4</f>
        <v>0.5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44057</v>
      </c>
      <c r="D6" s="35" t="s">
        <v>8</v>
      </c>
      <c r="E6" s="35" t="s">
        <v>23</v>
      </c>
      <c r="F6" s="126">
        <v>203</v>
      </c>
      <c r="G6" s="127">
        <v>197</v>
      </c>
      <c r="H6" s="34">
        <v>44057</v>
      </c>
      <c r="I6" s="36">
        <v>6400</v>
      </c>
      <c r="J6" s="129">
        <v>-6</v>
      </c>
      <c r="K6" s="41">
        <f>J6*I6</f>
        <v>-38400</v>
      </c>
      <c r="L6" s="37" t="s">
        <v>197</v>
      </c>
      <c r="M6" s="32"/>
      <c r="O6" s="198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0</v>
      </c>
      <c r="Y6" s="29">
        <f>IF($K6&lt;0,1,0)</f>
        <v>1</v>
      </c>
    </row>
    <row r="7" spans="1:25" x14ac:dyDescent="0.3">
      <c r="A7" s="31"/>
      <c r="B7" s="38">
        <f>B6+1</f>
        <v>2</v>
      </c>
      <c r="C7" s="39">
        <v>44060</v>
      </c>
      <c r="D7" s="40" t="s">
        <v>8</v>
      </c>
      <c r="E7" s="40" t="s">
        <v>634</v>
      </c>
      <c r="F7" s="126">
        <v>3360</v>
      </c>
      <c r="G7" s="126">
        <v>3442</v>
      </c>
      <c r="H7" s="39">
        <v>44061</v>
      </c>
      <c r="I7" s="41">
        <v>500</v>
      </c>
      <c r="J7" s="130">
        <v>82</v>
      </c>
      <c r="K7" s="41">
        <f t="shared" ref="K7:K10" si="1">J7*I7</f>
        <v>41000</v>
      </c>
      <c r="L7" s="42" t="s">
        <v>651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198" t="s">
        <v>600</v>
      </c>
      <c r="P8" s="199">
        <f>COUNT(C42:C51)</f>
        <v>4</v>
      </c>
      <c r="Q8" s="200">
        <f>X52</f>
        <v>3</v>
      </c>
      <c r="R8" s="200">
        <f>Y52</f>
        <v>1</v>
      </c>
      <c r="S8" s="201">
        <v>0</v>
      </c>
      <c r="T8" s="197">
        <f t="shared" ref="T8:T10" si="5">Q8/P8</f>
        <v>0.75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9</v>
      </c>
      <c r="Q10" s="173">
        <f>SUM(Q4:Q9)</f>
        <v>7</v>
      </c>
      <c r="R10" s="173">
        <f>SUM(R4:R9)</f>
        <v>2</v>
      </c>
      <c r="S10" s="193">
        <f>SUM(S4:S9)</f>
        <v>0</v>
      </c>
      <c r="T10" s="195">
        <f t="shared" si="5"/>
        <v>0.77777777777777779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0.77777777777777779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2600</v>
      </c>
      <c r="L16" s="86"/>
      <c r="M16" s="32"/>
      <c r="X16" s="29">
        <f>SUM(X6:X15)</f>
        <v>1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44044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44050</v>
      </c>
      <c r="D24" s="40" t="s">
        <v>8</v>
      </c>
      <c r="E24" s="35" t="s">
        <v>30</v>
      </c>
      <c r="F24" s="36">
        <v>11220</v>
      </c>
      <c r="G24" s="36">
        <v>11365</v>
      </c>
      <c r="H24" s="39">
        <v>44053</v>
      </c>
      <c r="I24" s="36">
        <v>375</v>
      </c>
      <c r="J24" s="41">
        <v>145</v>
      </c>
      <c r="K24" s="41">
        <f>J24*I24</f>
        <v>54375</v>
      </c>
      <c r="L24" s="37" t="s">
        <v>651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44060</v>
      </c>
      <c r="D25" s="40" t="s">
        <v>8</v>
      </c>
      <c r="E25" s="40" t="s">
        <v>30</v>
      </c>
      <c r="F25" s="41">
        <v>11240</v>
      </c>
      <c r="G25" s="41">
        <v>11440</v>
      </c>
      <c r="H25" s="39">
        <v>44062</v>
      </c>
      <c r="I25" s="41">
        <v>375</v>
      </c>
      <c r="J25" s="115">
        <v>200</v>
      </c>
      <c r="K25" s="41">
        <f t="shared" ref="K25:K29" si="8">J25*I25</f>
        <v>75000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44063</v>
      </c>
      <c r="D26" s="40" t="s">
        <v>8</v>
      </c>
      <c r="E26" s="40" t="s">
        <v>30</v>
      </c>
      <c r="F26" s="41">
        <v>11300</v>
      </c>
      <c r="G26" s="41">
        <v>11460</v>
      </c>
      <c r="H26" s="39">
        <v>44064</v>
      </c>
      <c r="I26" s="41">
        <v>375</v>
      </c>
      <c r="J26" s="85">
        <v>160</v>
      </c>
      <c r="K26" s="41">
        <f t="shared" si="8"/>
        <v>60000</v>
      </c>
      <c r="L26" s="42" t="s">
        <v>690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189375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44044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44050</v>
      </c>
      <c r="D42" s="35" t="s">
        <v>8</v>
      </c>
      <c r="E42" s="35" t="s">
        <v>728</v>
      </c>
      <c r="F42" s="127">
        <v>19</v>
      </c>
      <c r="G42" s="127">
        <v>27.4</v>
      </c>
      <c r="H42" s="34">
        <v>44053</v>
      </c>
      <c r="I42" s="36">
        <v>2600</v>
      </c>
      <c r="J42" s="129">
        <v>8.4</v>
      </c>
      <c r="K42" s="41">
        <f>J42*I42</f>
        <v>21840</v>
      </c>
      <c r="L42" s="37" t="s">
        <v>651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44060</v>
      </c>
      <c r="D43" s="121" t="s">
        <v>8</v>
      </c>
      <c r="E43" s="121" t="s">
        <v>729</v>
      </c>
      <c r="F43" s="128">
        <v>110</v>
      </c>
      <c r="G43" s="128">
        <v>130</v>
      </c>
      <c r="H43" s="120">
        <v>44061</v>
      </c>
      <c r="I43" s="122">
        <v>500</v>
      </c>
      <c r="J43" s="133">
        <v>20</v>
      </c>
      <c r="K43" s="41">
        <f t="shared" ref="K43:K49" si="12">J43*I43</f>
        <v>10000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44063</v>
      </c>
      <c r="D44" s="40" t="s">
        <v>8</v>
      </c>
      <c r="E44" s="40" t="s">
        <v>729</v>
      </c>
      <c r="F44" s="126">
        <v>85</v>
      </c>
      <c r="G44" s="126">
        <v>100</v>
      </c>
      <c r="H44" s="39">
        <v>44064</v>
      </c>
      <c r="I44" s="41">
        <v>500</v>
      </c>
      <c r="J44" s="130">
        <v>15</v>
      </c>
      <c r="K44" s="41">
        <f t="shared" si="12"/>
        <v>7500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44067</v>
      </c>
      <c r="D45" s="40" t="s">
        <v>8</v>
      </c>
      <c r="E45" s="40" t="s">
        <v>730</v>
      </c>
      <c r="F45" s="126">
        <v>3</v>
      </c>
      <c r="G45" s="126">
        <v>1</v>
      </c>
      <c r="H45" s="39">
        <v>44068</v>
      </c>
      <c r="I45" s="41">
        <v>11400</v>
      </c>
      <c r="J45" s="130">
        <v>-2</v>
      </c>
      <c r="K45" s="41">
        <f t="shared" si="12"/>
        <v>-22800</v>
      </c>
      <c r="L45" s="42" t="s">
        <v>197</v>
      </c>
      <c r="M45" s="32"/>
      <c r="X45" s="29">
        <f t="shared" si="10"/>
        <v>0</v>
      </c>
      <c r="Y45" s="29">
        <f t="shared" si="11"/>
        <v>1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16540</v>
      </c>
      <c r="L52" s="86"/>
      <c r="M52" s="32"/>
      <c r="X52" s="29">
        <f>SUM(X42:X51)</f>
        <v>3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900-000000000000}"/>
    <hyperlink ref="O1" location="'Home Page'!A1" display="Back" xr:uid="{00000000-0004-0000-5900-000001000000}"/>
    <hyperlink ref="B34" r:id="rId2" xr:uid="{00000000-0004-0000-5900-000002000000}"/>
    <hyperlink ref="B52" r:id="rId3" xr:uid="{00000000-0004-0000-5900-000003000000}"/>
  </hyperlinks>
  <pageMargins left="0" right="0" top="0" bottom="0" header="0" footer="0"/>
  <pageSetup paperSize="9" orientation="portrait" r:id="rId4"/>
  <drawing r:id="rId5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1"/>
  <dimension ref="A1:Y53"/>
  <sheetViews>
    <sheetView topLeftCell="D1" workbookViewId="0">
      <selection activeCell="S10" sqref="S10:S11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44075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44076</v>
      </c>
      <c r="D6" s="35" t="s">
        <v>8</v>
      </c>
      <c r="E6" s="35" t="s">
        <v>449</v>
      </c>
      <c r="F6" s="126">
        <v>485</v>
      </c>
      <c r="G6" s="127">
        <v>491</v>
      </c>
      <c r="H6" s="34">
        <v>44077</v>
      </c>
      <c r="I6" s="36">
        <v>2400</v>
      </c>
      <c r="J6" s="129">
        <v>6</v>
      </c>
      <c r="K6" s="41">
        <f>J6*I6</f>
        <v>14400</v>
      </c>
      <c r="L6" s="37" t="s">
        <v>646</v>
      </c>
      <c r="M6" s="32"/>
      <c r="O6" s="198" t="s">
        <v>599</v>
      </c>
      <c r="P6" s="199">
        <f>COUNT(C24:C33)</f>
        <v>2</v>
      </c>
      <c r="Q6" s="200">
        <f>X34</f>
        <v>1</v>
      </c>
      <c r="R6" s="200">
        <f>Y34</f>
        <v>1</v>
      </c>
      <c r="S6" s="201">
        <v>0</v>
      </c>
      <c r="T6" s="197">
        <f t="shared" ref="T6" si="0">Q6/P6</f>
        <v>0.5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44085</v>
      </c>
      <c r="D7" s="40" t="s">
        <v>8</v>
      </c>
      <c r="E7" s="40" t="s">
        <v>330</v>
      </c>
      <c r="F7" s="126">
        <v>640</v>
      </c>
      <c r="G7" s="126">
        <v>660</v>
      </c>
      <c r="H7" s="39">
        <v>44090</v>
      </c>
      <c r="I7" s="41">
        <v>1334</v>
      </c>
      <c r="J7" s="130">
        <v>20</v>
      </c>
      <c r="K7" s="41">
        <f t="shared" ref="K7:K10" si="1">J7*I7</f>
        <v>26680</v>
      </c>
      <c r="L7" s="42" t="s">
        <v>642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44090</v>
      </c>
      <c r="D8" s="40" t="s">
        <v>8</v>
      </c>
      <c r="E8" s="40" t="s">
        <v>67</v>
      </c>
      <c r="F8" s="128">
        <v>2330</v>
      </c>
      <c r="G8" s="126">
        <v>2285</v>
      </c>
      <c r="H8" s="39">
        <v>44092</v>
      </c>
      <c r="I8" s="41">
        <v>1010</v>
      </c>
      <c r="J8" s="130">
        <v>45</v>
      </c>
      <c r="K8" s="41">
        <f t="shared" si="1"/>
        <v>45450</v>
      </c>
      <c r="L8" s="42" t="s">
        <v>651</v>
      </c>
      <c r="M8" s="32"/>
      <c r="O8" s="198" t="s">
        <v>600</v>
      </c>
      <c r="P8" s="199">
        <f>COUNT(C42:C51)</f>
        <v>2</v>
      </c>
      <c r="Q8" s="200">
        <f>X52</f>
        <v>1</v>
      </c>
      <c r="R8" s="200">
        <f>Y52</f>
        <v>1</v>
      </c>
      <c r="S8" s="201">
        <v>0</v>
      </c>
      <c r="T8" s="197">
        <f t="shared" ref="T8:T10" si="5">Q8/P8</f>
        <v>0.5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7</v>
      </c>
      <c r="Q10" s="173">
        <f>SUM(Q4:Q9)</f>
        <v>5</v>
      </c>
      <c r="R10" s="173">
        <f>SUM(R4:R9)</f>
        <v>2</v>
      </c>
      <c r="S10" s="193">
        <f>SUM(S4:S9)</f>
        <v>0</v>
      </c>
      <c r="T10" s="195">
        <f t="shared" si="5"/>
        <v>0.7142857142857143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0.7142857142857143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86530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44075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44092</v>
      </c>
      <c r="D24" s="40" t="s">
        <v>8</v>
      </c>
      <c r="E24" s="35" t="s">
        <v>176</v>
      </c>
      <c r="F24" s="36">
        <v>11500</v>
      </c>
      <c r="G24" s="36">
        <v>11400</v>
      </c>
      <c r="H24" s="39">
        <v>44095</v>
      </c>
      <c r="I24" s="36">
        <v>375</v>
      </c>
      <c r="J24" s="41">
        <v>-100</v>
      </c>
      <c r="K24" s="41">
        <f>J24*I24</f>
        <v>-37500</v>
      </c>
      <c r="L24" s="37" t="s">
        <v>197</v>
      </c>
      <c r="M24" s="32"/>
      <c r="X24" s="29">
        <f t="shared" ref="X24:X33" si="6">IF($K24&gt;0,1,0)</f>
        <v>0</v>
      </c>
      <c r="Y24" s="29">
        <f t="shared" ref="Y24:Y33" si="7">IF($K24&lt;0,1,0)</f>
        <v>1</v>
      </c>
    </row>
    <row r="25" spans="1:25" x14ac:dyDescent="0.3">
      <c r="A25" s="31"/>
      <c r="B25" s="38">
        <f>B24+1</f>
        <v>2</v>
      </c>
      <c r="C25" s="39">
        <v>44096</v>
      </c>
      <c r="D25" s="40" t="s">
        <v>8</v>
      </c>
      <c r="E25" s="40" t="s">
        <v>176</v>
      </c>
      <c r="F25" s="41">
        <v>11150</v>
      </c>
      <c r="G25" s="41">
        <v>11220</v>
      </c>
      <c r="H25" s="39">
        <v>44097</v>
      </c>
      <c r="I25" s="41">
        <v>375</v>
      </c>
      <c r="J25" s="115">
        <v>70</v>
      </c>
      <c r="K25" s="41">
        <f t="shared" ref="K25:K29" si="8">J25*I25</f>
        <v>26250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-11250</v>
      </c>
      <c r="L34" s="86"/>
      <c r="M34" s="32"/>
      <c r="X34" s="29">
        <f>SUM(X24:X33)</f>
        <v>1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44075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44076</v>
      </c>
      <c r="D42" s="35" t="s">
        <v>8</v>
      </c>
      <c r="E42" s="35" t="s">
        <v>731</v>
      </c>
      <c r="F42" s="127">
        <v>5.5</v>
      </c>
      <c r="G42" s="127">
        <v>2</v>
      </c>
      <c r="H42" s="34">
        <v>44077</v>
      </c>
      <c r="I42" s="36">
        <v>10000</v>
      </c>
      <c r="J42" s="129">
        <v>-3.5</v>
      </c>
      <c r="K42" s="41">
        <f>J42*I42</f>
        <v>-35000</v>
      </c>
      <c r="L42" s="37" t="s">
        <v>197</v>
      </c>
      <c r="M42" s="32"/>
      <c r="X42" s="29">
        <f t="shared" ref="X42:X51" si="10">IF($K42&gt;0,1,0)</f>
        <v>0</v>
      </c>
      <c r="Y42" s="29">
        <f t="shared" ref="Y42:Y51" si="11">IF($K42&lt;0,1,0)</f>
        <v>1</v>
      </c>
    </row>
    <row r="43" spans="1:25" x14ac:dyDescent="0.3">
      <c r="A43" s="31"/>
      <c r="B43" s="119">
        <v>2</v>
      </c>
      <c r="C43" s="120">
        <v>44092</v>
      </c>
      <c r="D43" s="121" t="s">
        <v>8</v>
      </c>
      <c r="E43" s="121" t="s">
        <v>732</v>
      </c>
      <c r="F43" s="128">
        <v>2</v>
      </c>
      <c r="G43" s="128">
        <v>5</v>
      </c>
      <c r="H43" s="120">
        <v>44095</v>
      </c>
      <c r="I43" s="122">
        <v>14000</v>
      </c>
      <c r="J43" s="133">
        <v>3</v>
      </c>
      <c r="K43" s="41">
        <f t="shared" ref="K43:K49" si="12">J43*I43</f>
        <v>42000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7000</v>
      </c>
      <c r="L52" s="86"/>
      <c r="M52" s="32"/>
      <c r="X52" s="29">
        <f>SUM(X42:X51)</f>
        <v>1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A00-000000000000}"/>
    <hyperlink ref="O1" location="'Home Page'!A1" display="Back" xr:uid="{00000000-0004-0000-5A00-000001000000}"/>
    <hyperlink ref="B34" r:id="rId2" xr:uid="{00000000-0004-0000-5A00-000002000000}"/>
    <hyperlink ref="B52" r:id="rId3" xr:uid="{00000000-0004-0000-5A00-000003000000}"/>
  </hyperlinks>
  <pageMargins left="0" right="0" top="0" bottom="0" header="0" footer="0"/>
  <pageSetup paperSize="9" orientation="portrait" r:id="rId4"/>
  <drawing r:id="rId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92"/>
  <dimension ref="A1:Y53"/>
  <sheetViews>
    <sheetView workbookViewId="0">
      <selection activeCell="B40" sqref="B40:L40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44105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06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198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44111</v>
      </c>
      <c r="D6" s="35" t="s">
        <v>13</v>
      </c>
      <c r="E6" s="35" t="s">
        <v>67</v>
      </c>
      <c r="F6" s="126">
        <v>2270</v>
      </c>
      <c r="G6" s="127">
        <v>2231</v>
      </c>
      <c r="H6" s="34">
        <v>44112</v>
      </c>
      <c r="I6" s="36">
        <v>1010</v>
      </c>
      <c r="J6" s="129">
        <v>39</v>
      </c>
      <c r="K6" s="41">
        <f>J6*I6</f>
        <v>39390</v>
      </c>
      <c r="L6" s="37" t="s">
        <v>651</v>
      </c>
      <c r="M6" s="32"/>
      <c r="O6" s="198" t="s">
        <v>599</v>
      </c>
      <c r="P6" s="199">
        <f>COUNT(C24:C33)</f>
        <v>3</v>
      </c>
      <c r="Q6" s="200">
        <f>X34</f>
        <v>3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44123</v>
      </c>
      <c r="D7" s="40" t="s">
        <v>8</v>
      </c>
      <c r="E7" s="40" t="s">
        <v>16</v>
      </c>
      <c r="F7" s="126">
        <v>426</v>
      </c>
      <c r="G7" s="126">
        <v>433.4</v>
      </c>
      <c r="H7" s="39">
        <v>44124</v>
      </c>
      <c r="I7" s="41">
        <v>3000</v>
      </c>
      <c r="J7" s="130">
        <v>7.4</v>
      </c>
      <c r="K7" s="41">
        <f t="shared" ref="K7:K10" si="1">J7*I7</f>
        <v>22200</v>
      </c>
      <c r="L7" s="42" t="s">
        <v>646</v>
      </c>
      <c r="M7" s="32"/>
      <c r="O7" s="198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44134</v>
      </c>
      <c r="D8" s="40" t="s">
        <v>8</v>
      </c>
      <c r="E8" s="40" t="s">
        <v>634</v>
      </c>
      <c r="F8" s="128">
        <v>3280</v>
      </c>
      <c r="G8" s="126">
        <v>3306</v>
      </c>
      <c r="H8" s="39">
        <v>44134</v>
      </c>
      <c r="I8" s="41">
        <v>500</v>
      </c>
      <c r="J8" s="130">
        <v>26</v>
      </c>
      <c r="K8" s="41">
        <f t="shared" si="1"/>
        <v>13000</v>
      </c>
      <c r="L8" s="42" t="s">
        <v>646</v>
      </c>
      <c r="M8" s="32"/>
      <c r="O8" s="198" t="s">
        <v>600</v>
      </c>
      <c r="P8" s="199">
        <f>COUNT(C42:C51)</f>
        <v>3</v>
      </c>
      <c r="Q8" s="200">
        <f>X52</f>
        <v>2</v>
      </c>
      <c r="R8" s="200">
        <f>Y52</f>
        <v>1</v>
      </c>
      <c r="S8" s="201">
        <v>0</v>
      </c>
      <c r="T8" s="197">
        <f t="shared" ref="T8:T10" si="5">Q8/P8</f>
        <v>0.66666666666666663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03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9</v>
      </c>
      <c r="Q10" s="173">
        <f>SUM(Q4:Q9)</f>
        <v>8</v>
      </c>
      <c r="R10" s="173">
        <f>SUM(R4:R9)</f>
        <v>1</v>
      </c>
      <c r="S10" s="193">
        <f>SUM(S4:S9)</f>
        <v>0</v>
      </c>
      <c r="T10" s="195">
        <f t="shared" si="5"/>
        <v>0.88888888888888884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0.88888888888888884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74590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44105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44112</v>
      </c>
      <c r="D24" s="40" t="s">
        <v>13</v>
      </c>
      <c r="E24" s="35" t="s">
        <v>176</v>
      </c>
      <c r="F24" s="36">
        <v>11850</v>
      </c>
      <c r="G24" s="36">
        <v>11795</v>
      </c>
      <c r="H24" s="39">
        <v>44112</v>
      </c>
      <c r="I24" s="36">
        <v>375</v>
      </c>
      <c r="J24" s="41">
        <v>55</v>
      </c>
      <c r="K24" s="41">
        <f>J24*I24</f>
        <v>20625</v>
      </c>
      <c r="L24" s="37" t="s">
        <v>646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44123</v>
      </c>
      <c r="D25" s="40" t="s">
        <v>8</v>
      </c>
      <c r="E25" s="40" t="s">
        <v>176</v>
      </c>
      <c r="F25" s="41">
        <v>11870</v>
      </c>
      <c r="G25" s="41">
        <v>12015</v>
      </c>
      <c r="H25" s="39">
        <v>44125</v>
      </c>
      <c r="I25" s="41">
        <v>375</v>
      </c>
      <c r="J25" s="115">
        <v>145</v>
      </c>
      <c r="K25" s="41">
        <f t="shared" ref="K25:K29" si="8">J25*I25</f>
        <v>54375</v>
      </c>
      <c r="L25" s="42" t="s">
        <v>651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44134</v>
      </c>
      <c r="D26" s="40" t="s">
        <v>8</v>
      </c>
      <c r="E26" s="40" t="s">
        <v>176</v>
      </c>
      <c r="F26" s="41">
        <v>11550</v>
      </c>
      <c r="G26" s="41">
        <v>11640</v>
      </c>
      <c r="H26" s="39">
        <v>44134</v>
      </c>
      <c r="I26" s="41">
        <v>375</v>
      </c>
      <c r="J26" s="85">
        <v>90</v>
      </c>
      <c r="K26" s="41">
        <f t="shared" si="8"/>
        <v>33750</v>
      </c>
      <c r="L26" s="42" t="s">
        <v>651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108750</v>
      </c>
      <c r="L34" s="86"/>
      <c r="M34" s="32"/>
      <c r="X34" s="29">
        <f>SUM(X24:X33)</f>
        <v>3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44105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44113</v>
      </c>
      <c r="D42" s="35" t="s">
        <v>8</v>
      </c>
      <c r="E42" s="35" t="s">
        <v>511</v>
      </c>
      <c r="F42" s="127">
        <v>17</v>
      </c>
      <c r="G42" s="127">
        <v>11</v>
      </c>
      <c r="H42" s="34">
        <v>44116</v>
      </c>
      <c r="I42" s="36">
        <v>2400</v>
      </c>
      <c r="J42" s="129">
        <v>-6</v>
      </c>
      <c r="K42" s="41">
        <f>J42*I42</f>
        <v>-14400</v>
      </c>
      <c r="L42" s="37" t="s">
        <v>197</v>
      </c>
      <c r="M42" s="32"/>
      <c r="X42" s="29">
        <f t="shared" ref="X42:X51" si="10">IF($K42&gt;0,1,0)</f>
        <v>0</v>
      </c>
      <c r="Y42" s="29">
        <f t="shared" ref="Y42:Y51" si="11">IF($K42&lt;0,1,0)</f>
        <v>1</v>
      </c>
    </row>
    <row r="43" spans="1:25" x14ac:dyDescent="0.3">
      <c r="A43" s="31"/>
      <c r="B43" s="119">
        <v>2</v>
      </c>
      <c r="C43" s="120">
        <v>44124</v>
      </c>
      <c r="D43" s="121" t="s">
        <v>8</v>
      </c>
      <c r="E43" s="121" t="s">
        <v>733</v>
      </c>
      <c r="F43" s="128">
        <v>15</v>
      </c>
      <c r="G43" s="128">
        <v>32</v>
      </c>
      <c r="H43" s="120">
        <v>44126</v>
      </c>
      <c r="I43" s="122">
        <v>3702</v>
      </c>
      <c r="J43" s="133">
        <v>17</v>
      </c>
      <c r="K43" s="41">
        <f t="shared" ref="K43:K49" si="12">J43*I43</f>
        <v>62934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44134</v>
      </c>
      <c r="D44" s="40" t="s">
        <v>8</v>
      </c>
      <c r="E44" s="40" t="s">
        <v>734</v>
      </c>
      <c r="F44" s="126">
        <v>68</v>
      </c>
      <c r="G44" s="126">
        <v>78.3</v>
      </c>
      <c r="H44" s="39">
        <v>44134</v>
      </c>
      <c r="I44" s="41">
        <v>1010</v>
      </c>
      <c r="J44" s="130">
        <v>10.3</v>
      </c>
      <c r="K44" s="41">
        <f t="shared" si="12"/>
        <v>10403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58937</v>
      </c>
      <c r="L52" s="86"/>
      <c r="M52" s="32"/>
      <c r="X52" s="29">
        <f>SUM(X42:X51)</f>
        <v>2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B00-000000000000}"/>
    <hyperlink ref="O1" location="'Home Page'!A1" display="Back" xr:uid="{00000000-0004-0000-5B00-000001000000}"/>
    <hyperlink ref="B34" r:id="rId2" xr:uid="{00000000-0004-0000-5B00-000002000000}"/>
    <hyperlink ref="B52" r:id="rId3" xr:uid="{00000000-0004-0000-5B00-000003000000}"/>
  </hyperlinks>
  <pageMargins left="0" right="0" top="0" bottom="0" header="0" footer="0"/>
  <pageSetup paperSize="9" orientation="portrait" r:id="rId4"/>
  <drawing r:id="rId5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93"/>
  <dimension ref="A1:Y53"/>
  <sheetViews>
    <sheetView topLeftCell="A7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44136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1</v>
      </c>
      <c r="Q4" s="208">
        <f>X16</f>
        <v>1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44155</v>
      </c>
      <c r="D6" s="35" t="s">
        <v>8</v>
      </c>
      <c r="E6" s="35" t="s">
        <v>736</v>
      </c>
      <c r="F6" s="126">
        <v>850</v>
      </c>
      <c r="G6" s="127">
        <v>868</v>
      </c>
      <c r="H6" s="34">
        <v>44158</v>
      </c>
      <c r="I6" s="36">
        <v>1900</v>
      </c>
      <c r="J6" s="129">
        <v>18</v>
      </c>
      <c r="K6" s="41">
        <f>J6*I6</f>
        <v>34200</v>
      </c>
      <c r="L6" s="37" t="s">
        <v>737</v>
      </c>
      <c r="M6" s="32"/>
      <c r="O6" s="231" t="s">
        <v>599</v>
      </c>
      <c r="P6" s="199">
        <f>COUNT(C24:C33)</f>
        <v>4</v>
      </c>
      <c r="Q6" s="200">
        <f>X34</f>
        <v>4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/>
      <c r="D7" s="40"/>
      <c r="E7" s="40"/>
      <c r="F7" s="126"/>
      <c r="G7" s="126"/>
      <c r="H7" s="39"/>
      <c r="I7" s="41"/>
      <c r="J7" s="130"/>
      <c r="K7" s="41">
        <f t="shared" ref="K7:K10" si="1">J7*I7</f>
        <v>0</v>
      </c>
      <c r="L7" s="42"/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/>
      <c r="D8" s="40"/>
      <c r="E8" s="40"/>
      <c r="F8" s="128"/>
      <c r="G8" s="126"/>
      <c r="H8" s="39"/>
      <c r="I8" s="41"/>
      <c r="J8" s="130"/>
      <c r="K8" s="41">
        <f t="shared" si="1"/>
        <v>0</v>
      </c>
      <c r="L8" s="42"/>
      <c r="M8" s="32"/>
      <c r="O8" s="231" t="s">
        <v>600</v>
      </c>
      <c r="P8" s="199">
        <f>COUNT(C42:C51)</f>
        <v>2</v>
      </c>
      <c r="Q8" s="200">
        <f>X52</f>
        <v>2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0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7</v>
      </c>
      <c r="Q10" s="173">
        <f>SUM(Q4:Q9)</f>
        <v>7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34200</v>
      </c>
      <c r="L16" s="86"/>
      <c r="M16" s="32"/>
      <c r="X16" s="29">
        <f>SUM(X6:X15)</f>
        <v>1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44136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44139</v>
      </c>
      <c r="D24" s="40" t="s">
        <v>8</v>
      </c>
      <c r="E24" s="35" t="s">
        <v>176</v>
      </c>
      <c r="F24" s="36">
        <v>11880</v>
      </c>
      <c r="G24" s="36">
        <v>12040</v>
      </c>
      <c r="H24" s="39">
        <v>44140</v>
      </c>
      <c r="I24" s="36">
        <v>375</v>
      </c>
      <c r="J24" s="41">
        <v>160</v>
      </c>
      <c r="K24" s="41">
        <f>J24*I24</f>
        <v>60000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44146</v>
      </c>
      <c r="D25" s="40" t="s">
        <v>8</v>
      </c>
      <c r="E25" s="40" t="s">
        <v>176</v>
      </c>
      <c r="F25" s="41">
        <v>12750</v>
      </c>
      <c r="G25" s="41">
        <v>12850</v>
      </c>
      <c r="H25" s="39">
        <v>44148</v>
      </c>
      <c r="I25" s="41">
        <v>375</v>
      </c>
      <c r="J25" s="115">
        <v>100</v>
      </c>
      <c r="K25" s="41">
        <f t="shared" ref="K25:K29" si="8">J25*I25</f>
        <v>37500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44154</v>
      </c>
      <c r="D26" s="40" t="s">
        <v>13</v>
      </c>
      <c r="E26" s="40" t="s">
        <v>176</v>
      </c>
      <c r="F26" s="41">
        <v>12950</v>
      </c>
      <c r="G26" s="41">
        <v>12810</v>
      </c>
      <c r="H26" s="39">
        <v>44154</v>
      </c>
      <c r="I26" s="41">
        <v>375</v>
      </c>
      <c r="J26" s="85">
        <v>140</v>
      </c>
      <c r="K26" s="41">
        <f t="shared" si="8"/>
        <v>52500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44158</v>
      </c>
      <c r="D27" s="40" t="s">
        <v>13</v>
      </c>
      <c r="E27" s="40" t="s">
        <v>176</v>
      </c>
      <c r="F27" s="41">
        <v>12960</v>
      </c>
      <c r="G27" s="41">
        <v>12925</v>
      </c>
      <c r="H27" s="39">
        <v>44158</v>
      </c>
      <c r="I27" s="41">
        <v>375</v>
      </c>
      <c r="J27" s="85">
        <v>35</v>
      </c>
      <c r="K27" s="41">
        <f t="shared" si="8"/>
        <v>13125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163125</v>
      </c>
      <c r="L34" s="86"/>
      <c r="M34" s="32"/>
      <c r="X34" s="29">
        <f>SUM(X24:X33)</f>
        <v>4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44136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44139</v>
      </c>
      <c r="D42" s="35" t="s">
        <v>8</v>
      </c>
      <c r="E42" s="35" t="s">
        <v>735</v>
      </c>
      <c r="F42" s="127">
        <v>72</v>
      </c>
      <c r="G42" s="127">
        <v>112</v>
      </c>
      <c r="H42" s="34">
        <v>44141</v>
      </c>
      <c r="I42" s="36">
        <v>1010</v>
      </c>
      <c r="J42" s="129">
        <v>40</v>
      </c>
      <c r="K42" s="41">
        <f>J42*I42</f>
        <v>40400</v>
      </c>
      <c r="L42" s="37" t="s">
        <v>647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44155</v>
      </c>
      <c r="D43" s="121" t="s">
        <v>8</v>
      </c>
      <c r="E43" s="121" t="s">
        <v>738</v>
      </c>
      <c r="F43" s="128">
        <v>21</v>
      </c>
      <c r="G43" s="128">
        <v>38</v>
      </c>
      <c r="H43" s="120">
        <v>44158</v>
      </c>
      <c r="I43" s="122">
        <v>1200</v>
      </c>
      <c r="J43" s="133">
        <v>17</v>
      </c>
      <c r="K43" s="41">
        <f t="shared" ref="K43:K49" si="12">J43*I43</f>
        <v>20400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60800</v>
      </c>
      <c r="L52" s="86"/>
      <c r="M52" s="32"/>
      <c r="X52" s="29">
        <f>SUM(X42:X51)</f>
        <v>2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5C00-000000000000}"/>
    <hyperlink ref="O1" location="'Home Page'!A1" display="Back" xr:uid="{00000000-0004-0000-5C00-000001000000}"/>
    <hyperlink ref="B34" r:id="rId2" xr:uid="{00000000-0004-0000-5C00-000002000000}"/>
    <hyperlink ref="B52" r:id="rId3" xr:uid="{00000000-0004-0000-5C00-000003000000}"/>
    <hyperlink ref="O4:O5" location="' NOV 2020'!A1" display="PREMIUM STOCK FUTURE" xr:uid="{00000000-0004-0000-5C00-000004000000}"/>
    <hyperlink ref="O6:O7" location="' NOV 2020'!A1" display="PREMIUM NIFTY FUTURE" xr:uid="{00000000-0004-0000-5C00-000005000000}"/>
    <hyperlink ref="O8:O9" location="' NOV 2020'!A1" display="PREMIUM OPTOIN" xr:uid="{00000000-0004-0000-5C00-000006000000}"/>
  </hyperlinks>
  <pageMargins left="0" right="0" top="0" bottom="0" header="0" footer="0"/>
  <pageSetup paperSize="9" orientation="portrait" r:id="rId4"/>
  <drawing r:id="rId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94"/>
  <dimension ref="A1:Y53"/>
  <sheetViews>
    <sheetView workbookViewId="0">
      <selection activeCell="L13" sqref="L13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44166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3</v>
      </c>
      <c r="Q4" s="208">
        <f>X16</f>
        <v>2</v>
      </c>
      <c r="R4" s="208">
        <f>Y16</f>
        <v>1</v>
      </c>
      <c r="S4" s="209">
        <f>P4-Q4-R4</f>
        <v>0</v>
      </c>
      <c r="T4" s="195">
        <f>Q4/P4</f>
        <v>0.66666666666666663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44176</v>
      </c>
      <c r="D6" s="35" t="s">
        <v>8</v>
      </c>
      <c r="E6" s="35" t="s">
        <v>273</v>
      </c>
      <c r="F6" s="126">
        <v>512</v>
      </c>
      <c r="G6" s="127">
        <v>520</v>
      </c>
      <c r="H6" s="34">
        <v>44179</v>
      </c>
      <c r="I6" s="36">
        <v>2500</v>
      </c>
      <c r="J6" s="129">
        <v>8</v>
      </c>
      <c r="K6" s="41">
        <f>J6*I6</f>
        <v>20000</v>
      </c>
      <c r="L6" s="37" t="s">
        <v>646</v>
      </c>
      <c r="M6" s="32"/>
      <c r="O6" s="231" t="s">
        <v>599</v>
      </c>
      <c r="P6" s="199">
        <f>COUNT(C24:C33)</f>
        <v>2</v>
      </c>
      <c r="Q6" s="200">
        <f>X34</f>
        <v>2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44179</v>
      </c>
      <c r="D7" s="40" t="s">
        <v>8</v>
      </c>
      <c r="E7" s="40" t="s">
        <v>741</v>
      </c>
      <c r="F7" s="126">
        <v>3800</v>
      </c>
      <c r="G7" s="126">
        <v>3760</v>
      </c>
      <c r="H7" s="39">
        <v>44180</v>
      </c>
      <c r="I7" s="41">
        <v>400</v>
      </c>
      <c r="J7" s="130">
        <v>-40</v>
      </c>
      <c r="K7" s="41">
        <f t="shared" ref="K7:K10" si="1">J7*I7</f>
        <v>-16000</v>
      </c>
      <c r="L7" s="42" t="s">
        <v>197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>
        <v>44187</v>
      </c>
      <c r="D8" s="40" t="s">
        <v>8</v>
      </c>
      <c r="E8" s="40" t="s">
        <v>67</v>
      </c>
      <c r="F8" s="128">
        <v>1930</v>
      </c>
      <c r="G8" s="126">
        <v>1990</v>
      </c>
      <c r="H8" s="39">
        <v>60</v>
      </c>
      <c r="I8" s="41">
        <v>1010</v>
      </c>
      <c r="J8" s="130">
        <v>60</v>
      </c>
      <c r="K8" s="41">
        <f t="shared" si="1"/>
        <v>60600</v>
      </c>
      <c r="L8" s="42" t="s">
        <v>647</v>
      </c>
      <c r="M8" s="32"/>
      <c r="O8" s="231" t="s">
        <v>600</v>
      </c>
      <c r="P8" s="199">
        <f>COUNT(C42:C51)</f>
        <v>2</v>
      </c>
      <c r="Q8" s="200">
        <f>X52</f>
        <v>1</v>
      </c>
      <c r="R8" s="200">
        <f>Y52</f>
        <v>1</v>
      </c>
      <c r="S8" s="201">
        <v>0</v>
      </c>
      <c r="T8" s="197">
        <f t="shared" ref="T8:T10" si="5">Q8/P8</f>
        <v>0.5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06"/>
      <c r="G10" s="10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7</v>
      </c>
      <c r="Q10" s="173">
        <f>SUM(Q4:Q9)</f>
        <v>5</v>
      </c>
      <c r="R10" s="173">
        <f>SUM(R4:R9)</f>
        <v>2</v>
      </c>
      <c r="S10" s="193">
        <f>SUM(S4:S9)</f>
        <v>0</v>
      </c>
      <c r="T10" s="195">
        <f t="shared" si="5"/>
        <v>0.7142857142857143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0.7142857142857143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64600</v>
      </c>
      <c r="L16" s="86"/>
      <c r="M16" s="32"/>
      <c r="X16" s="29">
        <f>SUM(X6:X15)</f>
        <v>2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44166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44175</v>
      </c>
      <c r="D24" s="40" t="s">
        <v>8</v>
      </c>
      <c r="E24" s="35" t="s">
        <v>30</v>
      </c>
      <c r="F24" s="36">
        <v>13450</v>
      </c>
      <c r="G24" s="36">
        <v>13590</v>
      </c>
      <c r="H24" s="39">
        <v>44176</v>
      </c>
      <c r="I24" s="36">
        <v>375</v>
      </c>
      <c r="J24" s="41">
        <v>140</v>
      </c>
      <c r="K24" s="41">
        <f>J24*I24</f>
        <v>52500</v>
      </c>
      <c r="L24" s="37" t="s">
        <v>651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44176</v>
      </c>
      <c r="D25" s="40" t="s">
        <v>8</v>
      </c>
      <c r="E25" s="40" t="s">
        <v>619</v>
      </c>
      <c r="F25" s="41">
        <v>30450</v>
      </c>
      <c r="G25" s="41">
        <v>30850</v>
      </c>
      <c r="H25" s="39">
        <v>44179</v>
      </c>
      <c r="I25" s="41">
        <v>100</v>
      </c>
      <c r="J25" s="115">
        <v>400</v>
      </c>
      <c r="K25" s="41">
        <f t="shared" ref="K25:K29" si="8">J25*I25</f>
        <v>40000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92500</v>
      </c>
      <c r="L34" s="86"/>
      <c r="M34" s="32"/>
      <c r="X34" s="29">
        <f>SUM(X24:X33)</f>
        <v>2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44166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44175</v>
      </c>
      <c r="D42" s="35" t="s">
        <v>8</v>
      </c>
      <c r="E42" s="35" t="s">
        <v>739</v>
      </c>
      <c r="F42" s="127">
        <v>140</v>
      </c>
      <c r="G42" s="127">
        <v>100</v>
      </c>
      <c r="H42" s="34">
        <v>44176</v>
      </c>
      <c r="I42" s="36">
        <v>500</v>
      </c>
      <c r="J42" s="129">
        <v>-40</v>
      </c>
      <c r="K42" s="41">
        <f>J42*I42</f>
        <v>-20000</v>
      </c>
      <c r="L42" s="37" t="s">
        <v>197</v>
      </c>
      <c r="M42" s="32"/>
      <c r="X42" s="29">
        <f t="shared" ref="X42:X51" si="10">IF($K42&gt;0,1,0)</f>
        <v>0</v>
      </c>
      <c r="Y42" s="29">
        <f t="shared" ref="Y42:Y51" si="11">IF($K42&lt;0,1,0)</f>
        <v>1</v>
      </c>
    </row>
    <row r="43" spans="1:25" x14ac:dyDescent="0.3">
      <c r="A43" s="31"/>
      <c r="B43" s="119">
        <v>2</v>
      </c>
      <c r="C43" s="120">
        <v>44179</v>
      </c>
      <c r="D43" s="121" t="s">
        <v>8</v>
      </c>
      <c r="E43" s="121" t="s">
        <v>740</v>
      </c>
      <c r="F43" s="128">
        <v>100</v>
      </c>
      <c r="G43" s="128">
        <v>115</v>
      </c>
      <c r="H43" s="120">
        <v>44180</v>
      </c>
      <c r="I43" s="122">
        <v>600</v>
      </c>
      <c r="J43" s="133">
        <v>15</v>
      </c>
      <c r="K43" s="41">
        <f t="shared" ref="K43:K49" si="12">J43*I43</f>
        <v>9000</v>
      </c>
      <c r="L43" s="124" t="s">
        <v>262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/>
      <c r="D44" s="40"/>
      <c r="E44" s="40"/>
      <c r="F44" s="126"/>
      <c r="G44" s="126"/>
      <c r="H44" s="39"/>
      <c r="I44" s="41"/>
      <c r="J44" s="130"/>
      <c r="K44" s="41">
        <f t="shared" si="12"/>
        <v>0</v>
      </c>
      <c r="L44" s="42"/>
      <c r="M44" s="32"/>
      <c r="X44" s="29">
        <f t="shared" si="10"/>
        <v>0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-11000</v>
      </c>
      <c r="L52" s="86"/>
      <c r="M52" s="32"/>
      <c r="X52" s="29">
        <f>SUM(X42:X51)</f>
        <v>1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5D00-000000000000}"/>
    <hyperlink ref="O1" location="'Home Page'!A1" display="Back" xr:uid="{00000000-0004-0000-5D00-000001000000}"/>
    <hyperlink ref="B34" r:id="rId2" xr:uid="{00000000-0004-0000-5D00-000002000000}"/>
    <hyperlink ref="B52" r:id="rId3" xr:uid="{00000000-0004-0000-5D00-000003000000}"/>
    <hyperlink ref="O4:O5" location="' NOV 2020'!A1" display="PREMIUM STOCK FUTURE" xr:uid="{00000000-0004-0000-5D00-000004000000}"/>
    <hyperlink ref="O6:O7" location="' NOV 2020'!A1" display="PREMIUM NIFTY FUTURE" xr:uid="{00000000-0004-0000-5D00-000005000000}"/>
    <hyperlink ref="O8:O9" location="' NOV 2020'!A1" display="PREMIUM OPTOIN" xr:uid="{00000000-0004-0000-5D00-000006000000}"/>
  </hyperlinks>
  <pageMargins left="0" right="0" top="0" bottom="0" header="0" footer="0"/>
  <pageSetup paperSize="9" orientation="portrait" r:id="rId4"/>
  <drawing r:id="rId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95"/>
  <dimension ref="A1:Y53"/>
  <sheetViews>
    <sheetView topLeftCell="A19" workbookViewId="0">
      <selection activeCell="N40" sqref="N40"/>
    </sheetView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44197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5</v>
      </c>
      <c r="Q4" s="208">
        <f>X16</f>
        <v>2</v>
      </c>
      <c r="R4" s="208">
        <f>Y16</f>
        <v>3</v>
      </c>
      <c r="S4" s="209">
        <f>P4-Q4-R4</f>
        <v>0</v>
      </c>
      <c r="T4" s="195">
        <f>Q4/P4</f>
        <v>0.4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44202</v>
      </c>
      <c r="D6" s="35" t="s">
        <v>13</v>
      </c>
      <c r="E6" s="35" t="s">
        <v>742</v>
      </c>
      <c r="F6" s="126">
        <v>3055</v>
      </c>
      <c r="G6" s="127">
        <v>3014</v>
      </c>
      <c r="H6" s="34">
        <v>44203</v>
      </c>
      <c r="I6" s="36">
        <v>600</v>
      </c>
      <c r="J6" s="129">
        <v>41</v>
      </c>
      <c r="K6" s="41">
        <f>J6*I6</f>
        <v>24600</v>
      </c>
      <c r="L6" s="37" t="s">
        <v>646</v>
      </c>
      <c r="M6" s="32"/>
      <c r="O6" s="231" t="s">
        <v>599</v>
      </c>
      <c r="P6" s="199">
        <f>COUNT(C24:C33)</f>
        <v>2</v>
      </c>
      <c r="Q6" s="200">
        <f>X34</f>
        <v>2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44200</v>
      </c>
      <c r="D7" s="40" t="s">
        <v>8</v>
      </c>
      <c r="E7" s="40" t="s">
        <v>67</v>
      </c>
      <c r="F7" s="126">
        <v>2000</v>
      </c>
      <c r="G7" s="126">
        <v>1970</v>
      </c>
      <c r="H7" s="39">
        <v>44201</v>
      </c>
      <c r="I7" s="41">
        <v>500</v>
      </c>
      <c r="J7" s="130">
        <v>-30</v>
      </c>
      <c r="K7" s="41">
        <f t="shared" ref="K7:K10" si="1">J7*I7</f>
        <v>-15000</v>
      </c>
      <c r="L7" s="42" t="s">
        <v>197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0</v>
      </c>
      <c r="Y7" s="29">
        <f t="shared" ref="Y7:Y15" si="3">IF($K7&lt;0,1,0)</f>
        <v>1</v>
      </c>
    </row>
    <row r="8" spans="1:25" ht="15" customHeight="1" x14ac:dyDescent="0.3">
      <c r="A8" s="31"/>
      <c r="B8" s="38">
        <f t="shared" ref="B8:B15" si="4">B7+1</f>
        <v>3</v>
      </c>
      <c r="C8" s="39">
        <v>44207</v>
      </c>
      <c r="D8" s="40" t="s">
        <v>8</v>
      </c>
      <c r="E8" s="40" t="s">
        <v>745</v>
      </c>
      <c r="F8" s="128">
        <v>500</v>
      </c>
      <c r="G8" s="126">
        <v>530</v>
      </c>
      <c r="H8" s="39">
        <v>44208</v>
      </c>
      <c r="I8" s="41">
        <v>4000</v>
      </c>
      <c r="J8" s="130">
        <v>30</v>
      </c>
      <c r="K8" s="41">
        <f t="shared" si="1"/>
        <v>120000</v>
      </c>
      <c r="L8" s="42" t="s">
        <v>647</v>
      </c>
      <c r="M8" s="32"/>
      <c r="O8" s="231" t="s">
        <v>600</v>
      </c>
      <c r="P8" s="199">
        <f>COUNT(C42:C51)</f>
        <v>3</v>
      </c>
      <c r="Q8" s="200">
        <f>X52</f>
        <v>3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44209</v>
      </c>
      <c r="D9" s="40" t="s">
        <v>8</v>
      </c>
      <c r="E9" s="40" t="s">
        <v>380</v>
      </c>
      <c r="F9" s="126">
        <v>3760</v>
      </c>
      <c r="G9" s="126">
        <v>3650</v>
      </c>
      <c r="H9" s="39">
        <v>44211</v>
      </c>
      <c r="I9" s="41">
        <v>400</v>
      </c>
      <c r="J9" s="130">
        <v>-100</v>
      </c>
      <c r="K9" s="41">
        <f t="shared" si="1"/>
        <v>-40000</v>
      </c>
      <c r="L9" s="42" t="s">
        <v>197</v>
      </c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1</v>
      </c>
    </row>
    <row r="10" spans="1:25" x14ac:dyDescent="0.3">
      <c r="A10" s="31"/>
      <c r="B10" s="38">
        <f t="shared" si="4"/>
        <v>5</v>
      </c>
      <c r="C10" s="39">
        <v>44217</v>
      </c>
      <c r="D10" s="40" t="s">
        <v>8</v>
      </c>
      <c r="E10" s="40" t="s">
        <v>747</v>
      </c>
      <c r="F10" s="126">
        <v>400</v>
      </c>
      <c r="G10" s="126">
        <v>390</v>
      </c>
      <c r="H10" s="39">
        <v>44217</v>
      </c>
      <c r="I10" s="41">
        <v>5400</v>
      </c>
      <c r="J10" s="108">
        <v>-10</v>
      </c>
      <c r="K10" s="41">
        <f t="shared" si="1"/>
        <v>-54000</v>
      </c>
      <c r="L10" s="42" t="s">
        <v>197</v>
      </c>
      <c r="M10" s="32"/>
      <c r="O10" s="171" t="s">
        <v>575</v>
      </c>
      <c r="P10" s="173">
        <f>SUM(P4:P9)</f>
        <v>10</v>
      </c>
      <c r="Q10" s="173">
        <f>SUM(Q4:Q9)</f>
        <v>7</v>
      </c>
      <c r="R10" s="173">
        <f>SUM(R4:R9)</f>
        <v>3</v>
      </c>
      <c r="S10" s="193">
        <f>SUM(S4:S9)</f>
        <v>0</v>
      </c>
      <c r="T10" s="195">
        <f t="shared" si="5"/>
        <v>0.7</v>
      </c>
      <c r="X10" s="29">
        <f t="shared" si="2"/>
        <v>0</v>
      </c>
      <c r="Y10" s="29">
        <f t="shared" si="3"/>
        <v>1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0.7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35600</v>
      </c>
      <c r="L16" s="86"/>
      <c r="M16" s="32"/>
      <c r="X16" s="29">
        <f>SUM(X6:X15)</f>
        <v>2</v>
      </c>
      <c r="Y16" s="29">
        <f>SUM(Y6:Y15)</f>
        <v>3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44197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44200</v>
      </c>
      <c r="D24" s="40" t="s">
        <v>8</v>
      </c>
      <c r="E24" s="35" t="s">
        <v>176</v>
      </c>
      <c r="F24" s="36">
        <v>14080</v>
      </c>
      <c r="G24" s="36">
        <v>14280</v>
      </c>
      <c r="H24" s="39">
        <v>44201</v>
      </c>
      <c r="I24" s="36">
        <v>375</v>
      </c>
      <c r="J24" s="41">
        <v>200</v>
      </c>
      <c r="K24" s="41">
        <f>J24*I24</f>
        <v>75000</v>
      </c>
      <c r="L24" s="37" t="s">
        <v>647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44214</v>
      </c>
      <c r="D25" s="40" t="s">
        <v>13</v>
      </c>
      <c r="E25" s="40" t="s">
        <v>176</v>
      </c>
      <c r="F25" s="41">
        <v>14360</v>
      </c>
      <c r="G25" s="41">
        <v>14280</v>
      </c>
      <c r="H25" s="39">
        <v>44214</v>
      </c>
      <c r="I25" s="41">
        <v>375</v>
      </c>
      <c r="J25" s="115">
        <v>80</v>
      </c>
      <c r="K25" s="41">
        <f t="shared" ref="K25:K29" si="8">J25*I25</f>
        <v>30000</v>
      </c>
      <c r="L25" s="42" t="s">
        <v>642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/>
      <c r="D26" s="40"/>
      <c r="E26" s="40"/>
      <c r="F26" s="41"/>
      <c r="G26" s="41"/>
      <c r="H26" s="39"/>
      <c r="I26" s="41"/>
      <c r="J26" s="85"/>
      <c r="K26" s="41">
        <f t="shared" si="8"/>
        <v>0</v>
      </c>
      <c r="L26" s="42"/>
      <c r="M26" s="32"/>
      <c r="X26" s="29">
        <f t="shared" si="6"/>
        <v>0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/>
      <c r="D27" s="40"/>
      <c r="E27" s="40"/>
      <c r="F27" s="41"/>
      <c r="G27" s="41"/>
      <c r="H27" s="39"/>
      <c r="I27" s="41"/>
      <c r="J27" s="85"/>
      <c r="K27" s="41">
        <f t="shared" si="8"/>
        <v>0</v>
      </c>
      <c r="L27" s="42"/>
      <c r="M27" s="32"/>
      <c r="X27" s="29">
        <f t="shared" si="6"/>
        <v>0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105000</v>
      </c>
      <c r="L34" s="86"/>
      <c r="M34" s="32"/>
      <c r="X34" s="29">
        <f>SUM(X24:X33)</f>
        <v>2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44197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44201</v>
      </c>
      <c r="D42" s="35" t="s">
        <v>8</v>
      </c>
      <c r="E42" s="35" t="s">
        <v>743</v>
      </c>
      <c r="F42" s="127">
        <v>35</v>
      </c>
      <c r="G42" s="127">
        <v>44</v>
      </c>
      <c r="H42" s="34">
        <v>44201</v>
      </c>
      <c r="I42" s="36">
        <v>1200</v>
      </c>
      <c r="J42" s="129">
        <v>9</v>
      </c>
      <c r="K42" s="41">
        <f>J42*I42</f>
        <v>10800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44207</v>
      </c>
      <c r="D43" s="121" t="s">
        <v>8</v>
      </c>
      <c r="E43" s="121" t="s">
        <v>744</v>
      </c>
      <c r="F43" s="128">
        <v>125</v>
      </c>
      <c r="G43" s="128">
        <v>140</v>
      </c>
      <c r="H43" s="120">
        <v>44208</v>
      </c>
      <c r="I43" s="122">
        <v>500</v>
      </c>
      <c r="J43" s="133">
        <v>15</v>
      </c>
      <c r="K43" s="41">
        <f t="shared" ref="K43:K49" si="12">J43*I43</f>
        <v>7500</v>
      </c>
      <c r="L43" s="124" t="s">
        <v>646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44216</v>
      </c>
      <c r="D44" s="40" t="s">
        <v>8</v>
      </c>
      <c r="E44" s="40" t="s">
        <v>746</v>
      </c>
      <c r="F44" s="126">
        <v>150</v>
      </c>
      <c r="G44" s="126">
        <v>200</v>
      </c>
      <c r="H44" s="39">
        <v>44217</v>
      </c>
      <c r="I44" s="41">
        <v>100</v>
      </c>
      <c r="J44" s="130">
        <v>50</v>
      </c>
      <c r="K44" s="41">
        <f t="shared" si="12"/>
        <v>5000</v>
      </c>
      <c r="L44" s="42" t="s">
        <v>672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/>
      <c r="D45" s="40"/>
      <c r="E45" s="40"/>
      <c r="F45" s="126"/>
      <c r="G45" s="126"/>
      <c r="H45" s="39"/>
      <c r="I45" s="41"/>
      <c r="J45" s="130"/>
      <c r="K45" s="41">
        <f t="shared" si="12"/>
        <v>0</v>
      </c>
      <c r="L45" s="42"/>
      <c r="M45" s="32"/>
      <c r="X45" s="29">
        <f t="shared" si="10"/>
        <v>0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23300</v>
      </c>
      <c r="L52" s="86"/>
      <c r="M52" s="32"/>
      <c r="X52" s="29">
        <f>SUM(X42:X51)</f>
        <v>3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E00-000000000000}"/>
    <hyperlink ref="O1" location="'Home Page'!A1" display="Back" xr:uid="{00000000-0004-0000-5E00-000001000000}"/>
    <hyperlink ref="B34" r:id="rId2" xr:uid="{00000000-0004-0000-5E00-000002000000}"/>
    <hyperlink ref="B52" r:id="rId3" xr:uid="{00000000-0004-0000-5E00-000003000000}"/>
    <hyperlink ref="O4:O5" location="'JAN 2021'!A1" display="PREMIUM STOCK FUTURE" xr:uid="{00000000-0004-0000-5E00-000004000000}"/>
    <hyperlink ref="O6:O7" location="'JAN 2021'!A1" display="PREMIUM NIFTY FUTURE" xr:uid="{00000000-0004-0000-5E00-000005000000}"/>
    <hyperlink ref="O8:O9" location="'JAN 2021'!A1" display="PREMIUM OPTOIN" xr:uid="{00000000-0004-0000-5E00-000006000000}"/>
  </hyperlinks>
  <pageMargins left="0" right="0" top="0" bottom="0" header="0" footer="0"/>
  <pageSetup paperSize="9" orientation="portrait" r:id="rId4"/>
  <drawing r:id="rId5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96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44228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4</v>
      </c>
      <c r="Q4" s="208">
        <f>X16</f>
        <v>4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44229</v>
      </c>
      <c r="D6" s="35" t="s">
        <v>8</v>
      </c>
      <c r="E6" s="35" t="s">
        <v>748</v>
      </c>
      <c r="F6" s="126">
        <v>1105</v>
      </c>
      <c r="G6" s="127">
        <v>1135</v>
      </c>
      <c r="H6" s="34">
        <v>44229</v>
      </c>
      <c r="I6" s="36">
        <v>2000</v>
      </c>
      <c r="J6" s="129">
        <v>30</v>
      </c>
      <c r="K6" s="41">
        <f>J6*I6</f>
        <v>60000</v>
      </c>
      <c r="L6" s="37" t="s">
        <v>651</v>
      </c>
      <c r="M6" s="32"/>
      <c r="O6" s="231" t="s">
        <v>599</v>
      </c>
      <c r="P6" s="199">
        <f>COUNT(C24:C33)</f>
        <v>4</v>
      </c>
      <c r="Q6" s="200">
        <f>X34</f>
        <v>3</v>
      </c>
      <c r="R6" s="200">
        <f>Y34</f>
        <v>1</v>
      </c>
      <c r="S6" s="201">
        <v>0</v>
      </c>
      <c r="T6" s="197">
        <f t="shared" ref="T6" si="0">Q6/P6</f>
        <v>0.75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44236</v>
      </c>
      <c r="D7" s="40" t="s">
        <v>8</v>
      </c>
      <c r="E7" s="40" t="s">
        <v>750</v>
      </c>
      <c r="F7" s="126">
        <v>1140</v>
      </c>
      <c r="G7" s="126">
        <v>1154</v>
      </c>
      <c r="H7" s="39">
        <v>44237</v>
      </c>
      <c r="I7" s="41">
        <v>1200</v>
      </c>
      <c r="J7" s="130">
        <v>14</v>
      </c>
      <c r="K7" s="41">
        <f t="shared" ref="K7:K10" si="1">J7*I7</f>
        <v>16800</v>
      </c>
      <c r="L7" s="42" t="s">
        <v>646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44238</v>
      </c>
      <c r="D8" s="40" t="s">
        <v>8</v>
      </c>
      <c r="E8" s="40" t="s">
        <v>61</v>
      </c>
      <c r="F8" s="128">
        <v>7700</v>
      </c>
      <c r="G8" s="126">
        <v>7832</v>
      </c>
      <c r="H8" s="39">
        <v>44243</v>
      </c>
      <c r="I8" s="41">
        <v>200</v>
      </c>
      <c r="J8" s="130">
        <v>32</v>
      </c>
      <c r="K8" s="41">
        <f t="shared" si="1"/>
        <v>6400</v>
      </c>
      <c r="L8" s="42" t="s">
        <v>651</v>
      </c>
      <c r="M8" s="32"/>
      <c r="O8" s="231" t="s">
        <v>600</v>
      </c>
      <c r="P8" s="199">
        <f>COUNT(C42:C51)</f>
        <v>4</v>
      </c>
      <c r="Q8" s="200">
        <f>X52</f>
        <v>3</v>
      </c>
      <c r="R8" s="200">
        <f>Y52</f>
        <v>1</v>
      </c>
      <c r="S8" s="201">
        <v>0</v>
      </c>
      <c r="T8" s="197">
        <f t="shared" ref="T8:T10" si="5">Q8/P8</f>
        <v>0.75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44243</v>
      </c>
      <c r="D9" s="40" t="s">
        <v>755</v>
      </c>
      <c r="E9" s="40" t="s">
        <v>634</v>
      </c>
      <c r="F9" s="126">
        <v>5750</v>
      </c>
      <c r="G9" s="126">
        <v>5817</v>
      </c>
      <c r="H9" s="39">
        <v>44244</v>
      </c>
      <c r="I9" s="41">
        <v>500</v>
      </c>
      <c r="J9" s="130">
        <v>67</v>
      </c>
      <c r="K9" s="41">
        <f t="shared" si="1"/>
        <v>33500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08"/>
      <c r="K10" s="41">
        <f t="shared" si="1"/>
        <v>0</v>
      </c>
      <c r="L10" s="42"/>
      <c r="M10" s="32"/>
      <c r="O10" s="171" t="s">
        <v>575</v>
      </c>
      <c r="P10" s="173">
        <f>SUM(P4:P9)</f>
        <v>12</v>
      </c>
      <c r="Q10" s="173">
        <f>SUM(Q4:Q9)</f>
        <v>10</v>
      </c>
      <c r="R10" s="173">
        <f>SUM(R4:R9)</f>
        <v>2</v>
      </c>
      <c r="S10" s="193">
        <f>SUM(S4:S9)</f>
        <v>0</v>
      </c>
      <c r="T10" s="195">
        <f t="shared" si="5"/>
        <v>0.83333333333333337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0.83333333333333337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116700</v>
      </c>
      <c r="L16" s="86"/>
      <c r="M16" s="32"/>
      <c r="X16" s="29">
        <f>SUM(X6:X15)</f>
        <v>4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44228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44236</v>
      </c>
      <c r="D24" s="40" t="s">
        <v>8</v>
      </c>
      <c r="E24" s="35" t="s">
        <v>30</v>
      </c>
      <c r="F24" s="36">
        <v>15220</v>
      </c>
      <c r="G24" s="36">
        <v>15265</v>
      </c>
      <c r="H24" s="39">
        <v>44236</v>
      </c>
      <c r="I24" s="36">
        <v>375</v>
      </c>
      <c r="J24" s="41">
        <v>45</v>
      </c>
      <c r="K24" s="41">
        <f>J24*I24</f>
        <v>16875</v>
      </c>
      <c r="L24" s="37" t="s">
        <v>646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44237</v>
      </c>
      <c r="D25" s="40" t="s">
        <v>8</v>
      </c>
      <c r="E25" s="40" t="s">
        <v>30</v>
      </c>
      <c r="F25" s="41">
        <v>15060</v>
      </c>
      <c r="G25" s="41">
        <v>15260</v>
      </c>
      <c r="H25" s="39">
        <v>44242</v>
      </c>
      <c r="I25" s="41">
        <v>375</v>
      </c>
      <c r="J25" s="115">
        <v>200</v>
      </c>
      <c r="K25" s="41">
        <f t="shared" ref="K25:K29" si="8">J25*I25</f>
        <v>75000</v>
      </c>
      <c r="L25" s="42" t="s">
        <v>690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44243</v>
      </c>
      <c r="D26" s="40" t="s">
        <v>8</v>
      </c>
      <c r="E26" s="40" t="s">
        <v>30</v>
      </c>
      <c r="F26" s="41">
        <v>15300</v>
      </c>
      <c r="G26" s="41">
        <v>15200</v>
      </c>
      <c r="H26" s="39">
        <v>44244</v>
      </c>
      <c r="I26" s="41">
        <v>375</v>
      </c>
      <c r="J26" s="85">
        <v>-100</v>
      </c>
      <c r="K26" s="41">
        <f t="shared" si="8"/>
        <v>-37500</v>
      </c>
      <c r="L26" s="42" t="s">
        <v>197</v>
      </c>
      <c r="M26" s="32"/>
      <c r="X26" s="29">
        <f t="shared" si="6"/>
        <v>0</v>
      </c>
      <c r="Y26" s="29">
        <f t="shared" si="7"/>
        <v>1</v>
      </c>
    </row>
    <row r="27" spans="1:25" x14ac:dyDescent="0.3">
      <c r="A27" s="31"/>
      <c r="B27" s="38">
        <f t="shared" si="9"/>
        <v>4</v>
      </c>
      <c r="C27" s="39">
        <v>44250</v>
      </c>
      <c r="D27" s="40" t="s">
        <v>8</v>
      </c>
      <c r="E27" s="40" t="s">
        <v>30</v>
      </c>
      <c r="F27" s="41">
        <v>14700</v>
      </c>
      <c r="G27" s="41">
        <v>14900</v>
      </c>
      <c r="H27" s="39">
        <v>44251</v>
      </c>
      <c r="I27" s="41">
        <v>375</v>
      </c>
      <c r="J27" s="85">
        <v>200</v>
      </c>
      <c r="K27" s="41">
        <f t="shared" si="8"/>
        <v>75000</v>
      </c>
      <c r="L27" s="42" t="s">
        <v>651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129375</v>
      </c>
      <c r="L34" s="86"/>
      <c r="M34" s="32"/>
      <c r="X34" s="29">
        <f>SUM(X24:X33)</f>
        <v>3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44228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44229</v>
      </c>
      <c r="D42" s="35" t="s">
        <v>8</v>
      </c>
      <c r="E42" s="35" t="s">
        <v>749</v>
      </c>
      <c r="F42" s="127">
        <v>140</v>
      </c>
      <c r="G42" s="127">
        <v>200</v>
      </c>
      <c r="H42" s="34">
        <v>44229</v>
      </c>
      <c r="I42" s="36">
        <v>400</v>
      </c>
      <c r="J42" s="129">
        <v>60</v>
      </c>
      <c r="K42" s="41">
        <f>J42*I42</f>
        <v>24000</v>
      </c>
      <c r="L42" s="37" t="s">
        <v>642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44236</v>
      </c>
      <c r="D43" s="121" t="s">
        <v>8</v>
      </c>
      <c r="E43" s="121" t="s">
        <v>751</v>
      </c>
      <c r="F43" s="128">
        <v>6</v>
      </c>
      <c r="G43" s="128">
        <v>10</v>
      </c>
      <c r="H43" s="120">
        <v>44236</v>
      </c>
      <c r="I43" s="122">
        <v>12400</v>
      </c>
      <c r="J43" s="133">
        <v>4</v>
      </c>
      <c r="K43" s="41">
        <f t="shared" ref="K43:K49" si="12">J43*I43</f>
        <v>49600</v>
      </c>
      <c r="L43" s="124" t="s">
        <v>752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44238</v>
      </c>
      <c r="D44" s="40" t="s">
        <v>8</v>
      </c>
      <c r="E44" s="40" t="s">
        <v>753</v>
      </c>
      <c r="F44" s="126">
        <v>9</v>
      </c>
      <c r="G44" s="126">
        <v>13.85</v>
      </c>
      <c r="H44" s="39">
        <v>44239</v>
      </c>
      <c r="I44" s="41">
        <v>2500</v>
      </c>
      <c r="J44" s="130">
        <v>4.8499999999999996</v>
      </c>
      <c r="K44" s="41">
        <f t="shared" si="12"/>
        <v>12125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44239</v>
      </c>
      <c r="D45" s="40" t="s">
        <v>8</v>
      </c>
      <c r="E45" s="40" t="s">
        <v>754</v>
      </c>
      <c r="F45" s="126">
        <v>8</v>
      </c>
      <c r="G45" s="126">
        <v>4</v>
      </c>
      <c r="H45" s="39">
        <v>44246</v>
      </c>
      <c r="I45" s="41">
        <v>3600</v>
      </c>
      <c r="J45" s="130">
        <v>-4</v>
      </c>
      <c r="K45" s="41">
        <f t="shared" si="12"/>
        <v>-14400</v>
      </c>
      <c r="L45" s="42" t="s">
        <v>197</v>
      </c>
      <c r="M45" s="32"/>
      <c r="X45" s="29">
        <f t="shared" si="10"/>
        <v>0</v>
      </c>
      <c r="Y45" s="29">
        <f t="shared" si="11"/>
        <v>1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71325</v>
      </c>
      <c r="L52" s="86"/>
      <c r="M52" s="32"/>
      <c r="X52" s="29">
        <f>SUM(X42:X51)</f>
        <v>3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5F00-000000000000}"/>
    <hyperlink ref="O1" location="'Home Page'!A1" display="Back" xr:uid="{00000000-0004-0000-5F00-000001000000}"/>
    <hyperlink ref="B34" r:id="rId2" xr:uid="{00000000-0004-0000-5F00-000002000000}"/>
    <hyperlink ref="B52" r:id="rId3" xr:uid="{00000000-0004-0000-5F00-000003000000}"/>
    <hyperlink ref="O4:O5" location="'FEB 2021'!A1" display="PREMIUM STOCK FUTURE" xr:uid="{00000000-0004-0000-5F00-000004000000}"/>
    <hyperlink ref="O6:O7" location="'FEB 2021'!A1" display="PREMIUM NIFTY FUTURE" xr:uid="{00000000-0004-0000-5F00-000005000000}"/>
    <hyperlink ref="O8:O9" location="'FEB 2021'!A1" display="PREMIUM OPTOIN" xr:uid="{00000000-0004-0000-5F00-000006000000}"/>
  </hyperlinks>
  <pageMargins left="0" right="0" top="0" bottom="0" header="0" footer="0"/>
  <pageSetup paperSize="9" orientation="portrait" r:id="rId4"/>
  <drawing r:id="rId5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97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44256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5</v>
      </c>
      <c r="Q4" s="208">
        <f>X16</f>
        <v>5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44253</v>
      </c>
      <c r="D6" s="35" t="s">
        <v>8</v>
      </c>
      <c r="E6" s="35" t="s">
        <v>95</v>
      </c>
      <c r="F6" s="126">
        <v>920</v>
      </c>
      <c r="G6" s="127">
        <v>960</v>
      </c>
      <c r="H6" s="34">
        <v>44257</v>
      </c>
      <c r="I6" s="36">
        <v>1400</v>
      </c>
      <c r="J6" s="129">
        <v>40</v>
      </c>
      <c r="K6" s="41">
        <f>J6*I6</f>
        <v>56000</v>
      </c>
      <c r="L6" s="37" t="s">
        <v>651</v>
      </c>
      <c r="M6" s="32"/>
      <c r="O6" s="231" t="s">
        <v>599</v>
      </c>
      <c r="P6" s="199">
        <f>COUNT(C24:C33)</f>
        <v>4</v>
      </c>
      <c r="Q6" s="200">
        <f>X34</f>
        <v>4</v>
      </c>
      <c r="R6" s="200">
        <f>Y34</f>
        <v>0</v>
      </c>
      <c r="S6" s="201">
        <v>0</v>
      </c>
      <c r="T6" s="197">
        <f t="shared" ref="T6" si="0">Q6/P6</f>
        <v>1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44257</v>
      </c>
      <c r="D7" s="40" t="s">
        <v>8</v>
      </c>
      <c r="E7" s="40" t="s">
        <v>170</v>
      </c>
      <c r="F7" s="126">
        <v>4440</v>
      </c>
      <c r="G7" s="126">
        <v>4600</v>
      </c>
      <c r="H7" s="39">
        <v>44259</v>
      </c>
      <c r="I7" s="41">
        <v>250</v>
      </c>
      <c r="J7" s="130">
        <v>160</v>
      </c>
      <c r="K7" s="41">
        <f t="shared" ref="K7:K10" si="1">J7*I7</f>
        <v>40000</v>
      </c>
      <c r="L7" s="42" t="s">
        <v>647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44264</v>
      </c>
      <c r="D8" s="40" t="s">
        <v>8</v>
      </c>
      <c r="E8" s="40" t="s">
        <v>758</v>
      </c>
      <c r="F8" s="128">
        <v>742</v>
      </c>
      <c r="G8" s="126">
        <v>748</v>
      </c>
      <c r="H8" s="39">
        <v>44265</v>
      </c>
      <c r="I8" s="41">
        <v>2200</v>
      </c>
      <c r="J8" s="130">
        <v>6</v>
      </c>
      <c r="K8" s="41">
        <f t="shared" si="1"/>
        <v>13200</v>
      </c>
      <c r="L8" s="42" t="s">
        <v>646</v>
      </c>
      <c r="M8" s="32"/>
      <c r="O8" s="231" t="s">
        <v>600</v>
      </c>
      <c r="P8" s="199">
        <f>COUNT(C42:C51)</f>
        <v>4</v>
      </c>
      <c r="Q8" s="200">
        <f>X52</f>
        <v>4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44270</v>
      </c>
      <c r="D9" s="40" t="s">
        <v>8</v>
      </c>
      <c r="E9" s="40" t="s">
        <v>67</v>
      </c>
      <c r="F9" s="126">
        <v>2095</v>
      </c>
      <c r="G9" s="126">
        <v>2130</v>
      </c>
      <c r="H9" s="39">
        <v>44271</v>
      </c>
      <c r="I9" s="41">
        <v>500</v>
      </c>
      <c r="J9" s="130">
        <v>35</v>
      </c>
      <c r="K9" s="41">
        <f t="shared" si="1"/>
        <v>17500</v>
      </c>
      <c r="L9" s="42" t="s">
        <v>646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44272</v>
      </c>
      <c r="D10" s="40" t="s">
        <v>8</v>
      </c>
      <c r="E10" s="40" t="s">
        <v>634</v>
      </c>
      <c r="F10" s="126">
        <v>5400</v>
      </c>
      <c r="G10" s="126">
        <v>5440</v>
      </c>
      <c r="H10" s="39">
        <v>44277</v>
      </c>
      <c r="I10" s="41">
        <v>500</v>
      </c>
      <c r="J10" s="130">
        <v>40</v>
      </c>
      <c r="K10" s="41">
        <f t="shared" si="1"/>
        <v>20000</v>
      </c>
      <c r="L10" s="42" t="s">
        <v>642</v>
      </c>
      <c r="M10" s="32"/>
      <c r="O10" s="171" t="s">
        <v>575</v>
      </c>
      <c r="P10" s="173">
        <f>SUM(P4:P9)</f>
        <v>13</v>
      </c>
      <c r="Q10" s="173">
        <f>SUM(Q4:Q9)</f>
        <v>13</v>
      </c>
      <c r="R10" s="173">
        <f>SUM(R4:R9)</f>
        <v>0</v>
      </c>
      <c r="S10" s="193">
        <f>SUM(S4:S9)</f>
        <v>0</v>
      </c>
      <c r="T10" s="195">
        <f t="shared" si="5"/>
        <v>1</v>
      </c>
      <c r="X10" s="29">
        <f t="shared" si="2"/>
        <v>1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1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146700</v>
      </c>
      <c r="L16" s="86"/>
      <c r="M16" s="32"/>
      <c r="X16" s="29">
        <f>SUM(X6:X15)</f>
        <v>5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44256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44253</v>
      </c>
      <c r="D24" s="40" t="s">
        <v>8</v>
      </c>
      <c r="E24" s="35" t="s">
        <v>30</v>
      </c>
      <c r="F24" s="36">
        <v>14650</v>
      </c>
      <c r="G24" s="36">
        <v>14750</v>
      </c>
      <c r="H24" s="39">
        <v>44256</v>
      </c>
      <c r="I24" s="36">
        <v>375</v>
      </c>
      <c r="J24" s="41">
        <v>100</v>
      </c>
      <c r="K24" s="41">
        <f>J24*I24</f>
        <v>37500</v>
      </c>
      <c r="L24" s="37" t="s">
        <v>642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44264</v>
      </c>
      <c r="D25" s="40" t="s">
        <v>8</v>
      </c>
      <c r="E25" s="40" t="s">
        <v>30</v>
      </c>
      <c r="F25" s="41">
        <v>15000</v>
      </c>
      <c r="G25" s="41">
        <v>15200</v>
      </c>
      <c r="H25" s="39">
        <v>44265</v>
      </c>
      <c r="I25" s="41">
        <v>375</v>
      </c>
      <c r="J25" s="115">
        <v>200</v>
      </c>
      <c r="K25" s="41">
        <f t="shared" ref="K25:K29" si="8">J25*I25</f>
        <v>75000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44270</v>
      </c>
      <c r="D26" s="40" t="s">
        <v>8</v>
      </c>
      <c r="E26" s="40" t="s">
        <v>30</v>
      </c>
      <c r="F26" s="41">
        <v>14830</v>
      </c>
      <c r="G26" s="41">
        <v>15030</v>
      </c>
      <c r="H26" s="39">
        <v>44271</v>
      </c>
      <c r="I26" s="41">
        <v>375</v>
      </c>
      <c r="J26" s="85">
        <v>200</v>
      </c>
      <c r="K26" s="41">
        <f t="shared" si="8"/>
        <v>75000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44277</v>
      </c>
      <c r="D27" s="40" t="s">
        <v>8</v>
      </c>
      <c r="E27" s="40" t="s">
        <v>30</v>
      </c>
      <c r="F27" s="41">
        <v>14680</v>
      </c>
      <c r="G27" s="41">
        <v>14830</v>
      </c>
      <c r="H27" s="39">
        <v>44278</v>
      </c>
      <c r="I27" s="41">
        <v>375</v>
      </c>
      <c r="J27" s="85">
        <v>150</v>
      </c>
      <c r="K27" s="41">
        <f t="shared" si="8"/>
        <v>56250</v>
      </c>
      <c r="L27" s="42" t="s">
        <v>646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243750</v>
      </c>
      <c r="L34" s="86"/>
      <c r="M34" s="32"/>
      <c r="X34" s="29">
        <f>SUM(X24:X33)</f>
        <v>4</v>
      </c>
      <c r="Y34" s="29">
        <f>SUM(Y24:Y33)</f>
        <v>0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44256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44253</v>
      </c>
      <c r="D42" s="35" t="s">
        <v>8</v>
      </c>
      <c r="E42" s="35" t="s">
        <v>756</v>
      </c>
      <c r="F42" s="127">
        <v>45</v>
      </c>
      <c r="G42" s="127">
        <v>60</v>
      </c>
      <c r="H42" s="34">
        <v>44257</v>
      </c>
      <c r="I42" s="36">
        <v>1100</v>
      </c>
      <c r="J42" s="129">
        <v>15</v>
      </c>
      <c r="K42" s="41">
        <f>J42*I42</f>
        <v>16500</v>
      </c>
      <c r="L42" s="37" t="s">
        <v>642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44258</v>
      </c>
      <c r="D43" s="121" t="s">
        <v>8</v>
      </c>
      <c r="E43" s="121" t="s">
        <v>757</v>
      </c>
      <c r="F43" s="128">
        <v>12</v>
      </c>
      <c r="G43" s="128">
        <v>16</v>
      </c>
      <c r="H43" s="120">
        <v>44259</v>
      </c>
      <c r="I43" s="122">
        <v>10000</v>
      </c>
      <c r="J43" s="133">
        <v>4</v>
      </c>
      <c r="K43" s="41">
        <f t="shared" ref="K43:K49" si="12">J43*I43</f>
        <v>40000</v>
      </c>
      <c r="L43" s="124" t="s">
        <v>642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44264</v>
      </c>
      <c r="D44" s="40" t="s">
        <v>8</v>
      </c>
      <c r="E44" s="40" t="s">
        <v>759</v>
      </c>
      <c r="F44" s="126">
        <v>19</v>
      </c>
      <c r="G44" s="126">
        <v>21.2</v>
      </c>
      <c r="H44" s="39">
        <v>44265</v>
      </c>
      <c r="I44" s="41">
        <v>2500</v>
      </c>
      <c r="J44" s="130">
        <v>2.2000000000000002</v>
      </c>
      <c r="K44" s="41">
        <f t="shared" si="12"/>
        <v>5500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44277</v>
      </c>
      <c r="D45" s="40" t="s">
        <v>8</v>
      </c>
      <c r="E45" s="40" t="s">
        <v>760</v>
      </c>
      <c r="F45" s="126">
        <v>13</v>
      </c>
      <c r="G45" s="126">
        <v>25</v>
      </c>
      <c r="H45" s="39">
        <v>44278</v>
      </c>
      <c r="I45" s="41">
        <v>1000</v>
      </c>
      <c r="J45" s="130">
        <v>12</v>
      </c>
      <c r="K45" s="41">
        <f t="shared" si="12"/>
        <v>12000</v>
      </c>
      <c r="L45" s="42" t="s">
        <v>647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74000</v>
      </c>
      <c r="L52" s="86"/>
      <c r="M52" s="32"/>
      <c r="X52" s="29">
        <f>SUM(X42:X51)</f>
        <v>4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6000-000000000000}"/>
    <hyperlink ref="O1" location="'Home Page'!A1" display="Back" xr:uid="{00000000-0004-0000-6000-000001000000}"/>
    <hyperlink ref="B34" r:id="rId2" xr:uid="{00000000-0004-0000-6000-000002000000}"/>
    <hyperlink ref="B52" r:id="rId3" xr:uid="{00000000-0004-0000-6000-000003000000}"/>
    <hyperlink ref="O4:O5" location="'MARCH 2021'!A1" display="PREMIUM STOCK FUTURE" xr:uid="{00000000-0004-0000-6000-000004000000}"/>
    <hyperlink ref="O6:O7" location="'MARCH 2021'!A1" display="PREMIUM NIFTY FUTURE" xr:uid="{00000000-0004-0000-6000-000005000000}"/>
    <hyperlink ref="O8:O9" location="'MARCH 2021'!A1" display="PREMIUM OPTOIN" xr:uid="{00000000-0004-0000-6000-000006000000}"/>
  </hyperlinks>
  <pageMargins left="0" right="0" top="0" bottom="0" header="0" footer="0"/>
  <pageSetup paperSize="9" orientation="portrait" r:id="rId4"/>
  <drawing r:id="rId5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98"/>
  <dimension ref="A1:Y53"/>
  <sheetViews>
    <sheetView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44287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5</v>
      </c>
      <c r="Q4" s="208">
        <f>X16</f>
        <v>4</v>
      </c>
      <c r="R4" s="208">
        <f>Y16</f>
        <v>1</v>
      </c>
      <c r="S4" s="209">
        <f>P4-Q4-R4</f>
        <v>0</v>
      </c>
      <c r="T4" s="195">
        <f>Q4/P4</f>
        <v>0.8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44291</v>
      </c>
      <c r="D6" s="35" t="s">
        <v>8</v>
      </c>
      <c r="E6" s="35" t="s">
        <v>761</v>
      </c>
      <c r="F6" s="126">
        <v>130</v>
      </c>
      <c r="G6" s="127">
        <v>135</v>
      </c>
      <c r="H6" s="34">
        <v>44292</v>
      </c>
      <c r="I6" s="36">
        <v>15200</v>
      </c>
      <c r="J6" s="129">
        <v>5</v>
      </c>
      <c r="K6" s="41">
        <f>J6*I6</f>
        <v>76000</v>
      </c>
      <c r="L6" s="37" t="s">
        <v>651</v>
      </c>
      <c r="M6" s="32"/>
      <c r="O6" s="231" t="s">
        <v>599</v>
      </c>
      <c r="P6" s="199">
        <f>COUNT(C24:C33)</f>
        <v>6</v>
      </c>
      <c r="Q6" s="200">
        <f>X34</f>
        <v>5</v>
      </c>
      <c r="R6" s="200">
        <f>Y34</f>
        <v>1</v>
      </c>
      <c r="S6" s="201">
        <v>0</v>
      </c>
      <c r="T6" s="197">
        <f t="shared" ref="T6" si="0">Q6/P6</f>
        <v>0.83333333333333337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44292</v>
      </c>
      <c r="D7" s="40" t="s">
        <v>8</v>
      </c>
      <c r="E7" s="40" t="s">
        <v>634</v>
      </c>
      <c r="F7" s="126">
        <v>5000</v>
      </c>
      <c r="G7" s="126">
        <v>5100</v>
      </c>
      <c r="H7" s="39">
        <v>44293</v>
      </c>
      <c r="I7" s="41">
        <v>500</v>
      </c>
      <c r="J7" s="130">
        <v>100</v>
      </c>
      <c r="K7" s="41">
        <f t="shared" ref="K7:K10" si="1">J7*I7</f>
        <v>50000</v>
      </c>
      <c r="L7" s="42" t="s">
        <v>642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44298</v>
      </c>
      <c r="D8" s="40" t="s">
        <v>8</v>
      </c>
      <c r="E8" s="40" t="s">
        <v>764</v>
      </c>
      <c r="F8" s="128">
        <v>330</v>
      </c>
      <c r="G8" s="126">
        <v>340</v>
      </c>
      <c r="H8" s="39">
        <v>44299</v>
      </c>
      <c r="I8" s="41">
        <v>40</v>
      </c>
      <c r="J8" s="130">
        <v>6000</v>
      </c>
      <c r="K8" s="41">
        <f t="shared" si="1"/>
        <v>240000</v>
      </c>
      <c r="L8" s="42" t="s">
        <v>651</v>
      </c>
      <c r="M8" s="32"/>
      <c r="O8" s="231" t="s">
        <v>600</v>
      </c>
      <c r="P8" s="199">
        <f>COUNT(C42:C51)</f>
        <v>4</v>
      </c>
      <c r="Q8" s="200">
        <f>X52</f>
        <v>3</v>
      </c>
      <c r="R8" s="200">
        <f>Y52</f>
        <v>1</v>
      </c>
      <c r="S8" s="201">
        <v>0</v>
      </c>
      <c r="T8" s="197">
        <f t="shared" ref="T8:T10" si="5">Q8/P8</f>
        <v>0.75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>
        <v>44305</v>
      </c>
      <c r="D9" s="40" t="s">
        <v>8</v>
      </c>
      <c r="E9" s="40" t="s">
        <v>634</v>
      </c>
      <c r="F9" s="126">
        <v>4480</v>
      </c>
      <c r="G9" s="126">
        <v>4600</v>
      </c>
      <c r="H9" s="39">
        <v>44306</v>
      </c>
      <c r="I9" s="41">
        <v>500</v>
      </c>
      <c r="J9" s="130">
        <f>4600-4480</f>
        <v>120</v>
      </c>
      <c r="K9" s="41">
        <f t="shared" si="1"/>
        <v>60000</v>
      </c>
      <c r="L9" s="42" t="s">
        <v>647</v>
      </c>
      <c r="M9" s="32"/>
      <c r="O9" s="232"/>
      <c r="P9" s="199"/>
      <c r="Q9" s="200"/>
      <c r="R9" s="200"/>
      <c r="S9" s="202"/>
      <c r="T9" s="217"/>
      <c r="X9" s="29">
        <f t="shared" si="2"/>
        <v>1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>
        <v>44313</v>
      </c>
      <c r="D10" s="40" t="s">
        <v>13</v>
      </c>
      <c r="E10" s="40" t="s">
        <v>767</v>
      </c>
      <c r="F10" s="126">
        <v>1125</v>
      </c>
      <c r="G10" s="126">
        <v>1150</v>
      </c>
      <c r="H10" s="39">
        <v>44314</v>
      </c>
      <c r="I10" s="41">
        <v>1100</v>
      </c>
      <c r="J10" s="130">
        <v>-25</v>
      </c>
      <c r="K10" s="41">
        <f t="shared" si="1"/>
        <v>-27500</v>
      </c>
      <c r="L10" s="42" t="s">
        <v>197</v>
      </c>
      <c r="M10" s="32"/>
      <c r="O10" s="171" t="s">
        <v>575</v>
      </c>
      <c r="P10" s="173">
        <f>SUM(P4:P9)</f>
        <v>15</v>
      </c>
      <c r="Q10" s="173">
        <f>SUM(Q4:Q9)</f>
        <v>12</v>
      </c>
      <c r="R10" s="173">
        <f>SUM(R4:R9)</f>
        <v>3</v>
      </c>
      <c r="S10" s="193">
        <f>SUM(S4:S9)</f>
        <v>0</v>
      </c>
      <c r="T10" s="195">
        <f t="shared" si="5"/>
        <v>0.8</v>
      </c>
      <c r="X10" s="29">
        <f t="shared" si="2"/>
        <v>0</v>
      </c>
      <c r="Y10" s="29">
        <f t="shared" si="3"/>
        <v>1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0.8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398500</v>
      </c>
      <c r="L16" s="86"/>
      <c r="M16" s="32"/>
      <c r="X16" s="29">
        <f>SUM(X6:X15)</f>
        <v>4</v>
      </c>
      <c r="Y16" s="29">
        <f>SUM(Y6:Y15)</f>
        <v>1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44287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44291</v>
      </c>
      <c r="D24" s="40" t="s">
        <v>13</v>
      </c>
      <c r="E24" s="35" t="s">
        <v>30</v>
      </c>
      <c r="F24" s="36">
        <v>14600</v>
      </c>
      <c r="G24" s="36">
        <v>14860</v>
      </c>
      <c r="H24" s="39">
        <v>44293</v>
      </c>
      <c r="I24" s="36">
        <v>375</v>
      </c>
      <c r="J24" s="41">
        <v>260</v>
      </c>
      <c r="K24" s="41">
        <f>J24*I24</f>
        <v>97500</v>
      </c>
      <c r="L24" s="37" t="s">
        <v>651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44292</v>
      </c>
      <c r="D25" s="40" t="s">
        <v>8</v>
      </c>
      <c r="E25" s="40" t="s">
        <v>30</v>
      </c>
      <c r="F25" s="41">
        <v>14700</v>
      </c>
      <c r="G25" s="41">
        <v>14900</v>
      </c>
      <c r="H25" s="39">
        <v>44293</v>
      </c>
      <c r="I25" s="41">
        <v>375</v>
      </c>
      <c r="J25" s="115">
        <v>200</v>
      </c>
      <c r="K25" s="41">
        <f t="shared" ref="K25:K29" si="8">J25*I25</f>
        <v>75000</v>
      </c>
      <c r="L25" s="42" t="s">
        <v>647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44295</v>
      </c>
      <c r="D26" s="40" t="s">
        <v>13</v>
      </c>
      <c r="E26" s="40" t="s">
        <v>30</v>
      </c>
      <c r="F26" s="41">
        <v>14900</v>
      </c>
      <c r="G26" s="41">
        <v>14700</v>
      </c>
      <c r="H26" s="39">
        <v>44298</v>
      </c>
      <c r="I26" s="41">
        <v>375</v>
      </c>
      <c r="J26" s="85">
        <v>200</v>
      </c>
      <c r="K26" s="41">
        <f t="shared" si="8"/>
        <v>75000</v>
      </c>
      <c r="L26" s="42" t="s">
        <v>647</v>
      </c>
      <c r="M26" s="32"/>
      <c r="X26" s="29">
        <f t="shared" si="6"/>
        <v>1</v>
      </c>
      <c r="Y26" s="29">
        <f t="shared" si="7"/>
        <v>0</v>
      </c>
    </row>
    <row r="27" spans="1:25" x14ac:dyDescent="0.3">
      <c r="A27" s="31"/>
      <c r="B27" s="38">
        <f t="shared" si="9"/>
        <v>4</v>
      </c>
      <c r="C27" s="39">
        <v>44298</v>
      </c>
      <c r="D27" s="40" t="s">
        <v>8</v>
      </c>
      <c r="E27" s="40" t="s">
        <v>30</v>
      </c>
      <c r="F27" s="41">
        <v>14340</v>
      </c>
      <c r="G27" s="41">
        <v>14540</v>
      </c>
      <c r="H27" s="39">
        <v>44299</v>
      </c>
      <c r="I27" s="41">
        <v>375</v>
      </c>
      <c r="J27" s="85">
        <v>200</v>
      </c>
      <c r="K27" s="41">
        <f t="shared" si="8"/>
        <v>75000</v>
      </c>
      <c r="L27" s="42" t="s">
        <v>647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>
        <v>44305</v>
      </c>
      <c r="D28" s="40" t="s">
        <v>8</v>
      </c>
      <c r="E28" s="40" t="s">
        <v>30</v>
      </c>
      <c r="F28" s="41">
        <v>14350</v>
      </c>
      <c r="G28" s="41">
        <v>14520</v>
      </c>
      <c r="H28" s="39">
        <v>44306</v>
      </c>
      <c r="I28" s="41">
        <v>375</v>
      </c>
      <c r="J28" s="85">
        <f>14520-14350</f>
        <v>170</v>
      </c>
      <c r="K28" s="41">
        <f t="shared" si="8"/>
        <v>63750</v>
      </c>
      <c r="L28" s="42" t="s">
        <v>646</v>
      </c>
      <c r="M28" s="32"/>
      <c r="X28" s="29">
        <f t="shared" si="6"/>
        <v>1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>
        <v>44313</v>
      </c>
      <c r="D29" s="40" t="s">
        <v>13</v>
      </c>
      <c r="E29" s="40" t="s">
        <v>30</v>
      </c>
      <c r="F29" s="41">
        <v>14620</v>
      </c>
      <c r="G29" s="41">
        <v>14720</v>
      </c>
      <c r="H29" s="39">
        <v>44314</v>
      </c>
      <c r="I29" s="41">
        <v>375</v>
      </c>
      <c r="J29" s="85">
        <v>-100</v>
      </c>
      <c r="K29" s="41">
        <f t="shared" si="8"/>
        <v>-37500</v>
      </c>
      <c r="L29" s="42" t="s">
        <v>197</v>
      </c>
      <c r="M29" s="32"/>
      <c r="X29" s="29">
        <f t="shared" si="6"/>
        <v>0</v>
      </c>
      <c r="Y29" s="29">
        <f t="shared" si="7"/>
        <v>1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348750</v>
      </c>
      <c r="L34" s="86"/>
      <c r="M34" s="32"/>
      <c r="X34" s="29">
        <f>SUM(X24:X33)</f>
        <v>5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44287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44291</v>
      </c>
      <c r="D42" s="35" t="s">
        <v>8</v>
      </c>
      <c r="E42" s="35" t="s">
        <v>762</v>
      </c>
      <c r="F42" s="127">
        <v>9</v>
      </c>
      <c r="G42" s="127">
        <v>10.5</v>
      </c>
      <c r="H42" s="34">
        <v>44293</v>
      </c>
      <c r="I42" s="36">
        <v>6000</v>
      </c>
      <c r="J42" s="129">
        <v>1.5</v>
      </c>
      <c r="K42" s="41">
        <f>J42*I42</f>
        <v>9000</v>
      </c>
      <c r="L42" s="37" t="s">
        <v>646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44298</v>
      </c>
      <c r="D43" s="121" t="s">
        <v>8</v>
      </c>
      <c r="E43" s="121" t="s">
        <v>763</v>
      </c>
      <c r="F43" s="128">
        <v>120</v>
      </c>
      <c r="G43" s="128">
        <v>200</v>
      </c>
      <c r="H43" s="120">
        <v>44298</v>
      </c>
      <c r="I43" s="122">
        <v>500</v>
      </c>
      <c r="J43" s="133">
        <v>80</v>
      </c>
      <c r="K43" s="41">
        <f t="shared" ref="K43:K49" si="12">J43*I43</f>
        <v>40000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44305</v>
      </c>
      <c r="D44" s="40" t="s">
        <v>8</v>
      </c>
      <c r="E44" s="40" t="s">
        <v>765</v>
      </c>
      <c r="F44" s="126">
        <v>1.7</v>
      </c>
      <c r="G44" s="126">
        <v>2.4500000000000002</v>
      </c>
      <c r="H44" s="39">
        <v>44306</v>
      </c>
      <c r="I44" s="41">
        <v>23400</v>
      </c>
      <c r="J44" s="130">
        <v>0.75</v>
      </c>
      <c r="K44" s="41">
        <f t="shared" si="12"/>
        <v>17550</v>
      </c>
      <c r="L44" s="42" t="s">
        <v>646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44313</v>
      </c>
      <c r="D45" s="40" t="s">
        <v>8</v>
      </c>
      <c r="E45" s="40" t="s">
        <v>766</v>
      </c>
      <c r="F45" s="126">
        <v>4</v>
      </c>
      <c r="G45" s="126">
        <v>1.2</v>
      </c>
      <c r="H45" s="39">
        <v>44314</v>
      </c>
      <c r="I45" s="41">
        <v>6000</v>
      </c>
      <c r="J45" s="130">
        <v>-2.8</v>
      </c>
      <c r="K45" s="41">
        <f t="shared" si="12"/>
        <v>-16800</v>
      </c>
      <c r="L45" s="42" t="s">
        <v>197</v>
      </c>
      <c r="M45" s="32"/>
      <c r="X45" s="29">
        <f t="shared" si="10"/>
        <v>0</v>
      </c>
      <c r="Y45" s="29">
        <f t="shared" si="11"/>
        <v>1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49750</v>
      </c>
      <c r="L52" s="86"/>
      <c r="M52" s="32"/>
      <c r="X52" s="29">
        <f>SUM(X42:X51)</f>
        <v>3</v>
      </c>
      <c r="Y52" s="29">
        <f>SUM(Y42:Y51)</f>
        <v>1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B34:I34"/>
    <mergeCell ref="B38:L38"/>
    <mergeCell ref="B39:L39"/>
    <mergeCell ref="B40:L40"/>
    <mergeCell ref="B52:I52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</mergeCells>
  <hyperlinks>
    <hyperlink ref="B16" r:id="rId1" xr:uid="{00000000-0004-0000-6100-000000000000}"/>
    <hyperlink ref="O1" location="'Home Page'!A1" display="Back" xr:uid="{00000000-0004-0000-6100-000001000000}"/>
    <hyperlink ref="B34" r:id="rId2" xr:uid="{00000000-0004-0000-6100-000002000000}"/>
    <hyperlink ref="B52" r:id="rId3" xr:uid="{00000000-0004-0000-6100-000003000000}"/>
    <hyperlink ref="O4:O5" location="'MARCH 2021'!A1" display="PREMIUM STOCK FUTURE" xr:uid="{00000000-0004-0000-6100-000004000000}"/>
    <hyperlink ref="O6:O7" location="'MARCH 2021'!A1" display="PREMIUM NIFTY FUTURE" xr:uid="{00000000-0004-0000-6100-000005000000}"/>
    <hyperlink ref="O8:O9" location="'MARCH 2021'!A1" display="PREMIUM OPTOIN" xr:uid="{00000000-0004-0000-6100-000006000000}"/>
  </hyperlinks>
  <pageMargins left="0" right="0" top="0" bottom="0" header="0" footer="0"/>
  <pageSetup paperSize="9" orientation="portrait" r:id="rId4"/>
  <drawing r:id="rId5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99"/>
  <dimension ref="A1:Y53"/>
  <sheetViews>
    <sheetView topLeftCell="A31" workbookViewId="0"/>
  </sheetViews>
  <sheetFormatPr defaultColWidth="9.109375" defaultRowHeight="14.4" x14ac:dyDescent="0.3"/>
  <cols>
    <col min="1" max="1" width="7" style="29" customWidth="1"/>
    <col min="2" max="2" width="3.5546875" style="29" bestFit="1" customWidth="1"/>
    <col min="3" max="3" width="10.44140625" style="29" bestFit="1" customWidth="1"/>
    <col min="4" max="4" width="7.88671875" style="29" customWidth="1"/>
    <col min="5" max="5" width="21.88671875" style="29" customWidth="1"/>
    <col min="6" max="6" width="8.88671875" style="29" customWidth="1"/>
    <col min="7" max="7" width="9.5546875" style="29" customWidth="1"/>
    <col min="8" max="8" width="12.88671875" style="29" customWidth="1"/>
    <col min="9" max="9" width="10.44140625" style="29" customWidth="1"/>
    <col min="10" max="10" width="9.88671875" style="29" customWidth="1"/>
    <col min="11" max="11" width="11.88671875" style="29" customWidth="1"/>
    <col min="12" max="12" width="15" style="29" customWidth="1"/>
    <col min="13" max="13" width="7" style="29" customWidth="1"/>
    <col min="14" max="14" width="9.109375" style="29"/>
    <col min="15" max="15" width="16.6640625" style="29" customWidth="1"/>
    <col min="16" max="19" width="9.109375" style="29"/>
    <col min="20" max="20" width="10.6640625" style="29" bestFit="1" customWidth="1"/>
    <col min="21" max="23" width="9.109375" style="29"/>
    <col min="24" max="25" width="9.109375" style="29" hidden="1" customWidth="1"/>
    <col min="26" max="16384" width="9.109375" style="29"/>
  </cols>
  <sheetData>
    <row r="1" spans="1:25" ht="30" customHeight="1" thickBot="1" x14ac:dyDescent="0.35">
      <c r="A1" s="26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30" t="s">
        <v>566</v>
      </c>
    </row>
    <row r="2" spans="1:25" ht="27" customHeight="1" thickBot="1" x14ac:dyDescent="0.35">
      <c r="A2" s="31" t="s">
        <v>0</v>
      </c>
      <c r="B2" s="162" t="s">
        <v>567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32"/>
      <c r="O2" s="211" t="s">
        <v>568</v>
      </c>
      <c r="P2" s="213" t="s">
        <v>569</v>
      </c>
      <c r="Q2" s="215" t="s">
        <v>570</v>
      </c>
      <c r="R2" s="215" t="s">
        <v>571</v>
      </c>
      <c r="S2" s="215" t="s">
        <v>572</v>
      </c>
      <c r="T2" s="204" t="s">
        <v>573</v>
      </c>
    </row>
    <row r="3" spans="1:25" ht="16.2" thickBot="1" x14ac:dyDescent="0.35">
      <c r="A3" s="31"/>
      <c r="B3" s="165">
        <v>44317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32"/>
      <c r="O3" s="212"/>
      <c r="P3" s="214"/>
      <c r="Q3" s="216"/>
      <c r="R3" s="216"/>
      <c r="S3" s="216"/>
      <c r="T3" s="205"/>
    </row>
    <row r="4" spans="1:25" ht="16.5" customHeight="1" thickBot="1" x14ac:dyDescent="0.35">
      <c r="A4" s="31"/>
      <c r="B4" s="168" t="s">
        <v>581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32"/>
      <c r="O4" s="230" t="s">
        <v>598</v>
      </c>
      <c r="P4" s="207">
        <f>COUNT(C6:C15)</f>
        <v>3</v>
      </c>
      <c r="Q4" s="208">
        <f>X16</f>
        <v>3</v>
      </c>
      <c r="R4" s="208">
        <f>Y16</f>
        <v>0</v>
      </c>
      <c r="S4" s="209">
        <f>P4-Q4-R4</f>
        <v>0</v>
      </c>
      <c r="T4" s="195">
        <f>Q4/P4</f>
        <v>1</v>
      </c>
    </row>
    <row r="5" spans="1:25" s="90" customFormat="1" ht="27" thickBot="1" x14ac:dyDescent="0.35">
      <c r="A5" s="88"/>
      <c r="B5" s="91" t="s">
        <v>574</v>
      </c>
      <c r="C5" s="92" t="s">
        <v>1</v>
      </c>
      <c r="D5" s="93" t="s">
        <v>601</v>
      </c>
      <c r="E5" s="93" t="s">
        <v>3</v>
      </c>
      <c r="F5" s="116" t="s">
        <v>4</v>
      </c>
      <c r="G5" s="94" t="s">
        <v>5</v>
      </c>
      <c r="H5" s="94" t="s">
        <v>528</v>
      </c>
      <c r="I5" s="94" t="s">
        <v>6</v>
      </c>
      <c r="J5" s="95" t="s">
        <v>381</v>
      </c>
      <c r="K5" s="114" t="s">
        <v>10</v>
      </c>
      <c r="L5" s="96" t="s">
        <v>200</v>
      </c>
      <c r="M5" s="89"/>
      <c r="O5" s="231"/>
      <c r="P5" s="199"/>
      <c r="Q5" s="200"/>
      <c r="R5" s="200"/>
      <c r="S5" s="210"/>
      <c r="T5" s="197"/>
      <c r="X5" s="90" t="s">
        <v>570</v>
      </c>
      <c r="Y5" s="90" t="s">
        <v>571</v>
      </c>
    </row>
    <row r="6" spans="1:25" ht="15" customHeight="1" x14ac:dyDescent="0.3">
      <c r="A6" s="31"/>
      <c r="B6" s="33">
        <v>1</v>
      </c>
      <c r="C6" s="34">
        <v>44320</v>
      </c>
      <c r="D6" s="35" t="s">
        <v>8</v>
      </c>
      <c r="E6" s="35" t="s">
        <v>332</v>
      </c>
      <c r="F6" s="126">
        <v>1340</v>
      </c>
      <c r="G6" s="127">
        <v>1400</v>
      </c>
      <c r="H6" s="34">
        <v>44326</v>
      </c>
      <c r="I6" s="36">
        <v>1150</v>
      </c>
      <c r="J6" s="129">
        <v>60</v>
      </c>
      <c r="K6" s="41">
        <f>J6*I6</f>
        <v>69000</v>
      </c>
      <c r="L6" s="37" t="s">
        <v>647</v>
      </c>
      <c r="M6" s="32"/>
      <c r="O6" s="231" t="s">
        <v>599</v>
      </c>
      <c r="P6" s="199">
        <f>COUNT(C24:C33)</f>
        <v>4</v>
      </c>
      <c r="Q6" s="200">
        <f>X34</f>
        <v>3</v>
      </c>
      <c r="R6" s="200">
        <f>Y34</f>
        <v>1</v>
      </c>
      <c r="S6" s="201">
        <v>0</v>
      </c>
      <c r="T6" s="197">
        <f t="shared" ref="T6" si="0">Q6/P6</f>
        <v>0.75</v>
      </c>
      <c r="X6" s="29">
        <f>IF($K6&gt;0,1,0)</f>
        <v>1</v>
      </c>
      <c r="Y6" s="29">
        <f>IF($K6&lt;0,1,0)</f>
        <v>0</v>
      </c>
    </row>
    <row r="7" spans="1:25" x14ac:dyDescent="0.3">
      <c r="A7" s="31"/>
      <c r="B7" s="38">
        <f>B6+1</f>
        <v>2</v>
      </c>
      <c r="C7" s="39">
        <v>44326</v>
      </c>
      <c r="D7" s="40" t="s">
        <v>8</v>
      </c>
      <c r="E7" s="40" t="s">
        <v>11</v>
      </c>
      <c r="F7" s="126">
        <v>362</v>
      </c>
      <c r="G7" s="126">
        <v>378</v>
      </c>
      <c r="H7" s="39">
        <v>44333</v>
      </c>
      <c r="I7" s="41">
        <v>6000</v>
      </c>
      <c r="J7" s="130">
        <f>378-362</f>
        <v>16</v>
      </c>
      <c r="K7" s="41">
        <f t="shared" ref="K7:K10" si="1">J7*I7</f>
        <v>96000</v>
      </c>
      <c r="L7" s="42" t="s">
        <v>651</v>
      </c>
      <c r="M7" s="32"/>
      <c r="O7" s="231"/>
      <c r="P7" s="199"/>
      <c r="Q7" s="200"/>
      <c r="R7" s="200"/>
      <c r="S7" s="202"/>
      <c r="T7" s="197"/>
      <c r="X7" s="29">
        <f t="shared" ref="X7:X15" si="2">IF($K7&gt;0,1,0)</f>
        <v>1</v>
      </c>
      <c r="Y7" s="29">
        <f t="shared" ref="Y7:Y15" si="3">IF($K7&lt;0,1,0)</f>
        <v>0</v>
      </c>
    </row>
    <row r="8" spans="1:25" ht="15" customHeight="1" x14ac:dyDescent="0.3">
      <c r="A8" s="31"/>
      <c r="B8" s="38">
        <f t="shared" ref="B8:B15" si="4">B7+1</f>
        <v>3</v>
      </c>
      <c r="C8" s="39">
        <v>44333</v>
      </c>
      <c r="D8" s="40" t="s">
        <v>8</v>
      </c>
      <c r="E8" s="40" t="s">
        <v>76</v>
      </c>
      <c r="F8" s="128">
        <v>1470</v>
      </c>
      <c r="G8" s="126">
        <v>1550</v>
      </c>
      <c r="H8" s="39">
        <v>44335</v>
      </c>
      <c r="I8" s="41">
        <v>750</v>
      </c>
      <c r="J8" s="130">
        <f>1550-1470</f>
        <v>80</v>
      </c>
      <c r="K8" s="41">
        <f t="shared" si="1"/>
        <v>60000</v>
      </c>
      <c r="L8" s="42" t="s">
        <v>647</v>
      </c>
      <c r="M8" s="32"/>
      <c r="O8" s="231" t="s">
        <v>600</v>
      </c>
      <c r="P8" s="199">
        <f>COUNT(C42:C51)</f>
        <v>4</v>
      </c>
      <c r="Q8" s="200">
        <f>X52</f>
        <v>4</v>
      </c>
      <c r="R8" s="200">
        <f>Y52</f>
        <v>0</v>
      </c>
      <c r="S8" s="201">
        <v>0</v>
      </c>
      <c r="T8" s="197">
        <f t="shared" ref="T8:T10" si="5">Q8/P8</f>
        <v>1</v>
      </c>
      <c r="X8" s="29">
        <f t="shared" si="2"/>
        <v>1</v>
      </c>
      <c r="Y8" s="29">
        <f t="shared" si="3"/>
        <v>0</v>
      </c>
    </row>
    <row r="9" spans="1:25" ht="15" thickBot="1" x14ac:dyDescent="0.35">
      <c r="A9" s="31"/>
      <c r="B9" s="38">
        <f t="shared" si="4"/>
        <v>4</v>
      </c>
      <c r="C9" s="39"/>
      <c r="D9" s="40"/>
      <c r="E9" s="40"/>
      <c r="F9" s="126"/>
      <c r="G9" s="126"/>
      <c r="H9" s="39"/>
      <c r="I9" s="41"/>
      <c r="J9" s="130"/>
      <c r="K9" s="41">
        <f t="shared" si="1"/>
        <v>0</v>
      </c>
      <c r="L9" s="42"/>
      <c r="M9" s="32"/>
      <c r="O9" s="232"/>
      <c r="P9" s="199"/>
      <c r="Q9" s="200"/>
      <c r="R9" s="200"/>
      <c r="S9" s="202"/>
      <c r="T9" s="217"/>
      <c r="X9" s="29">
        <f t="shared" si="2"/>
        <v>0</v>
      </c>
      <c r="Y9" s="29">
        <f t="shared" si="3"/>
        <v>0</v>
      </c>
    </row>
    <row r="10" spans="1:25" x14ac:dyDescent="0.3">
      <c r="A10" s="31"/>
      <c r="B10" s="38">
        <f t="shared" si="4"/>
        <v>5</v>
      </c>
      <c r="C10" s="39"/>
      <c r="D10" s="40"/>
      <c r="E10" s="40"/>
      <c r="F10" s="126"/>
      <c r="G10" s="126"/>
      <c r="H10" s="39"/>
      <c r="I10" s="41"/>
      <c r="J10" s="130"/>
      <c r="K10" s="41">
        <f t="shared" si="1"/>
        <v>0</v>
      </c>
      <c r="L10" s="42"/>
      <c r="M10" s="32"/>
      <c r="O10" s="171" t="s">
        <v>575</v>
      </c>
      <c r="P10" s="173">
        <f>SUM(P4:P9)</f>
        <v>11</v>
      </c>
      <c r="Q10" s="173">
        <f>SUM(Q4:Q9)</f>
        <v>10</v>
      </c>
      <c r="R10" s="173">
        <f>SUM(R4:R9)</f>
        <v>1</v>
      </c>
      <c r="S10" s="193">
        <f>SUM(S4:S9)</f>
        <v>0</v>
      </c>
      <c r="T10" s="195">
        <f t="shared" si="5"/>
        <v>0.90909090909090906</v>
      </c>
      <c r="X10" s="29">
        <f t="shared" si="2"/>
        <v>0</v>
      </c>
      <c r="Y10" s="29">
        <f t="shared" si="3"/>
        <v>0</v>
      </c>
    </row>
    <row r="11" spans="1:25" ht="15" thickBot="1" x14ac:dyDescent="0.35">
      <c r="A11" s="31"/>
      <c r="B11" s="38">
        <f t="shared" si="4"/>
        <v>6</v>
      </c>
      <c r="C11" s="39"/>
      <c r="D11" s="40"/>
      <c r="E11" s="40"/>
      <c r="F11" s="106"/>
      <c r="G11" s="106"/>
      <c r="H11" s="41"/>
      <c r="I11" s="41"/>
      <c r="J11" s="85"/>
      <c r="K11" s="85"/>
      <c r="L11" s="42"/>
      <c r="M11" s="32"/>
      <c r="O11" s="172"/>
      <c r="P11" s="174"/>
      <c r="Q11" s="174"/>
      <c r="R11" s="174"/>
      <c r="S11" s="194"/>
      <c r="T11" s="196"/>
      <c r="X11" s="29">
        <f t="shared" si="2"/>
        <v>0</v>
      </c>
      <c r="Y11" s="29">
        <f t="shared" si="3"/>
        <v>0</v>
      </c>
    </row>
    <row r="12" spans="1:25" ht="15" customHeight="1" x14ac:dyDescent="0.3">
      <c r="A12" s="31"/>
      <c r="B12" s="38">
        <f>B11+1</f>
        <v>7</v>
      </c>
      <c r="C12" s="39"/>
      <c r="D12" s="40"/>
      <c r="E12" s="40"/>
      <c r="F12" s="106"/>
      <c r="G12" s="106"/>
      <c r="H12" s="41"/>
      <c r="I12" s="41"/>
      <c r="J12" s="85"/>
      <c r="K12" s="85"/>
      <c r="L12" s="42"/>
      <c r="M12" s="32"/>
      <c r="O12" s="175" t="s">
        <v>576</v>
      </c>
      <c r="P12" s="176"/>
      <c r="Q12" s="177"/>
      <c r="R12" s="184">
        <f>T10</f>
        <v>0.90909090909090906</v>
      </c>
      <c r="S12" s="185"/>
      <c r="T12" s="186"/>
      <c r="X12" s="29">
        <f t="shared" si="2"/>
        <v>0</v>
      </c>
      <c r="Y12" s="29">
        <f t="shared" si="3"/>
        <v>0</v>
      </c>
    </row>
    <row r="13" spans="1:25" ht="15" customHeight="1" x14ac:dyDescent="0.3">
      <c r="A13" s="31"/>
      <c r="B13" s="38">
        <f t="shared" si="4"/>
        <v>8</v>
      </c>
      <c r="C13" s="39"/>
      <c r="D13" s="40"/>
      <c r="E13" s="40"/>
      <c r="F13" s="106"/>
      <c r="G13" s="106"/>
      <c r="H13" s="41"/>
      <c r="I13" s="41"/>
      <c r="J13" s="85"/>
      <c r="K13" s="85"/>
      <c r="L13" s="42"/>
      <c r="M13" s="32"/>
      <c r="O13" s="178"/>
      <c r="P13" s="179"/>
      <c r="Q13" s="180"/>
      <c r="R13" s="187"/>
      <c r="S13" s="188"/>
      <c r="T13" s="189"/>
      <c r="X13" s="29">
        <f t="shared" si="2"/>
        <v>0</v>
      </c>
      <c r="Y13" s="29">
        <f t="shared" si="3"/>
        <v>0</v>
      </c>
    </row>
    <row r="14" spans="1:25" ht="15.75" customHeight="1" thickBot="1" x14ac:dyDescent="0.35">
      <c r="A14" s="31"/>
      <c r="B14" s="38">
        <f t="shared" si="4"/>
        <v>9</v>
      </c>
      <c r="C14" s="39"/>
      <c r="D14" s="40"/>
      <c r="E14" s="40"/>
      <c r="F14" s="41"/>
      <c r="G14" s="41"/>
      <c r="H14" s="41"/>
      <c r="I14" s="41"/>
      <c r="J14" s="85"/>
      <c r="K14" s="85"/>
      <c r="L14" s="42"/>
      <c r="M14" s="32"/>
      <c r="O14" s="181"/>
      <c r="P14" s="182"/>
      <c r="Q14" s="183"/>
      <c r="R14" s="190"/>
      <c r="S14" s="191"/>
      <c r="T14" s="192"/>
      <c r="X14" s="29">
        <f t="shared" si="2"/>
        <v>0</v>
      </c>
      <c r="Y14" s="29">
        <f t="shared" si="3"/>
        <v>0</v>
      </c>
    </row>
    <row r="15" spans="1:25" ht="15" thickBot="1" x14ac:dyDescent="0.35">
      <c r="A15" s="31"/>
      <c r="B15" s="38">
        <f t="shared" si="4"/>
        <v>10</v>
      </c>
      <c r="C15" s="39"/>
      <c r="D15" s="40"/>
      <c r="E15" s="40"/>
      <c r="F15" s="41"/>
      <c r="G15" s="41"/>
      <c r="H15" s="41"/>
      <c r="I15" s="41"/>
      <c r="J15" s="85"/>
      <c r="K15" s="85"/>
      <c r="L15" s="42"/>
      <c r="M15" s="32"/>
      <c r="X15" s="29">
        <f t="shared" si="2"/>
        <v>0</v>
      </c>
      <c r="Y15" s="29">
        <f t="shared" si="3"/>
        <v>0</v>
      </c>
    </row>
    <row r="16" spans="1:25" ht="24" thickBot="1" x14ac:dyDescent="0.5">
      <c r="A16" s="31"/>
      <c r="B16" s="159" t="s">
        <v>577</v>
      </c>
      <c r="C16" s="160"/>
      <c r="D16" s="160"/>
      <c r="E16" s="160"/>
      <c r="F16" s="160"/>
      <c r="G16" s="160"/>
      <c r="H16" s="160"/>
      <c r="I16" s="161"/>
      <c r="J16" s="44" t="s">
        <v>578</v>
      </c>
      <c r="K16" s="87">
        <f>SUM(K6:K15)</f>
        <v>225000</v>
      </c>
      <c r="L16" s="86"/>
      <c r="M16" s="32"/>
      <c r="X16" s="29">
        <f>SUM(X6:X15)</f>
        <v>3</v>
      </c>
      <c r="Y16" s="29">
        <f>SUM(Y6:Y15)</f>
        <v>0</v>
      </c>
    </row>
    <row r="17" spans="1:25" ht="30" customHeight="1" thickBo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O17" s="97"/>
      <c r="P17" s="98"/>
      <c r="Q17" s="98"/>
      <c r="R17" s="98"/>
      <c r="S17" s="99"/>
    </row>
    <row r="18" spans="1:25" ht="15" thickBot="1" x14ac:dyDescent="0.35">
      <c r="O18" s="100"/>
      <c r="S18" s="101"/>
    </row>
    <row r="19" spans="1:25" ht="30" customHeight="1" thickBot="1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O19" s="100"/>
      <c r="S19" s="101"/>
    </row>
    <row r="20" spans="1:25" ht="25.2" thickBot="1" x14ac:dyDescent="0.35">
      <c r="A20" s="31" t="s">
        <v>0</v>
      </c>
      <c r="B20" s="162" t="s">
        <v>567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2"/>
      <c r="O20" s="100"/>
      <c r="S20" s="101"/>
    </row>
    <row r="21" spans="1:25" ht="16.2" thickBot="1" x14ac:dyDescent="0.35">
      <c r="A21" s="31"/>
      <c r="B21" s="165">
        <v>44317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32"/>
      <c r="O21" s="100"/>
      <c r="S21" s="101"/>
    </row>
    <row r="22" spans="1:25" ht="16.2" thickBot="1" x14ac:dyDescent="0.35">
      <c r="A22" s="31"/>
      <c r="B22" s="168" t="s">
        <v>580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32"/>
      <c r="O22" s="102"/>
      <c r="P22" s="103"/>
      <c r="Q22" s="103"/>
      <c r="R22" s="103"/>
      <c r="S22" s="104"/>
    </row>
    <row r="23" spans="1:25" s="43" customFormat="1" ht="27" thickBot="1" x14ac:dyDescent="0.35">
      <c r="A23" s="48"/>
      <c r="B23" s="91" t="s">
        <v>574</v>
      </c>
      <c r="C23" s="131" t="s">
        <v>1</v>
      </c>
      <c r="D23" s="132" t="s">
        <v>601</v>
      </c>
      <c r="E23" s="93" t="s">
        <v>3</v>
      </c>
      <c r="F23" s="94" t="s">
        <v>4</v>
      </c>
      <c r="G23" s="94" t="s">
        <v>5</v>
      </c>
      <c r="H23" s="94" t="s">
        <v>528</v>
      </c>
      <c r="I23" s="94" t="s">
        <v>6</v>
      </c>
      <c r="J23" s="114" t="s">
        <v>381</v>
      </c>
      <c r="K23" s="114" t="s">
        <v>375</v>
      </c>
      <c r="L23" s="96" t="s">
        <v>200</v>
      </c>
      <c r="M23" s="49"/>
      <c r="N23" s="29"/>
      <c r="O23" s="29"/>
      <c r="P23" s="29"/>
      <c r="Q23" s="29"/>
      <c r="R23" s="29"/>
      <c r="S23" s="29"/>
      <c r="T23" s="29"/>
      <c r="U23" s="29"/>
      <c r="X23" s="29" t="s">
        <v>570</v>
      </c>
      <c r="Y23" s="29" t="s">
        <v>571</v>
      </c>
    </row>
    <row r="24" spans="1:25" x14ac:dyDescent="0.3">
      <c r="A24" s="31"/>
      <c r="B24" s="33">
        <v>1</v>
      </c>
      <c r="C24" s="39">
        <v>44320</v>
      </c>
      <c r="D24" s="40" t="s">
        <v>8</v>
      </c>
      <c r="E24" s="35" t="s">
        <v>30</v>
      </c>
      <c r="F24" s="36">
        <v>14640</v>
      </c>
      <c r="G24" s="36">
        <v>14850</v>
      </c>
      <c r="H24" s="39">
        <v>44320</v>
      </c>
      <c r="I24" s="36">
        <v>375</v>
      </c>
      <c r="J24" s="41">
        <f>14685-14640</f>
        <v>45</v>
      </c>
      <c r="K24" s="41">
        <f>J24*I24</f>
        <v>16875</v>
      </c>
      <c r="L24" s="37" t="s">
        <v>646</v>
      </c>
      <c r="M24" s="32"/>
      <c r="X24" s="29">
        <f t="shared" ref="X24:X33" si="6">IF($K24&gt;0,1,0)</f>
        <v>1</v>
      </c>
      <c r="Y24" s="29">
        <f t="shared" ref="Y24:Y33" si="7">IF($K24&lt;0,1,0)</f>
        <v>0</v>
      </c>
    </row>
    <row r="25" spans="1:25" x14ac:dyDescent="0.3">
      <c r="A25" s="31"/>
      <c r="B25" s="38">
        <f>B24+1</f>
        <v>2</v>
      </c>
      <c r="C25" s="39">
        <v>44321</v>
      </c>
      <c r="D25" s="40" t="s">
        <v>8</v>
      </c>
      <c r="E25" s="40" t="s">
        <v>619</v>
      </c>
      <c r="F25" s="41">
        <v>32800</v>
      </c>
      <c r="G25" s="41">
        <v>33144</v>
      </c>
      <c r="H25" s="39">
        <v>44322</v>
      </c>
      <c r="I25" s="41">
        <v>125</v>
      </c>
      <c r="J25" s="115">
        <f>33144-32800</f>
        <v>344</v>
      </c>
      <c r="K25" s="41">
        <f t="shared" ref="K25:K29" si="8">J25*I25</f>
        <v>43000</v>
      </c>
      <c r="L25" s="42" t="s">
        <v>646</v>
      </c>
      <c r="M25" s="32"/>
      <c r="X25" s="29">
        <f t="shared" si="6"/>
        <v>1</v>
      </c>
      <c r="Y25" s="29">
        <f t="shared" si="7"/>
        <v>0</v>
      </c>
    </row>
    <row r="26" spans="1:25" x14ac:dyDescent="0.3">
      <c r="A26" s="31"/>
      <c r="B26" s="38">
        <f t="shared" ref="B26:B33" si="9">B25+1</f>
        <v>3</v>
      </c>
      <c r="C26" s="39">
        <v>44326</v>
      </c>
      <c r="D26" s="40" t="s">
        <v>8</v>
      </c>
      <c r="E26" s="40" t="s">
        <v>30</v>
      </c>
      <c r="F26" s="41">
        <v>14980</v>
      </c>
      <c r="G26" s="41">
        <v>14880</v>
      </c>
      <c r="H26" s="39">
        <v>44327</v>
      </c>
      <c r="I26" s="41">
        <v>375</v>
      </c>
      <c r="J26" s="85">
        <v>-100</v>
      </c>
      <c r="K26" s="41">
        <f t="shared" si="8"/>
        <v>-37500</v>
      </c>
      <c r="L26" s="42" t="s">
        <v>197</v>
      </c>
      <c r="M26" s="32"/>
      <c r="X26" s="29">
        <f t="shared" si="6"/>
        <v>0</v>
      </c>
      <c r="Y26" s="29">
        <f t="shared" si="7"/>
        <v>1</v>
      </c>
    </row>
    <row r="27" spans="1:25" x14ac:dyDescent="0.3">
      <c r="A27" s="31"/>
      <c r="B27" s="38">
        <f t="shared" si="9"/>
        <v>4</v>
      </c>
      <c r="C27" s="39">
        <v>44343</v>
      </c>
      <c r="D27" s="40" t="s">
        <v>8</v>
      </c>
      <c r="E27" s="40" t="s">
        <v>30</v>
      </c>
      <c r="F27" s="41">
        <v>15350</v>
      </c>
      <c r="G27" s="41">
        <v>15550</v>
      </c>
      <c r="H27" s="39">
        <v>44347</v>
      </c>
      <c r="I27" s="41">
        <v>375</v>
      </c>
      <c r="J27" s="85">
        <v>200</v>
      </c>
      <c r="K27" s="41">
        <f t="shared" si="8"/>
        <v>75000</v>
      </c>
      <c r="L27" s="42" t="s">
        <v>647</v>
      </c>
      <c r="M27" s="32"/>
      <c r="X27" s="29">
        <f t="shared" si="6"/>
        <v>1</v>
      </c>
      <c r="Y27" s="29">
        <f t="shared" si="7"/>
        <v>0</v>
      </c>
    </row>
    <row r="28" spans="1:25" x14ac:dyDescent="0.3">
      <c r="A28" s="31"/>
      <c r="B28" s="38">
        <f t="shared" si="9"/>
        <v>5</v>
      </c>
      <c r="C28" s="39"/>
      <c r="D28" s="40"/>
      <c r="E28" s="40"/>
      <c r="F28" s="41"/>
      <c r="G28" s="41"/>
      <c r="H28" s="39"/>
      <c r="I28" s="41"/>
      <c r="J28" s="85"/>
      <c r="K28" s="41">
        <f t="shared" si="8"/>
        <v>0</v>
      </c>
      <c r="L28" s="42"/>
      <c r="M28" s="32"/>
      <c r="X28" s="29">
        <f t="shared" si="6"/>
        <v>0</v>
      </c>
      <c r="Y28" s="29">
        <f t="shared" si="7"/>
        <v>0</v>
      </c>
    </row>
    <row r="29" spans="1:25" x14ac:dyDescent="0.3">
      <c r="A29" s="31"/>
      <c r="B29" s="38">
        <f t="shared" si="9"/>
        <v>6</v>
      </c>
      <c r="C29" s="39"/>
      <c r="D29" s="40"/>
      <c r="E29" s="40"/>
      <c r="F29" s="41"/>
      <c r="G29" s="41"/>
      <c r="H29" s="39"/>
      <c r="I29" s="41"/>
      <c r="J29" s="85"/>
      <c r="K29" s="41">
        <f t="shared" si="8"/>
        <v>0</v>
      </c>
      <c r="L29" s="42"/>
      <c r="M29" s="32"/>
      <c r="X29" s="29">
        <f t="shared" si="6"/>
        <v>0</v>
      </c>
      <c r="Y29" s="29">
        <f t="shared" si="7"/>
        <v>0</v>
      </c>
    </row>
    <row r="30" spans="1:25" x14ac:dyDescent="0.3">
      <c r="A30" s="31"/>
      <c r="B30" s="38">
        <f t="shared" si="9"/>
        <v>7</v>
      </c>
      <c r="C30" s="39"/>
      <c r="D30" s="40"/>
      <c r="E30" s="40"/>
      <c r="F30" s="41"/>
      <c r="G30" s="41"/>
      <c r="H30" s="39"/>
      <c r="I30" s="41"/>
      <c r="J30" s="85"/>
      <c r="K30" s="41">
        <f>J30*I30</f>
        <v>0</v>
      </c>
      <c r="L30" s="42"/>
      <c r="M30" s="32"/>
      <c r="X30" s="29">
        <f t="shared" si="6"/>
        <v>0</v>
      </c>
      <c r="Y30" s="29">
        <f t="shared" si="7"/>
        <v>0</v>
      </c>
    </row>
    <row r="31" spans="1:25" x14ac:dyDescent="0.3">
      <c r="A31" s="31"/>
      <c r="B31" s="38">
        <f t="shared" si="9"/>
        <v>8</v>
      </c>
      <c r="C31" s="39"/>
      <c r="D31" s="40"/>
      <c r="E31" s="40"/>
      <c r="F31" s="41"/>
      <c r="G31" s="41"/>
      <c r="H31" s="39"/>
      <c r="I31" s="41"/>
      <c r="J31" s="85"/>
      <c r="K31" s="85"/>
      <c r="L31" s="42"/>
      <c r="M31" s="32"/>
      <c r="X31" s="29">
        <f t="shared" si="6"/>
        <v>0</v>
      </c>
      <c r="Y31" s="29">
        <f t="shared" si="7"/>
        <v>0</v>
      </c>
    </row>
    <row r="32" spans="1:25" x14ac:dyDescent="0.3">
      <c r="A32" s="31"/>
      <c r="B32" s="38">
        <f t="shared" si="9"/>
        <v>9</v>
      </c>
      <c r="C32" s="39"/>
      <c r="D32" s="40"/>
      <c r="E32" s="40"/>
      <c r="F32" s="41"/>
      <c r="G32" s="41"/>
      <c r="H32" s="41"/>
      <c r="I32" s="41"/>
      <c r="J32" s="85"/>
      <c r="K32" s="85"/>
      <c r="L32" s="42"/>
      <c r="M32" s="32"/>
      <c r="X32" s="29">
        <f t="shared" si="6"/>
        <v>0</v>
      </c>
      <c r="Y32" s="29">
        <f t="shared" si="7"/>
        <v>0</v>
      </c>
    </row>
    <row r="33" spans="1:25" ht="15" thickBot="1" x14ac:dyDescent="0.35">
      <c r="A33" s="31"/>
      <c r="B33" s="38">
        <f t="shared" si="9"/>
        <v>10</v>
      </c>
      <c r="C33" s="39"/>
      <c r="D33" s="40"/>
      <c r="E33" s="40"/>
      <c r="F33" s="41"/>
      <c r="G33" s="41"/>
      <c r="H33" s="41"/>
      <c r="I33" s="41"/>
      <c r="J33" s="85"/>
      <c r="K33" s="85"/>
      <c r="L33" s="42"/>
      <c r="M33" s="32"/>
      <c r="X33" s="29">
        <f t="shared" si="6"/>
        <v>0</v>
      </c>
      <c r="Y33" s="29">
        <f t="shared" si="7"/>
        <v>0</v>
      </c>
    </row>
    <row r="34" spans="1:25" ht="24" thickBot="1" x14ac:dyDescent="0.5">
      <c r="A34" s="31"/>
      <c r="B34" s="159" t="s">
        <v>577</v>
      </c>
      <c r="C34" s="160"/>
      <c r="D34" s="160"/>
      <c r="E34" s="160"/>
      <c r="F34" s="160"/>
      <c r="G34" s="160"/>
      <c r="H34" s="160"/>
      <c r="I34" s="161"/>
      <c r="J34" s="44" t="s">
        <v>578</v>
      </c>
      <c r="K34" s="87">
        <f>SUM(K24:K33)</f>
        <v>97375</v>
      </c>
      <c r="L34" s="86"/>
      <c r="M34" s="32"/>
      <c r="X34" s="29">
        <f>SUM(X24:X33)</f>
        <v>3</v>
      </c>
      <c r="Y34" s="29">
        <f>SUM(Y24:Y33)</f>
        <v>1</v>
      </c>
    </row>
    <row r="35" spans="1:25" ht="30" customHeight="1" thickBot="1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25" ht="15" thickBot="1" x14ac:dyDescent="0.35"/>
    <row r="37" spans="1:25" ht="30" customHeight="1" thickBot="1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25" ht="25.2" thickBot="1" x14ac:dyDescent="0.35">
      <c r="A38" s="31" t="s">
        <v>0</v>
      </c>
      <c r="B38" s="162" t="s">
        <v>567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32"/>
    </row>
    <row r="39" spans="1:25" ht="16.2" thickBot="1" x14ac:dyDescent="0.35">
      <c r="A39" s="31"/>
      <c r="B39" s="165">
        <v>44317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32"/>
    </row>
    <row r="40" spans="1:25" ht="16.2" thickBot="1" x14ac:dyDescent="0.35">
      <c r="A40" s="31"/>
      <c r="B40" s="168" t="s">
        <v>579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32"/>
      <c r="N40" s="43"/>
    </row>
    <row r="41" spans="1:25" ht="27" thickBot="1" x14ac:dyDescent="0.35">
      <c r="A41" s="48"/>
      <c r="B41" s="91" t="s">
        <v>574</v>
      </c>
      <c r="C41" s="92" t="s">
        <v>1</v>
      </c>
      <c r="D41" s="93" t="s">
        <v>601</v>
      </c>
      <c r="E41" s="93" t="s">
        <v>3</v>
      </c>
      <c r="F41" s="94" t="s">
        <v>4</v>
      </c>
      <c r="G41" s="94" t="s">
        <v>5</v>
      </c>
      <c r="H41" s="94" t="s">
        <v>528</v>
      </c>
      <c r="I41" s="94" t="s">
        <v>6</v>
      </c>
      <c r="J41" s="95" t="s">
        <v>381</v>
      </c>
      <c r="K41" s="114" t="s">
        <v>10</v>
      </c>
      <c r="L41" s="96" t="s">
        <v>200</v>
      </c>
      <c r="M41" s="49"/>
      <c r="X41" s="29" t="s">
        <v>570</v>
      </c>
      <c r="Y41" s="29" t="s">
        <v>571</v>
      </c>
    </row>
    <row r="42" spans="1:25" x14ac:dyDescent="0.3">
      <c r="A42" s="31"/>
      <c r="B42" s="33">
        <v>1</v>
      </c>
      <c r="C42" s="34">
        <v>44320</v>
      </c>
      <c r="D42" s="35" t="s">
        <v>8</v>
      </c>
      <c r="E42" s="35" t="s">
        <v>768</v>
      </c>
      <c r="F42" s="127">
        <v>9</v>
      </c>
      <c r="G42" s="127">
        <v>15.4</v>
      </c>
      <c r="H42" s="34">
        <v>44334</v>
      </c>
      <c r="I42" s="36">
        <v>5800</v>
      </c>
      <c r="J42" s="129">
        <f>15.4-9</f>
        <v>6.4</v>
      </c>
      <c r="K42" s="41">
        <f>J42*I42</f>
        <v>37120</v>
      </c>
      <c r="L42" s="37" t="s">
        <v>651</v>
      </c>
      <c r="M42" s="32"/>
      <c r="X42" s="29">
        <f t="shared" ref="X42:X51" si="10">IF($K42&gt;0,1,0)</f>
        <v>1</v>
      </c>
      <c r="Y42" s="29">
        <f t="shared" ref="Y42:Y51" si="11">IF($K42&lt;0,1,0)</f>
        <v>0</v>
      </c>
    </row>
    <row r="43" spans="1:25" x14ac:dyDescent="0.3">
      <c r="A43" s="31"/>
      <c r="B43" s="119">
        <v>2</v>
      </c>
      <c r="C43" s="120">
        <v>44326</v>
      </c>
      <c r="D43" s="121" t="s">
        <v>8</v>
      </c>
      <c r="E43" s="121" t="s">
        <v>769</v>
      </c>
      <c r="F43" s="128">
        <v>11</v>
      </c>
      <c r="G43" s="128">
        <v>21</v>
      </c>
      <c r="H43" s="120">
        <v>44333</v>
      </c>
      <c r="I43" s="122">
        <v>6000</v>
      </c>
      <c r="J43" s="133">
        <f>21-11</f>
        <v>10</v>
      </c>
      <c r="K43" s="41">
        <f t="shared" ref="K43:K49" si="12">J43*I43</f>
        <v>60000</v>
      </c>
      <c r="L43" s="124" t="s">
        <v>647</v>
      </c>
      <c r="M43" s="32"/>
      <c r="X43" s="29">
        <f t="shared" si="10"/>
        <v>1</v>
      </c>
      <c r="Y43" s="29">
        <f t="shared" si="11"/>
        <v>0</v>
      </c>
    </row>
    <row r="44" spans="1:25" x14ac:dyDescent="0.3">
      <c r="A44" s="31"/>
      <c r="B44" s="38">
        <v>3</v>
      </c>
      <c r="C44" s="39">
        <v>44333</v>
      </c>
      <c r="D44" s="40" t="s">
        <v>8</v>
      </c>
      <c r="E44" s="40" t="s">
        <v>770</v>
      </c>
      <c r="F44" s="126">
        <v>110</v>
      </c>
      <c r="G44" s="126">
        <v>170</v>
      </c>
      <c r="H44" s="39">
        <v>44334</v>
      </c>
      <c r="I44" s="41">
        <v>200</v>
      </c>
      <c r="J44" s="130">
        <f>170-110</f>
        <v>60</v>
      </c>
      <c r="K44" s="41">
        <f t="shared" si="12"/>
        <v>12000</v>
      </c>
      <c r="L44" s="42" t="s">
        <v>642</v>
      </c>
      <c r="M44" s="32"/>
      <c r="X44" s="29">
        <f t="shared" si="10"/>
        <v>1</v>
      </c>
      <c r="Y44" s="29">
        <f t="shared" si="11"/>
        <v>0</v>
      </c>
    </row>
    <row r="45" spans="1:25" x14ac:dyDescent="0.3">
      <c r="A45" s="31"/>
      <c r="B45" s="38">
        <f t="shared" ref="B45:B51" si="13">B44+1</f>
        <v>4</v>
      </c>
      <c r="C45" s="39">
        <v>44335</v>
      </c>
      <c r="D45" s="40" t="s">
        <v>8</v>
      </c>
      <c r="E45" s="40" t="s">
        <v>771</v>
      </c>
      <c r="F45" s="126">
        <v>55</v>
      </c>
      <c r="G45" s="126">
        <v>67</v>
      </c>
      <c r="H45" s="39">
        <v>44335</v>
      </c>
      <c r="I45" s="41">
        <v>700</v>
      </c>
      <c r="J45" s="130">
        <f>67-55</f>
        <v>12</v>
      </c>
      <c r="K45" s="41">
        <f t="shared" si="12"/>
        <v>8400</v>
      </c>
      <c r="L45" s="42" t="s">
        <v>646</v>
      </c>
      <c r="M45" s="32"/>
      <c r="X45" s="29">
        <f t="shared" si="10"/>
        <v>1</v>
      </c>
      <c r="Y45" s="29">
        <f t="shared" si="11"/>
        <v>0</v>
      </c>
    </row>
    <row r="46" spans="1:25" x14ac:dyDescent="0.3">
      <c r="A46" s="31"/>
      <c r="B46" s="38">
        <f t="shared" si="13"/>
        <v>5</v>
      </c>
      <c r="C46" s="39"/>
      <c r="D46" s="40"/>
      <c r="E46" s="40"/>
      <c r="F46" s="126"/>
      <c r="G46" s="126"/>
      <c r="H46" s="39"/>
      <c r="I46" s="41"/>
      <c r="J46" s="130"/>
      <c r="K46" s="41">
        <f t="shared" si="12"/>
        <v>0</v>
      </c>
      <c r="L46" s="42"/>
      <c r="M46" s="32"/>
      <c r="X46" s="29">
        <f t="shared" si="10"/>
        <v>0</v>
      </c>
      <c r="Y46" s="29">
        <f t="shared" si="11"/>
        <v>0</v>
      </c>
    </row>
    <row r="47" spans="1:25" x14ac:dyDescent="0.3">
      <c r="A47" s="31"/>
      <c r="B47" s="38">
        <f t="shared" si="13"/>
        <v>6</v>
      </c>
      <c r="C47" s="39"/>
      <c r="D47" s="40"/>
      <c r="E47" s="40"/>
      <c r="F47" s="126"/>
      <c r="G47" s="126"/>
      <c r="H47" s="39"/>
      <c r="I47" s="41"/>
      <c r="J47" s="130"/>
      <c r="K47" s="41">
        <f t="shared" si="12"/>
        <v>0</v>
      </c>
      <c r="L47" s="42"/>
      <c r="M47" s="32"/>
      <c r="X47" s="29">
        <f t="shared" si="10"/>
        <v>0</v>
      </c>
      <c r="Y47" s="29">
        <f t="shared" si="11"/>
        <v>0</v>
      </c>
    </row>
    <row r="48" spans="1:25" x14ac:dyDescent="0.3">
      <c r="A48" s="31"/>
      <c r="B48" s="38">
        <f t="shared" si="13"/>
        <v>7</v>
      </c>
      <c r="C48" s="39"/>
      <c r="D48" s="40"/>
      <c r="E48" s="40"/>
      <c r="F48" s="126"/>
      <c r="G48" s="126"/>
      <c r="H48" s="41"/>
      <c r="I48" s="41"/>
      <c r="J48" s="130"/>
      <c r="K48" s="41">
        <f t="shared" si="12"/>
        <v>0</v>
      </c>
      <c r="L48" s="42"/>
      <c r="M48" s="32"/>
      <c r="X48" s="29">
        <f t="shared" si="10"/>
        <v>0</v>
      </c>
      <c r="Y48" s="29">
        <f t="shared" si="11"/>
        <v>0</v>
      </c>
    </row>
    <row r="49" spans="1:25" x14ac:dyDescent="0.3">
      <c r="A49" s="31"/>
      <c r="B49" s="38">
        <f t="shared" si="13"/>
        <v>8</v>
      </c>
      <c r="C49" s="39"/>
      <c r="D49" s="40"/>
      <c r="E49" s="40"/>
      <c r="F49" s="126"/>
      <c r="G49" s="126"/>
      <c r="H49" s="41"/>
      <c r="I49" s="41"/>
      <c r="J49" s="130"/>
      <c r="K49" s="41">
        <f t="shared" si="12"/>
        <v>0</v>
      </c>
      <c r="L49" s="42"/>
      <c r="M49" s="32"/>
      <c r="X49" s="29">
        <f t="shared" si="10"/>
        <v>0</v>
      </c>
      <c r="Y49" s="29">
        <f t="shared" si="11"/>
        <v>0</v>
      </c>
    </row>
    <row r="50" spans="1:25" x14ac:dyDescent="0.3">
      <c r="A50" s="31"/>
      <c r="B50" s="38">
        <f t="shared" si="13"/>
        <v>9</v>
      </c>
      <c r="C50" s="39"/>
      <c r="D50" s="40"/>
      <c r="E50" s="40"/>
      <c r="F50" s="126"/>
      <c r="G50" s="126"/>
      <c r="H50" s="41"/>
      <c r="I50" s="41"/>
      <c r="J50" s="130"/>
      <c r="K50" s="85">
        <f t="shared" ref="K50:K51" si="14">I50*J50</f>
        <v>0</v>
      </c>
      <c r="L50" s="42"/>
      <c r="M50" s="32"/>
      <c r="X50" s="29">
        <f t="shared" si="10"/>
        <v>0</v>
      </c>
      <c r="Y50" s="29">
        <f t="shared" si="11"/>
        <v>0</v>
      </c>
    </row>
    <row r="51" spans="1:25" ht="15" thickBot="1" x14ac:dyDescent="0.35">
      <c r="A51" s="31"/>
      <c r="B51" s="38">
        <f t="shared" si="13"/>
        <v>10</v>
      </c>
      <c r="C51" s="39"/>
      <c r="D51" s="40"/>
      <c r="E51" s="40"/>
      <c r="F51" s="126"/>
      <c r="G51" s="126"/>
      <c r="H51" s="41"/>
      <c r="I51" s="41"/>
      <c r="J51" s="130"/>
      <c r="K51" s="85">
        <f t="shared" si="14"/>
        <v>0</v>
      </c>
      <c r="L51" s="42"/>
      <c r="M51" s="32"/>
      <c r="X51" s="29">
        <f t="shared" si="10"/>
        <v>0</v>
      </c>
      <c r="Y51" s="29">
        <f t="shared" si="11"/>
        <v>0</v>
      </c>
    </row>
    <row r="52" spans="1:25" ht="24" thickBot="1" x14ac:dyDescent="0.5">
      <c r="A52" s="31"/>
      <c r="B52" s="159" t="s">
        <v>577</v>
      </c>
      <c r="C52" s="160"/>
      <c r="D52" s="160"/>
      <c r="E52" s="160"/>
      <c r="F52" s="160"/>
      <c r="G52" s="160"/>
      <c r="H52" s="160"/>
      <c r="I52" s="161"/>
      <c r="J52" s="44" t="s">
        <v>578</v>
      </c>
      <c r="K52" s="87">
        <f>SUM(K42:K51)</f>
        <v>117520</v>
      </c>
      <c r="L52" s="86"/>
      <c r="M52" s="32"/>
      <c r="X52" s="29">
        <f>SUM(X42:X51)</f>
        <v>4</v>
      </c>
      <c r="Y52" s="29">
        <f>SUM(Y42:Y51)</f>
        <v>0</v>
      </c>
    </row>
    <row r="53" spans="1:25" ht="30" customHeight="1" thickBot="1" x14ac:dyDescent="0.3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</sheetData>
  <mergeCells count="44">
    <mergeCell ref="T2:T3"/>
    <mergeCell ref="B3:L3"/>
    <mergeCell ref="B4:L4"/>
    <mergeCell ref="O4:O5"/>
    <mergeCell ref="P4:P5"/>
    <mergeCell ref="Q4:Q5"/>
    <mergeCell ref="R4:R5"/>
    <mergeCell ref="S4:S5"/>
    <mergeCell ref="T4:T5"/>
    <mergeCell ref="B2:L2"/>
    <mergeCell ref="O2:O3"/>
    <mergeCell ref="P2:P3"/>
    <mergeCell ref="Q2:Q3"/>
    <mergeCell ref="R2:R3"/>
    <mergeCell ref="S2:S3"/>
    <mergeCell ref="T8:T9"/>
    <mergeCell ref="O6:O7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B22:L22"/>
    <mergeCell ref="O10:O11"/>
    <mergeCell ref="P10:P11"/>
    <mergeCell ref="Q10:Q11"/>
    <mergeCell ref="R10:R11"/>
    <mergeCell ref="O12:Q14"/>
    <mergeCell ref="R12:T14"/>
    <mergeCell ref="B16:I16"/>
    <mergeCell ref="B20:L20"/>
    <mergeCell ref="B21:L21"/>
    <mergeCell ref="S10:S11"/>
    <mergeCell ref="T10:T11"/>
    <mergeCell ref="B34:I34"/>
    <mergeCell ref="B38:L38"/>
    <mergeCell ref="B39:L39"/>
    <mergeCell ref="B40:L40"/>
    <mergeCell ref="B52:I52"/>
  </mergeCells>
  <hyperlinks>
    <hyperlink ref="B16" r:id="rId1" xr:uid="{00000000-0004-0000-6200-000000000000}"/>
    <hyperlink ref="O1" location="'Home Page'!A1" display="Back" xr:uid="{00000000-0004-0000-6200-000001000000}"/>
    <hyperlink ref="B34" r:id="rId2" xr:uid="{00000000-0004-0000-6200-000002000000}"/>
    <hyperlink ref="B52" r:id="rId3" xr:uid="{00000000-0004-0000-6200-000003000000}"/>
    <hyperlink ref="O4:O5" location="'MARCH 2021'!A1" display="PREMIUM STOCK FUTURE" xr:uid="{00000000-0004-0000-6200-000004000000}"/>
    <hyperlink ref="O6:O7" location="'MARCH 2021'!A1" display="PREMIUM NIFTY FUTURE" xr:uid="{00000000-0004-0000-6200-000005000000}"/>
    <hyperlink ref="O8:O9" location="'MARCH 2021'!A1" display="PREMIUM OPTOIN" xr:uid="{00000000-0004-0000-6200-000006000000}"/>
  </hyperlinks>
  <pageMargins left="0" right="0" top="0" bottom="0" header="0" footer="0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134</vt:i4>
      </vt:variant>
    </vt:vector>
  </HeadingPairs>
  <TitlesOfParts>
    <vt:vector size="134" baseType="lpstr">
      <vt:lpstr>MARCH 2013</vt:lpstr>
      <vt:lpstr>APRIL 2013</vt:lpstr>
      <vt:lpstr>MAY 2013</vt:lpstr>
      <vt:lpstr>JUNE 2013</vt:lpstr>
      <vt:lpstr>JULY 2013</vt:lpstr>
      <vt:lpstr>AUG 2013</vt:lpstr>
      <vt:lpstr>SEP 2013</vt:lpstr>
      <vt:lpstr>OCT 2013</vt:lpstr>
      <vt:lpstr>NOV 2013</vt:lpstr>
      <vt:lpstr>DEC 2013</vt:lpstr>
      <vt:lpstr>JAN 2014</vt:lpstr>
      <vt:lpstr>FEB 2014</vt:lpstr>
      <vt:lpstr>MARCH 2014</vt:lpstr>
      <vt:lpstr>APRIL 2014</vt:lpstr>
      <vt:lpstr>MAY 2014</vt:lpstr>
      <vt:lpstr>JUNE 2014</vt:lpstr>
      <vt:lpstr>JULY 2014</vt:lpstr>
      <vt:lpstr>AUG 2014</vt:lpstr>
      <vt:lpstr>SEP 2014</vt:lpstr>
      <vt:lpstr>OCT 2014</vt:lpstr>
      <vt:lpstr>NOV 2014</vt:lpstr>
      <vt:lpstr>DEC 2014</vt:lpstr>
      <vt:lpstr>JAN 2015</vt:lpstr>
      <vt:lpstr>FEB 2015</vt:lpstr>
      <vt:lpstr>MARCH 2015</vt:lpstr>
      <vt:lpstr>APRIL 2015</vt:lpstr>
      <vt:lpstr>MAY 2015</vt:lpstr>
      <vt:lpstr>JUNE 2015</vt:lpstr>
      <vt:lpstr>JULY 2015</vt:lpstr>
      <vt:lpstr>AUGUST 2015</vt:lpstr>
      <vt:lpstr>SEP 2015</vt:lpstr>
      <vt:lpstr>OCT 2015</vt:lpstr>
      <vt:lpstr>NOV 2015</vt:lpstr>
      <vt:lpstr>DEC 2015</vt:lpstr>
      <vt:lpstr>JAN 2016</vt:lpstr>
      <vt:lpstr>FEB 2016</vt:lpstr>
      <vt:lpstr>MARCH 2016</vt:lpstr>
      <vt:lpstr>APRIL 2016</vt:lpstr>
      <vt:lpstr>MAY 2016</vt:lpstr>
      <vt:lpstr>JUNE 2016</vt:lpstr>
      <vt:lpstr>JULY 2016</vt:lpstr>
      <vt:lpstr>AUG 2016</vt:lpstr>
      <vt:lpstr>SEP 2016</vt:lpstr>
      <vt:lpstr>OCT 2016</vt:lpstr>
      <vt:lpstr>NOV 2016</vt:lpstr>
      <vt:lpstr>DEC 2016</vt:lpstr>
      <vt:lpstr>JAN 2017</vt:lpstr>
      <vt:lpstr>FEB 2017</vt:lpstr>
      <vt:lpstr>MARCH 2017</vt:lpstr>
      <vt:lpstr>APRIL 2017</vt:lpstr>
      <vt:lpstr>MAY 2017</vt:lpstr>
      <vt:lpstr>JUNE 2017</vt:lpstr>
      <vt:lpstr>JULY 2017</vt:lpstr>
      <vt:lpstr>AUG 2017</vt:lpstr>
      <vt:lpstr>SEP 2017</vt:lpstr>
      <vt:lpstr>OCT 2017</vt:lpstr>
      <vt:lpstr>NOV 2017</vt:lpstr>
      <vt:lpstr>DEC 2017</vt:lpstr>
      <vt:lpstr>JAN 2018</vt:lpstr>
      <vt:lpstr>FEB 2018</vt:lpstr>
      <vt:lpstr>MARCH 2018</vt:lpstr>
      <vt:lpstr>APRIL 2018</vt:lpstr>
      <vt:lpstr>MAY 2018</vt:lpstr>
      <vt:lpstr>JUNE 2018</vt:lpstr>
      <vt:lpstr>JULY 2018</vt:lpstr>
      <vt:lpstr>AUGUST-2018</vt:lpstr>
      <vt:lpstr>SEP 2018</vt:lpstr>
      <vt:lpstr>OCT 2018</vt:lpstr>
      <vt:lpstr>NOV 2018</vt:lpstr>
      <vt:lpstr>DEC-2018</vt:lpstr>
      <vt:lpstr>JAN-2019</vt:lpstr>
      <vt:lpstr>FEB 2019</vt:lpstr>
      <vt:lpstr>MARCH 2019</vt:lpstr>
      <vt:lpstr>APRIL 2019</vt:lpstr>
      <vt:lpstr>MAY 2019</vt:lpstr>
      <vt:lpstr>JUN 2019</vt:lpstr>
      <vt:lpstr>JULY 2019</vt:lpstr>
      <vt:lpstr>AUGUST 2019</vt:lpstr>
      <vt:lpstr>SEP 2019</vt:lpstr>
      <vt:lpstr>OCT 2019</vt:lpstr>
      <vt:lpstr>NOV 2019</vt:lpstr>
      <vt:lpstr>DEC 2019</vt:lpstr>
      <vt:lpstr>JAN 2020</vt:lpstr>
      <vt:lpstr>FEB 2020</vt:lpstr>
      <vt:lpstr>MARCH 2020</vt:lpstr>
      <vt:lpstr>APRIL 2020</vt:lpstr>
      <vt:lpstr>MAY 2020</vt:lpstr>
      <vt:lpstr>JUNE 2020</vt:lpstr>
      <vt:lpstr>JULY 2020</vt:lpstr>
      <vt:lpstr>AUGUST 2020</vt:lpstr>
      <vt:lpstr>SEP 2020</vt:lpstr>
      <vt:lpstr>OCT 2020</vt:lpstr>
      <vt:lpstr> NOV 2020</vt:lpstr>
      <vt:lpstr>DEC 2020</vt:lpstr>
      <vt:lpstr>JAN 2021</vt:lpstr>
      <vt:lpstr>FEB 2021</vt:lpstr>
      <vt:lpstr>MARCH 2021</vt:lpstr>
      <vt:lpstr>APRIL 2021</vt:lpstr>
      <vt:lpstr>MAY 2021</vt:lpstr>
      <vt:lpstr>JUNE 2021</vt:lpstr>
      <vt:lpstr>JULY 2021</vt:lpstr>
      <vt:lpstr>AUGUST 2021</vt:lpstr>
      <vt:lpstr>SEP 2021</vt:lpstr>
      <vt:lpstr>OCT 2021</vt:lpstr>
      <vt:lpstr>NOV 2021</vt:lpstr>
      <vt:lpstr>DEC 2021</vt:lpstr>
      <vt:lpstr>JAN 2022</vt:lpstr>
      <vt:lpstr>FEB 2022</vt:lpstr>
      <vt:lpstr>MARCH 2022</vt:lpstr>
      <vt:lpstr>APRIL 2022</vt:lpstr>
      <vt:lpstr>MAY 2022</vt:lpstr>
      <vt:lpstr>JUN 2022</vt:lpstr>
      <vt:lpstr>JULY 2022</vt:lpstr>
      <vt:lpstr>AUGUST 2022</vt:lpstr>
      <vt:lpstr>SEP 2022</vt:lpstr>
      <vt:lpstr>OCT 2022</vt:lpstr>
      <vt:lpstr>NOV 2022</vt:lpstr>
      <vt:lpstr>DEC 2022</vt:lpstr>
      <vt:lpstr>JAN 2023</vt:lpstr>
      <vt:lpstr>FEB 2023</vt:lpstr>
      <vt:lpstr>MARCH 2023</vt:lpstr>
      <vt:lpstr>APRIL 2023</vt:lpstr>
      <vt:lpstr>MAY 2023</vt:lpstr>
      <vt:lpstr>JUN 2023</vt:lpstr>
      <vt:lpstr>JULY 2023</vt:lpstr>
      <vt:lpstr>AUGUST 2023</vt:lpstr>
      <vt:lpstr>SEP 2023</vt:lpstr>
      <vt:lpstr>OCT 2023</vt:lpstr>
      <vt:lpstr>NOV 2023</vt:lpstr>
      <vt:lpstr>DEC 2023</vt:lpstr>
      <vt:lpstr>JAN 2024</vt:lpstr>
      <vt:lpstr>FEB 2024</vt:lpstr>
      <vt:lpstr>MARCH 2024</vt:lpstr>
      <vt:lpstr>Home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DELL</cp:lastModifiedBy>
  <dcterms:created xsi:type="dcterms:W3CDTF">2013-04-30T18:15:26Z</dcterms:created>
  <dcterms:modified xsi:type="dcterms:W3CDTF">2024-04-01T06:57:20Z</dcterms:modified>
</cp:coreProperties>
</file>